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hidden" name="Dados" sheetId="14" r:id="rId17"/>
    <sheet state="hidden" name="BTG2" sheetId="15" r:id="rId18"/>
    <sheet state="hidden" name="Cadastro de assessores" sheetId="16" r:id="rId19"/>
    <sheet state="hidden" name="Saídas" sheetId="17" r:id="rId20"/>
  </sheets>
  <definedNames>
    <definedName hidden="1" localSheetId="0" name="_xlnm._FilterDatabase">'Clientes Novos Int.'!$B$1:$N$5</definedName>
    <definedName hidden="1" localSheetId="3" name="_xlnm._FilterDatabase">Guide!$A$2:$CH$395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Pershing!$A$2:$AP$22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FF8A4E44_D465_4B96_B6A0_15E8BA187261_.wvu.FilterData">BTG!$M$2:$M$766</definedName>
    <definedName hidden="1" localSheetId="5" name="Z_FF8A4E44_D465_4B96_B6A0_15E8BA187261_.wvu.FilterData">'Ágora'!$M$2:$M$28</definedName>
    <definedName hidden="1" localSheetId="2" name="Z_ABBB9E71_D770_4D37_9FAE_0A1D3982C5C6_.wvu.FilterData">BTG!$A$1:$AN$758</definedName>
    <definedName hidden="1" localSheetId="2" name="Z_B114EDA5_FA5E_41B2_80BD_659B93AB751E_.wvu.FilterData">BTG!$A$2:$AQ$758</definedName>
    <definedName hidden="1" localSheetId="2" name="Z_AB061334_D821_4D2B_BE6A_D12ED1C28A6D_.wvu.FilterData">BTG!$A$1:$AO$758</definedName>
    <definedName hidden="1" localSheetId="2" name="Z_C4A2D276_8F5F_4095_B7C9_226D4DB300B0_.wvu.FilterData">BTG!$D$2:$K$766</definedName>
    <definedName hidden="1" localSheetId="3" name="Z_C4A2D276_8F5F_4095_B7C9_226D4DB300B0_.wvu.FilterData">Guide!$A$1:$CA$403</definedName>
    <definedName hidden="1" localSheetId="5" name="Z_C4A2D276_8F5F_4095_B7C9_226D4DB300B0_.wvu.FilterData">'Ágora'!$D$2:$K$28</definedName>
    <definedName hidden="1" localSheetId="2" name="Z_CCAA395F_B7AE_40E3_9A48_35D53FA4C242_.wvu.FilterData">BTG!$F$2:$AH$766</definedName>
    <definedName hidden="1" localSheetId="3" name="Z_CCAA395F_B7AE_40E3_9A48_35D53FA4C242_.wvu.FilterData">Guide!$A$2:$CD$395</definedName>
    <definedName hidden="1" localSheetId="5" name="Z_CCAA395F_B7AE_40E3_9A48_35D53FA4C242_.wvu.FilterData">'Ágora'!$F$2:$AC$28</definedName>
    <definedName hidden="1" localSheetId="2" name="Z_51D89032_F787_4C29_827C_391D59734DAF_.wvu.FilterData">BTG!$A$1:$AQ$761</definedName>
    <definedName hidden="1" localSheetId="2" name="Z_FFEA9777_B900_416B_87B5_6A916F50D15D_.wvu.FilterData">BTG!$AG$2:$AG$766</definedName>
    <definedName hidden="1" localSheetId="3" name="Z_FFEA9777_B900_416B_87B5_6A916F50D15D_.wvu.FilterData">Guide!$A$2:$CD$395</definedName>
    <definedName hidden="1" localSheetId="5" name="Z_FFEA9777_B900_416B_87B5_6A916F50D15D_.wvu.FilterData">'Ágora'!$AB$2:$AB$28</definedName>
    <definedName hidden="1" localSheetId="2" name="Z_9C800DEC_CD4D_4DE6_8AF7_2DE4613307B0_.wvu.FilterData">BTG!$A$1:$AK$761</definedName>
    <definedName hidden="1" localSheetId="2" name="Z_11F02779_0190_4AF9_9527_CBF5F9A43F4E_.wvu.FilterData">BTG!$A$1:$AN$766</definedName>
    <definedName hidden="1" localSheetId="2" name="Z_B37ED8BD_A081_4587_B9D7_F0165E145E89_.wvu.FilterData">BTG!$AI$2:$AI$766</definedName>
    <definedName hidden="1" localSheetId="5" name="Z_B37ED8BD_A081_4587_B9D7_F0165E145E89_.wvu.FilterData">'Ágora'!$AD$2:$AD$28</definedName>
    <definedName hidden="1" localSheetId="2" name="Z_FAA4E4B3_F66C_45EF_AD3C_648637A05FC9_.wvu.FilterData">BTG!$A$1:$AO$758</definedName>
    <definedName hidden="1" localSheetId="2" name="Z_6733F935_C852_47D5_98BD_8140433034FA_.wvu.FilterData">BTG!$B$2:$AH$766</definedName>
    <definedName hidden="1" localSheetId="3" name="Z_6733F935_C852_47D5_98BD_8140433034FA_.wvu.FilterData">Guide!$A$1:$CB$395</definedName>
    <definedName hidden="1" localSheetId="5" name="Z_6733F935_C852_47D5_98BD_8140433034FA_.wvu.FilterData">'Ágora'!$B$2:$AC$28</definedName>
    <definedName hidden="1" localSheetId="2" name="Z_C81DB2FB_8DBF_4E3A_B758_305FD7FEA09C_.wvu.FilterData">BTG!$B$2:$AH$766</definedName>
    <definedName hidden="1" localSheetId="5" name="Z_C81DB2FB_8DBF_4E3A_B758_305FD7FEA09C_.wvu.FilterData">'Ágora'!$B$2:$AC$28</definedName>
    <definedName hidden="1" localSheetId="2" name="Z_2FB56CF0_E762_477D_AB70_F0F5CBA2529B_.wvu.FilterData">BTG!$A$1:$AK$761</definedName>
    <definedName hidden="1" localSheetId="3" name="Z_2FB56CF0_E762_477D_AB70_F0F5CBA2529B_.wvu.FilterData">Guide!$K$2:$K$403</definedName>
    <definedName hidden="1" localSheetId="2" name="Z_FF227447_C1C9_42D2_8D8A_C56572AD35C7_.wvu.FilterData">BTG!$A$1:$AP$758</definedName>
    <definedName hidden="1" localSheetId="2" name="Z_B1A2AC4A_C64C_414F_87A6_C08D5FF9589C_.wvu.FilterData">BTG!$B$2:$AF$761</definedName>
    <definedName hidden="1" localSheetId="3" name="Z_B1A2AC4A_C64C_414F_87A6_C08D5FF9589C_.wvu.FilterData">Guide!$K$2:$K$403</definedName>
    <definedName hidden="1" localSheetId="5" name="Z_B1A2AC4A_C64C_414F_87A6_C08D5FF9589C_.wvu.FilterData">'Ágora'!$B$2:$AA$16</definedName>
    <definedName hidden="1" localSheetId="2" name="Z_F5C80CFB_B622_4464_936A_672870383AD5_.wvu.FilterData">BTG!$B$2:$AF$761</definedName>
    <definedName hidden="1" localSheetId="3" name="Z_F5C80CFB_B622_4464_936A_672870383AD5_.wvu.FilterData">Guide!$K$2:$S$403</definedName>
    <definedName hidden="1" localSheetId="5" name="Z_F5C80CFB_B622_4464_936A_672870383AD5_.wvu.FilterData">'Ágora'!$B$2:$AA$16</definedName>
    <definedName hidden="1" localSheetId="2" name="Z_DD004607_5750_4979_B357_44EAE975BDB6_.wvu.FilterData">BTG!$A$1:$AN$758</definedName>
    <definedName hidden="1" localSheetId="2" name="Z_941322FC_F5D4_4321_A327_B6A7BCCE58AF_.wvu.FilterData">BTG!$A$1:$AO$758</definedName>
    <definedName hidden="1" localSheetId="2" name="Z_A5EAA86F_C7EC_4DBD_8A09_8CEDB0F21861_.wvu.FilterData">BTG!$A$1:$AK$761</definedName>
    <definedName hidden="1" localSheetId="2" name="Z_56A44B63_6071_47E2_B164_21D93611246C_.wvu.FilterData">BTG!$J$1:$P$757</definedName>
    <definedName hidden="1" localSheetId="2" name="Z_B0AA6F25_1F29_4A61_9DF2_C449D8B02114_.wvu.FilterData">BTG!$A$1:$AQ$758</definedName>
    <definedName hidden="1" localSheetId="2" name="Z_93649D97_0246_4A99_85BE_DDB9B45A1123_.wvu.FilterData">BTG!$D$2:$AH$766</definedName>
    <definedName hidden="1" localSheetId="3" name="Z_93649D97_0246_4A99_85BE_DDB9B45A1123_.wvu.FilterData">Guide!$A$1:$CE$395</definedName>
    <definedName hidden="1" localSheetId="5" name="Z_93649D97_0246_4A99_85BE_DDB9B45A1123_.wvu.FilterData">'Ágora'!$D$2:$AC$28</definedName>
    <definedName hidden="1" localSheetId="2" name="Z_807BCDEA_6B95_434C_81E7_0B3CE4ECB2DF_.wvu.FilterData">BTG!$B$2:$AH$761</definedName>
    <definedName hidden="1" localSheetId="3" name="Z_807BCDEA_6B95_434C_81E7_0B3CE4ECB2DF_.wvu.FilterData">Guide!$A$2:$CB$395</definedName>
    <definedName hidden="1" localSheetId="5" name="Z_807BCDEA_6B95_434C_81E7_0B3CE4ECB2DF_.wvu.FilterData">'Ágora'!$B$2:$AC$16</definedName>
    <definedName hidden="1" localSheetId="2" name="Z_28FD0294_0BF4_44EE_8184_397C77AA4C49_.wvu.FilterData">BTG!$K$2:$K$766</definedName>
    <definedName hidden="1" localSheetId="3" name="Z_28FD0294_0BF4_44EE_8184_397C77AA4C49_.wvu.FilterData">Guide!$K$2:$K$403</definedName>
    <definedName hidden="1" localSheetId="5" name="Z_28FD0294_0BF4_44EE_8184_397C77AA4C49_.wvu.FilterData">'Ágora'!$K$2:$K$28</definedName>
    <definedName hidden="1" localSheetId="2" name="Z_424A57B6_17E1_4DCA_AE69_B7F6B870FE48_.wvu.FilterData">BTG!$B$2:$AI$761</definedName>
    <definedName hidden="1" localSheetId="5" name="Z_424A57B6_17E1_4DCA_AE69_B7F6B870FE48_.wvu.FilterData">'Ágora'!$B$2:$AD$15</definedName>
    <definedName hidden="1" localSheetId="2" name="Z_C3793248_EC38_49A8_A093_85230ABDFD7C_.wvu.FilterData">BTG!$A$1:$AO$758</definedName>
    <definedName hidden="1" localSheetId="2" name="Z_4F74C571_8FE8_4562_BC75_783698851E8F_.wvu.FilterData">BTG!$A$1:$AO$758</definedName>
    <definedName hidden="1" localSheetId="2" name="Z_80B0F7F4_594E_4CC0_84BC_AF991D56D7AE_.wvu.FilterData">BTG!$H$1:$I$760</definedName>
    <definedName hidden="1" localSheetId="2" name="Z_6577FA48_69E8_4983_A974_47F8B553129B_.wvu.FilterData">BTG!$A$1:$AN$758</definedName>
    <definedName hidden="1" localSheetId="2" name="Z_ADD7C9E2_2292_4CA9_9D54_6DB837E5D79F_.wvu.FilterData">BTG!$B$2:$AI$766</definedName>
    <definedName hidden="1" localSheetId="5" name="Z_ADD7C9E2_2292_4CA9_9D54_6DB837E5D79F_.wvu.FilterData">'Ágora'!$B$2:$AD$28</definedName>
    <definedName hidden="1" localSheetId="2" name="Z_0BAC67E8_67C6_4D67_9245_65AC284F29C8_.wvu.FilterData">BTG!$K$2:$K$766</definedName>
    <definedName hidden="1" localSheetId="5" name="Z_0BAC67E8_67C6_4D67_9245_65AC284F29C8_.wvu.FilterData">'Ágora'!$K$2:$K$28</definedName>
    <definedName hidden="1" localSheetId="2" name="Z_203CFD03_B588_4CE1_B45A_B66FC78144D3_.wvu.FilterData">BTG!$F$2:$F$766</definedName>
    <definedName hidden="1" localSheetId="3" name="Z_203CFD03_B588_4CE1_B45A_B66FC78144D3_.wvu.FilterData">Guide!$A$1:$CC$395</definedName>
    <definedName hidden="1" localSheetId="5" name="Z_203CFD03_B588_4CE1_B45A_B66FC78144D3_.wvu.FilterData">'Ágora'!$F$2:$F$28</definedName>
    <definedName hidden="1" localSheetId="2" name="Z_6ECC0E83_B4E3_425E_B35B_A29539F661CE_.wvu.FilterData">BTG!$A$2:$AP$758</definedName>
    <definedName hidden="1" localSheetId="2" name="Z_991CEE5F_E673_4161_8EFA_857CF5B7ECE8_.wvu.FilterData">BTG!$A$1:$AL$758</definedName>
    <definedName hidden="1" localSheetId="2" name="Z_4DF567FA_14CE_4DE8_B839_12BA79204493_.wvu.FilterData">BTG!$B$2:$AI$761</definedName>
    <definedName hidden="1" localSheetId="5" name="Z_4DF567FA_14CE_4DE8_B839_12BA79204493_.wvu.FilterData">'Ágora'!$B$2:$AD$15</definedName>
    <definedName hidden="1" localSheetId="2" name="Z_E2036CD5_2579_46B7_90F1_CC323A007696_.wvu.FilterData">BTG!$A$2:$AQ$758</definedName>
    <definedName hidden="1" localSheetId="2" name="Z_B8DC0B3D_DE55_47D7_8D36_352A667DD24A_.wvu.FilterData">BTG!$A$1:$AL$766</definedName>
    <definedName hidden="1" localSheetId="2" name="Z_527816A2_4B9B_45A3_8053_6B2C2E9D6D5F_.wvu.FilterData">BTG!$F$2:$F$766</definedName>
    <definedName hidden="1" localSheetId="3" name="Z_527816A2_4B9B_45A3_8053_6B2C2E9D6D5F_.wvu.FilterData">Guide!$B$2:$BU$403</definedName>
    <definedName hidden="1" localSheetId="5" name="Z_527816A2_4B9B_45A3_8053_6B2C2E9D6D5F_.wvu.FilterData">'Ágora'!$F$2:$F$28</definedName>
    <definedName hidden="1" localSheetId="2" name="Z_2D7533EA_FA8D_4AD8_9CA9_A82A44690947_.wvu.FilterData">BTG!$A$2:$AQ$758</definedName>
    <definedName hidden="1" localSheetId="2" name="Z_B8A853D5_7798_4D28_8F1A_12FAA0502223_.wvu.FilterData">BTG!$D$2:$AH$766</definedName>
    <definedName hidden="1" localSheetId="3" name="Z_B8A853D5_7798_4D28_8F1A_12FAA0502223_.wvu.FilterData">Guide!$A$2:$CC$395</definedName>
    <definedName hidden="1" localSheetId="5" name="Z_B8A853D5_7798_4D28_8F1A_12FAA0502223_.wvu.FilterData">'Ágora'!$D$2:$AC$28</definedName>
    <definedName hidden="1" localSheetId="2" name="Z_5FF7DAD9_66A0_41CC_8AA0_7CD64962C232_.wvu.FilterData">BTG!$A$1:$AO$758</definedName>
    <definedName hidden="1" localSheetId="2" name="Z_2ADBE1CE_B7B7_4A58_9C30_D576E9273C0E_.wvu.FilterData">BTG!$A$1:$AO$758</definedName>
    <definedName hidden="1" localSheetId="0" name="Z_F6D75903_A93A_4F57_B54E_1739ADB203EE_.wvu.FilterData">'Clientes Novos Int.'!$B$1:$N$1</definedName>
    <definedName hidden="1" localSheetId="1" name="Z_F6D75903_A93A_4F57_B54E_1739ADB203EE_.wvu.FilterData">'Clientes Novos'!$A$1:$P$1</definedName>
    <definedName hidden="1" localSheetId="2" name="Z_F6D75903_A93A_4F57_B54E_1739ADB203EE_.wvu.FilterData">BTG!$A$2:$AK$761</definedName>
    <definedName hidden="1" localSheetId="3" name="Z_F6D75903_A93A_4F57_B54E_1739ADB203EE_.wvu.FilterData">Guide!$K$2:$K$403</definedName>
    <definedName hidden="1" localSheetId="2" name="Z_30CD6512_7846_476B_89BC_9FFEB186AB82_.wvu.FilterData">BTG!$A$2:$AQ$758</definedName>
    <definedName hidden="1" localSheetId="2" name="Z_E8AE4EC0_D8EA_4FC9_B21B_43589401B177_.wvu.FilterData">BTG!$B$2:$AI$761</definedName>
    <definedName hidden="1" localSheetId="5" name="Z_E8AE4EC0_D8EA_4FC9_B21B_43589401B177_.wvu.FilterData">'Ágora'!$B$2:$AD$15</definedName>
    <definedName hidden="1" localSheetId="2" name="Z_82738ACB_3941_440C_8D56_0EBE99A16184_.wvu.FilterData">BTG!$A$1:$AO$758</definedName>
    <definedName hidden="1" localSheetId="2" name="Z_218E914D_901C_4984_811D_7D6977C94C2E_.wvu.FilterData">BTG!$A$2:$AP$758</definedName>
    <definedName hidden="1" localSheetId="2" name="Z_E419869F_94CF_4F23_866F_70B2C4A863B5_.wvu.FilterData">BTG!$A$2:$AQ$758</definedName>
    <definedName hidden="1" localSheetId="2" name="Z_002BD7C7_0543_4964_91BC_717EEDED7FED_.wvu.FilterData">BTG!$A$1:$AN$758</definedName>
    <definedName hidden="1" localSheetId="2" name="Z_D4668A8E_9B32_4C23_98AE_F6C439C33CDE_.wvu.FilterData">BTG!$F$2:$F$766</definedName>
    <definedName hidden="1" localSheetId="5" name="Z_D4668A8E_9B32_4C23_98AE_F6C439C33CDE_.wvu.FilterData">'Ágora'!$F$2:$F$28</definedName>
    <definedName hidden="1" localSheetId="2" name="Z_351B93A4_D157_4FFA_A79E_34101ADDD644_.wvu.FilterData">BTG!$A$1:$AL$765</definedName>
    <definedName hidden="1" localSheetId="2" name="Z_17313076_8C49_4194_8EC8_B18A813C525D_.wvu.FilterData">BTG!$A$1:$AO$758</definedName>
    <definedName hidden="1" localSheetId="2" name="Z_249DC8AA_ACA6_4B9C_A07F_AB9BD6C0EE3A_.wvu.FilterData">BTG!$B$2:$AF$761</definedName>
    <definedName hidden="1" localSheetId="3" name="Z_249DC8AA_ACA6_4B9C_A07F_AB9BD6C0EE3A_.wvu.FilterData">Guide!$B$2:$S$403</definedName>
    <definedName hidden="1" localSheetId="5" name="Z_249DC8AA_ACA6_4B9C_A07F_AB9BD6C0EE3A_.wvu.FilterData">'Ágora'!$B$2:$AA$16</definedName>
    <definedName hidden="1" localSheetId="2" name="Z_1935068D_4DDF_492B_86B3_E23BE8435FE4_.wvu.FilterData">BTG!$A$1:$AQ$758</definedName>
    <definedName hidden="1" localSheetId="2" name="Z_0A28620A_A772_4E99_864E_56FAB5CC1494_.wvu.FilterData">BTG!$M$2:$O$766</definedName>
    <definedName hidden="1" localSheetId="5" name="Z_0A28620A_A772_4E99_864E_56FAB5CC1494_.wvu.FilterData">'Ágora'!$M$2:$O$28</definedName>
    <definedName hidden="1" localSheetId="2" name="Z_65B22A8E_A19E_4771_9DB2_BC4B71992246_.wvu.FilterData">BTG!$A$2:$AO$758</definedName>
    <definedName hidden="1" localSheetId="2" name="Z_7072D128_9EA6_4728_A634_81E48BE183B9_.wvu.FilterData">BTG!$B$2:$AF$761</definedName>
    <definedName hidden="1" localSheetId="3" name="Z_7072D128_9EA6_4728_A634_81E48BE183B9_.wvu.FilterData">Guide!$B$2:$BS$395</definedName>
    <definedName hidden="1" localSheetId="5" name="Z_7072D128_9EA6_4728_A634_81E48BE183B9_.wvu.FilterData">'Ágora'!$B$2:$AA$16</definedName>
    <definedName hidden="1" localSheetId="2" name="Z_9806863C_61C7_4C39_A9C0_4CEDC4F750D7_.wvu.FilterData">BTG!$K$2:$K$766</definedName>
    <definedName hidden="1" localSheetId="5" name="Z_9806863C_61C7_4C39_A9C0_4CEDC4F750D7_.wvu.FilterData">'Ágora'!$K$2:$K$28</definedName>
    <definedName hidden="1" localSheetId="2" name="Z_F54D44DF_3139_400C_8D16_F0861529D2A4_.wvu.FilterData">BTG!$B$2:$AH$761</definedName>
    <definedName hidden="1" localSheetId="3" name="Z_F54D44DF_3139_400C_8D16_F0861529D2A4_.wvu.FilterData">Guide!$K$2:$K$403</definedName>
    <definedName hidden="1" localSheetId="5" name="Z_F54D44DF_3139_400C_8D16_F0861529D2A4_.wvu.FilterData">'Ágora'!$B$2:$AC$16</definedName>
    <definedName hidden="1" localSheetId="2" name="Z_9AD3171E_9C73_48CC_A722_A91CBAFE3F7D_.wvu.FilterData">BTG!$A$1:$AP$758</definedName>
    <definedName hidden="1" localSheetId="2" name="Z_F8C59293_A29C_4252_980A_AC0680D21F03_.wvu.FilterData">BTG!$A$2:$AP$758</definedName>
    <definedName hidden="1" localSheetId="2" name="Z_6C19CD0F_061D_43E0_8C09_B350629DF4FF_.wvu.FilterData">BTG!$A$1:$AL$765</definedName>
    <definedName hidden="1" localSheetId="2" name="Z_3EE42EF3_FEFE_45C5_9C1B_CF7EAA5578F5_.wvu.FilterData">BTG!$A$1:$AM$766</definedName>
    <definedName hidden="1" localSheetId="2" name="Z_939316C9_8393_4C5D_85C5_12C6B26E4407_.wvu.FilterData">BTG!$AQ$7:$AQ$755</definedName>
    <definedName hidden="1" localSheetId="2" name="Z_D46EE40F_F813_42C1_BCBB_7E3CE76BEF6A_.wvu.FilterData">BTG!$D$2:$F$766</definedName>
    <definedName hidden="1" localSheetId="5" name="Z_D46EE40F_F813_42C1_BCBB_7E3CE76BEF6A_.wvu.FilterData">'Ágora'!$D$2:$F$28</definedName>
    <definedName hidden="1" localSheetId="2" name="Z_195AA3C8_95D2_4D35_B94E_2D77426CB4B7_.wvu.FilterData">BTG!$F$2:$F$766</definedName>
    <definedName hidden="1" localSheetId="5" name="Z_195AA3C8_95D2_4D35_B94E_2D77426CB4B7_.wvu.FilterData">'Ágora'!$F$2:$F$28</definedName>
    <definedName hidden="1" localSheetId="2" name="Z_1B2EE39D_5AF7_4367_B877_1CE29A8BF146_.wvu.FilterData">BTG!$B$2:$AH$761</definedName>
    <definedName hidden="1" localSheetId="5" name="Z_1B2EE39D_5AF7_4367_B877_1CE29A8BF146_.wvu.FilterData">'Ágora'!$B$2:$AC$16</definedName>
    <definedName hidden="1" localSheetId="2" name="Z_16DA525E_0801_4067_A4F6_0C4EED30B94C_.wvu.FilterData">BTG!$A$2:$AP$758</definedName>
    <definedName hidden="1" localSheetId="2" name="Z_7A6CDDCD_2F33_4272_B4F1_A34C4A6C4EF9_.wvu.FilterData">BTG!$AB$2:$AB$766</definedName>
    <definedName hidden="1" localSheetId="3" name="Z_7A6CDDCD_2F33_4272_B4F1_A34C4A6C4EF9_.wvu.FilterData">Guide!$K$2:$K$403</definedName>
    <definedName hidden="1" localSheetId="2" name="Z_29963C01_07DE_4ACC_B284_4C74A359E65D_.wvu.FilterData">BTG!$A$1:$AQ$758</definedName>
    <definedName hidden="1" localSheetId="2" name="Z_0F5477F4_8DEC_4DEA_9327_C8DD35B24055_.wvu.FilterData">BTG!$A$1:$AQ$758</definedName>
    <definedName hidden="1" localSheetId="2" name="Z_58178040_2D59_4F96_B7CE_33C5E4534889_.wvu.FilterData">BTG!$A$1:$AK$761</definedName>
    <definedName hidden="1" localSheetId="2" name="Z_4276E4B9_3427_43C7_8DF0_FAF8C39984FE_.wvu.FilterData">BTG!$A$1:$AQ$758</definedName>
    <definedName hidden="1" localSheetId="2" name="Z_4E2753BD_4DF6_432C_83F4_D732350596C8_.wvu.FilterData">BTG!$A$2:$AO$758</definedName>
    <definedName hidden="1" localSheetId="0" name="Z_EE1FF9EE_17F4_4E10_A930_20801D66BC0D_.wvu.FilterData">'Clientes Novos Int.'!$D$1</definedName>
    <definedName hidden="1" localSheetId="1" name="Z_EE1FF9EE_17F4_4E10_A930_20801D66BC0D_.wvu.FilterData">'Clientes Novos'!$C$1</definedName>
    <definedName hidden="1" localSheetId="2" name="Z_EE1FF9EE_17F4_4E10_A930_20801D66BC0D_.wvu.FilterData">BTG!$B$2:$AF$761</definedName>
    <definedName hidden="1" localSheetId="3" name="Z_EE1FF9EE_17F4_4E10_A930_20801D66BC0D_.wvu.FilterData">Guide!$B$2:$BR$395</definedName>
    <definedName hidden="1" localSheetId="5" name="Z_EE1FF9EE_17F4_4E10_A930_20801D66BC0D_.wvu.FilterData">'Ágora'!$B$2:$AA$16</definedName>
    <definedName hidden="1" localSheetId="2" name="Z_BE7F9010_0702_46BA_8615_F4442E99271F_.wvu.FilterData">BTG!$A$1:$AL$766</definedName>
    <definedName hidden="1" localSheetId="2" name="Z_067530D5_BC65_40A2_8AFE_3C1AD2D03064_.wvu.FilterData">BTG!$A$1:$AQ$758</definedName>
    <definedName hidden="1" localSheetId="2" name="Z_3A2E2F56_5C26_4727_B870_37D27FA0CF5F_.wvu.FilterData">BTG!$A$1:$AO$758</definedName>
    <definedName hidden="1" localSheetId="2" name="Z_2C8EFD8E_E1A1_451E_BE86_04CE4043094B_.wvu.FilterData">BTG!$A$1:$AK$761</definedName>
    <definedName hidden="1" localSheetId="2" name="Z_89DD8F7B_8177_47AF_ADAF_E718951036C8_.wvu.FilterData">BTG!$A$1:$AK$761</definedName>
    <definedName hidden="1" localSheetId="3" name="Z_89DD8F7B_8177_47AF_ADAF_E718951036C8_.wvu.FilterData">Guide!$B$2:$BR$395</definedName>
    <definedName hidden="1" localSheetId="2" name="Z_E2A18CCD_FD0F_45C2_9452_352C9795E5B8_.wvu.FilterData">BTG!$A$1:$AK$761</definedName>
    <definedName hidden="1" localSheetId="2" name="Z_6BD601B2_B813_4770_9558_9A9BF894111C_.wvu.FilterData">BTG!$D$2:$F$766</definedName>
    <definedName hidden="1" localSheetId="5" name="Z_6BD601B2_B813_4770_9558_9A9BF894111C_.wvu.FilterData">'Ágora'!$D$2:$F$28</definedName>
    <definedName hidden="1" localSheetId="2" name="Z_BB9053C8_9A46_4618_98DF_AEE2777B8CFF_.wvu.FilterData">BTG!$A$2:$AP$758</definedName>
    <definedName hidden="1" localSheetId="2" name="Z_60630ED3_C60B_4E90_B253_7BB4E3CEC8F1_.wvu.FilterData">BTG!$B$2:$AI$761</definedName>
    <definedName hidden="1" localSheetId="5" name="Z_60630ED3_C60B_4E90_B253_7BB4E3CEC8F1_.wvu.FilterData">'Ágora'!$B$2:$AD$15</definedName>
    <definedName hidden="1" localSheetId="2" name="Z_69755950_0F37_4A21_A01E_D49190A07E6D_.wvu.FilterData">BTG!$A$1:$AU$761</definedName>
    <definedName hidden="1" localSheetId="2" name="Z_F72DA440_B165_470D_8DA5_D9CD2A2394F4_.wvu.FilterData">BTG!$A$1:$AO$758</definedName>
    <definedName hidden="1" localSheetId="2" name="Z_AC551A29_707B_4289_A8DB_F4ED5B9795F4_.wvu.FilterData">BTG!$A$1:$AK$761</definedName>
    <definedName hidden="1" localSheetId="2" name="Z_EBCAF7EC_F177_43E2_A7F6_731BC7259EB1_.wvu.FilterData">BTG!$A$2:$AO$758</definedName>
    <definedName hidden="1" localSheetId="2" name="Z_098DAA67_F337_4C14_BDDF_C2F448607A66_.wvu.FilterData">BTG!$A$1:$AQ$761</definedName>
    <definedName hidden="1" localSheetId="2" name="Z_9DD7283C_19A8_4365_853C_187FE31A095B_.wvu.FilterData">BTG!$B$2:$AI$761</definedName>
    <definedName hidden="1" localSheetId="5" name="Z_9DD7283C_19A8_4365_853C_187FE31A095B_.wvu.FilterData">'Ágora'!$B$2:$AD$16</definedName>
    <definedName hidden="1" localSheetId="2" name="Z_9C06E5C7_F415_4312_B81A_EAA4F6A09DCB_.wvu.FilterData">BTG!$Q$2:$Q$766</definedName>
    <definedName hidden="1" localSheetId="5" name="Z_9C06E5C7_F415_4312_B81A_EAA4F6A09DCB_.wvu.FilterData">'Ágora'!$Q$2:$Q$28</definedName>
    <definedName hidden="1" localSheetId="2" name="Z_3605FC9A_83A4_4339_B8CA_08AEEBCE0400_.wvu.FilterData">BTG!$A$1:$AL$766</definedName>
    <definedName hidden="1" localSheetId="2" name="Z_98B7228B_6EF6_4FC0_A24B_A3E30B3D065D_.wvu.FilterData">BTG!$A$2:$AO$758</definedName>
    <definedName hidden="1" localSheetId="2" name="Z_6B781031_E317_408B_AA3E_BBA15CAB4E3F_.wvu.FilterData">BTG!$B$2:$AH$761</definedName>
    <definedName hidden="1" localSheetId="3" name="Z_6B781031_E317_408B_AA3E_BBA15CAB4E3F_.wvu.FilterData">Guide!$K$2:$K$403</definedName>
    <definedName hidden="1" localSheetId="5" name="Z_6B781031_E317_408B_AA3E_BBA15CAB4E3F_.wvu.FilterData">'Ágora'!$B$2:$AC$16</definedName>
    <definedName hidden="1" localSheetId="0" name="Z_8AB1E79D_D44B_4A2E_9F3E_6435461CA99B_.wvu.FilterData">'Clientes Novos Int.'!$B$1:$N$1</definedName>
    <definedName hidden="1" localSheetId="1" name="Z_8AB1E79D_D44B_4A2E_9F3E_6435461CA99B_.wvu.FilterData">'Clientes Novos'!$A$1:$P$1</definedName>
    <definedName hidden="1" localSheetId="2" name="Z_8AB1E79D_D44B_4A2E_9F3E_6435461CA99B_.wvu.FilterData">BTG!$B$2:$AJ$761</definedName>
    <definedName hidden="1" localSheetId="3" name="Z_8AB1E79D_D44B_4A2E_9F3E_6435461CA99B_.wvu.FilterData">Guide!$K$2:$K$403</definedName>
    <definedName hidden="1" localSheetId="0" name="Z_CF9BBF74_3EB1_4F1E_8AB9_3B8870336168_.wvu.FilterData">'Clientes Novos Int.'!$B$1:$N$1</definedName>
    <definedName hidden="1" localSheetId="1" name="Z_CF9BBF74_3EB1_4F1E_8AB9_3B8870336168_.wvu.FilterData">'Clientes Novos'!$A$1:$P$1</definedName>
    <definedName hidden="1" localSheetId="2" name="Z_CF9BBF74_3EB1_4F1E_8AB9_3B8870336168_.wvu.FilterData">BTG!$B$2:$AJ$761</definedName>
    <definedName hidden="1" localSheetId="3" name="Z_CF9BBF74_3EB1_4F1E_8AB9_3B8870336168_.wvu.FilterData">Guide!$L$2:$L$403</definedName>
    <definedName hidden="1" localSheetId="4" name="Z_CF9BBF74_3EB1_4F1E_8AB9_3B8870336168_.wvu.FilterData">Genial!$A$1:$BW$40</definedName>
    <definedName hidden="1" localSheetId="5" name="Z_CF9BBF74_3EB1_4F1E_8AB9_3B8870336168_.wvu.FilterData">'Ágora'!$B$2:$AE$15</definedName>
    <definedName hidden="1" localSheetId="7" name="Z_CF9BBF74_3EB1_4F1E_8AB9_3B8870336168_.wvu.FilterData">Pershing!$C$2:$AF$22</definedName>
    <definedName hidden="1" localSheetId="8" name="Z_CF9BBF74_3EB1_4F1E_8AB9_3B8870336168_.wvu.FilterData">'Interactive Brokers'!$B$2:$W$22</definedName>
    <definedName hidden="1" localSheetId="10" name="Z_CF9BBF74_3EB1_4F1E_8AB9_3B8870336168_.wvu.FilterData">XP!$C$1:$BN$543</definedName>
    <definedName hidden="1" localSheetId="16" name="Z_CF9BBF74_3EB1_4F1E_8AB9_3B8870336168_.wvu.FilterData">'Saídas'!$A$2:$K$798</definedName>
    <definedName hidden="1" localSheetId="2" name="Z_7894E2DB_6D88_41B9_B0FD_BB12B1149442_.wvu.FilterData">BTG!$B$2:$AI$761</definedName>
    <definedName hidden="1" localSheetId="5" name="Z_7894E2DB_6D88_41B9_B0FD_BB12B1149442_.wvu.FilterData">'Ágora'!$B$2:$AD$15</definedName>
    <definedName hidden="1" localSheetId="2" name="Z_EBE105E8_56E8_4505_B28E_67C2CC303C02_.wvu.FilterData">BTG!$B$2:$AH$761</definedName>
    <definedName hidden="1" localSheetId="3" name="Z_EBE105E8_56E8_4505_B28E_67C2CC303C02_.wvu.FilterData">Guide!$A$1:$CE$395</definedName>
    <definedName hidden="1" localSheetId="5" name="Z_EBE105E8_56E8_4505_B28E_67C2CC303C02_.wvu.FilterData">'Ágora'!$B$2:$AC$16</definedName>
    <definedName hidden="1" localSheetId="2" name="Z_F52BADBB_2250_4EB0_AE59_3B351AF4CB20_.wvu.FilterData">BTG!$A$1:$AO$758</definedName>
    <definedName hidden="1" localSheetId="2" name="Z_22E34851_C712_4DB9_9F53_90ABD4960326_.wvu.FilterData">BTG!$A$1:$AK$761</definedName>
    <definedName hidden="1" localSheetId="2" name="Z_50A64E20_179A_461B_8B35_654E924468DE_.wvu.FilterData">BTG!$A$1:$AP$758</definedName>
    <definedName hidden="1" localSheetId="2" name="Z_07C9AAB0_0B99_46F9_8089_D57269F3B169_.wvu.FilterData">BTG!$B$2:$AI$761</definedName>
    <definedName hidden="1" localSheetId="5" name="Z_07C9AAB0_0B99_46F9_8089_D57269F3B169_.wvu.FilterData">'Ágora'!$B$2:$AD$15</definedName>
    <definedName hidden="1" localSheetId="2" name="Z_6E5CBF55_620D_4794_A697_C5B463839A69_.wvu.FilterData">BTG!$A$1:$AK$761</definedName>
    <definedName hidden="1" localSheetId="2" name="Z_9B49E8BA_48FA_4020_8F93_B79C24E211EC_.wvu.FilterData">BTG!$A$1:$AL$766</definedName>
    <definedName hidden="1" localSheetId="2" name="Z_0DBFFFC7_5474_4620_9D7B_3D6876EC9FC3_.wvu.FilterData">BTG!$A$1:$AK$761</definedName>
    <definedName hidden="1" localSheetId="3" name="Z_0DBFFFC7_5474_4620_9D7B_3D6876EC9FC3_.wvu.FilterData">Guide!$B$2:$BS$395</definedName>
    <definedName hidden="1" localSheetId="2" name="Z_AF409453_BC67_45E0_920B_4FE1B872DC88_.wvu.FilterData">BTG!$A$1:$AK$761</definedName>
    <definedName hidden="1" localSheetId="2" name="Z_1E4656B6_04EF_4C51_8BEF_0D3E4B854513_.wvu.FilterData">BTG!$A$1:$AQ$758</definedName>
    <definedName hidden="1" localSheetId="2" name="Z_AC480C24_6F8A_45A4_8FE4_1F7B679F60BD_.wvu.FilterData">BTG!$A$1:$AO$758</definedName>
    <definedName hidden="1" localSheetId="2" name="Z_F5088339_4517_40AA_8AA0_9770E7964E8D_.wvu.FilterData">BTG!$B$2:$AI$761</definedName>
    <definedName hidden="1" localSheetId="5" name="Z_F5088339_4517_40AA_8AA0_9770E7964E8D_.wvu.FilterData">'Ágora'!$B$2:$AD$15</definedName>
    <definedName hidden="1" localSheetId="2" name="Z_D47B45DE_C83F_4A7C_8B39_135BE9D9DA5A_.wvu.FilterData">BTG!$B$2:$AF$761</definedName>
    <definedName hidden="1" localSheetId="3" name="Z_D47B45DE_C83F_4A7C_8B39_135BE9D9DA5A_.wvu.FilterData">Guide!$K$2:$S$403</definedName>
    <definedName hidden="1" localSheetId="5" name="Z_D47B45DE_C83F_4A7C_8B39_135BE9D9DA5A_.wvu.FilterData">'Ágora'!$B$2:$AA$16</definedName>
    <definedName hidden="1" localSheetId="2" name="Z_A90D1CE9_2DD8_4EF7_AB3F_AA9D15B48525_.wvu.FilterData">BTG!$K$2:$K$766</definedName>
    <definedName hidden="1" localSheetId="3" name="Z_A90D1CE9_2DD8_4EF7_AB3F_AA9D15B48525_.wvu.FilterData">Guide!$B$2:$S$403</definedName>
    <definedName hidden="1" localSheetId="5" name="Z_A90D1CE9_2DD8_4EF7_AB3F_AA9D15B48525_.wvu.FilterData">'Ágora'!$K$2:$K$28</definedName>
    <definedName hidden="1" localSheetId="2" name="Z_7696A896_DA7B_4BCF_8F35_60E2EA48F19A_.wvu.FilterData">BTG!$AI$2:$AI$766</definedName>
    <definedName hidden="1" localSheetId="5" name="Z_7696A896_DA7B_4BCF_8F35_60E2EA48F19A_.wvu.FilterData">'Ágora'!$AD$2:$AD$28</definedName>
    <definedName hidden="1" localSheetId="2" name="Z_50A705E5_6084_4A14_9446_A8F5C19216DC_.wvu.FilterData">BTG!$B$2:$Q$761</definedName>
    <definedName hidden="1" localSheetId="5" name="Z_50A705E5_6084_4A14_9446_A8F5C19216DC_.wvu.FilterData">'Ágora'!$B$2:$Q$15</definedName>
    <definedName hidden="1" localSheetId="2" name="Z_8596839A_D596_42C2_9694_EB0B4B1E00CA_.wvu.FilterData">BTG!$D$2:$F$766</definedName>
    <definedName hidden="1" localSheetId="5" name="Z_8596839A_D596_42C2_9694_EB0B4B1E00CA_.wvu.FilterData">'Ágora'!$D$2:$F$28</definedName>
    <definedName hidden="1" localSheetId="2" name="Z_71C85B78_63E1_4EF4_BC8E_3B477CF22AD7_.wvu.FilterData">BTG!$A$1:$AO$758</definedName>
    <definedName hidden="1" localSheetId="2" name="Z_36E0A0F7_4BC8_4711_9CE3_4631AEDA9133_.wvu.FilterData">BTG!$A$1:$AN$758</definedName>
    <definedName hidden="1" localSheetId="2" name="Z_7BCA2C2C_F7E8_4C6F_8167_87779DE61747_.wvu.FilterData">BTG!$AA$2:$AA$766</definedName>
    <definedName hidden="1" localSheetId="3" name="Z_7BCA2C2C_F7E8_4C6F_8167_87779DE61747_.wvu.FilterData">Guide!$K$2:$K$403</definedName>
    <definedName hidden="1" localSheetId="2" name="Z_31ED8FC5_61F6_4B2C_9005_2511CFFDEBE4_.wvu.FilterData">BTG!$A$1:$AP$758</definedName>
    <definedName hidden="1" localSheetId="2" name="Z_87660795_0C12_4D8D_B39A_BE0FE0615B3B_.wvu.FilterData">BTG!$A$1:$AO$758</definedName>
    <definedName hidden="1" localSheetId="2" name="Z_4A99E02D_9CF3_40CD_804D_2A74A1FD528D_.wvu.FilterData">BTG!$A$1:$AQ$758</definedName>
    <definedName hidden="1" localSheetId="2" name="Z_F2743C07_3896_4714_8988_946704903AA9_.wvu.FilterData">BTG!$A$1:$AO$758</definedName>
    <definedName hidden="1" localSheetId="2" name="Z_E4D65EE7_8307_4FA6_802F_84511C17C5BA_.wvu.FilterData">BTG!$K$2:$K$766</definedName>
    <definedName hidden="1" localSheetId="3" name="Z_E4D65EE7_8307_4FA6_802F_84511C17C5BA_.wvu.FilterData">Guide!$B$2:$BW$395</definedName>
    <definedName hidden="1" localSheetId="5" name="Z_E4D65EE7_8307_4FA6_802F_84511C17C5BA_.wvu.FilterData">'Ágora'!$K$2:$K$28</definedName>
    <definedName hidden="1" localSheetId="2" name="Z_2E1C32E7_917B_49DA_B2E0_D6E471C622BC_.wvu.FilterData">BTG!$D$2:$E$760</definedName>
    <definedName hidden="1" localSheetId="2" name="Z_5D55A992_373B_4D0F_A016_4436D4DC1687_.wvu.FilterData">BTG!$K$2:$K$766</definedName>
    <definedName hidden="1" localSheetId="5" name="Z_5D55A992_373B_4D0F_A016_4436D4DC1687_.wvu.FilterData">'Ágora'!$K$2:$K$28</definedName>
    <definedName hidden="1" localSheetId="2" name="Z_CE214755_37C0_4B56_9E0D_5EDB9F6A70AC_.wvu.FilterData">BTG!$A$1:$AK$761</definedName>
    <definedName hidden="1" localSheetId="2" name="Z_B8D7389D_EA13_45B6_A864_F4E0128C6069_.wvu.FilterData">BTG!$F$2:$F$766</definedName>
    <definedName hidden="1" localSheetId="3" name="Z_B8D7389D_EA13_45B6_A864_F4E0128C6069_.wvu.FilterData">Guide!$A$2:$CB$395</definedName>
    <definedName hidden="1" localSheetId="5" name="Z_B8D7389D_EA13_45B6_A864_F4E0128C6069_.wvu.FilterData">'Ágora'!$F$2:$F$28</definedName>
    <definedName hidden="1" localSheetId="2" name="Z_17A1DC01_E6CA_4A1D_AC0D_45D893B2B4B7_.wvu.FilterData">BTG!$A$1:$AQ$758</definedName>
    <definedName hidden="1" localSheetId="2" name="Z_8FDBAED6_7314_41A3_AD61_5FB61237D173_.wvu.FilterData">BTG!$A$2:$AP$758</definedName>
    <definedName hidden="1" localSheetId="2" name="Z_D994380C_DC42_4D10_B92D_DD6A46C0BCE6_.wvu.FilterData">BTG!$F$2:$F$766</definedName>
    <definedName hidden="1" localSheetId="5" name="Z_D994380C_DC42_4D10_B92D_DD6A46C0BCE6_.wvu.FilterData">'Ágora'!$F$2:$F$28</definedName>
    <definedName hidden="1" localSheetId="2" name="Z_7714BA43_C4CF_4668_B58E_368070C4EE36_.wvu.FilterData">BTG!$A$1:$AO$758</definedName>
    <definedName hidden="1" localSheetId="2" name="Z_08D8628B_0391_401E_8541_E619E5D1C521_.wvu.FilterData">BTG!$D$2:$F$766</definedName>
    <definedName hidden="1" localSheetId="5" name="Z_08D8628B_0391_401E_8541_E619E5D1C521_.wvu.FilterData">'Ágora'!$D$2:$F$28</definedName>
    <definedName hidden="1" localSheetId="2" name="Z_F687DD08_BAD0_41DF_967D_B3D5FD09BE12_.wvu.FilterData">BTG!$A$1:$AP$758</definedName>
    <definedName hidden="1" localSheetId="2" name="Z_3601C08F_C1EA_4C56_85EF_27960E955E0B_.wvu.FilterData">BTG!$A$2:$AP$758</definedName>
    <definedName hidden="1" localSheetId="2" name="Z_3654C13C_2944_4916_A043_D1B3ED0574D7_.wvu.FilterData">BTG!$A$1:$AO$766</definedName>
    <definedName hidden="1" localSheetId="2" name="Z_C5BCE252_50A6_4475_8861_533DFF234630_.wvu.FilterData">BTG!$A$1:$AK$761</definedName>
    <definedName hidden="1" localSheetId="3" name="Z_C5BCE252_50A6_4475_8861_533DFF234630_.wvu.FilterData">Guide!$A$1:$CE$395</definedName>
    <definedName hidden="1" localSheetId="2" name="Z_A613CB1A_8D02_4219_831A_5459B0CFD5BA_.wvu.FilterData">BTG!$A$1:$AP$758</definedName>
    <definedName hidden="1" localSheetId="0" name="Z_0C64D1DF_F9E6_41EC_A890_6C4BDAEAA33D_.wvu.FilterData">'Clientes Novos Int.'!$B$1:$J$1</definedName>
    <definedName hidden="1" localSheetId="1" name="Z_0C64D1DF_F9E6_41EC_A890_6C4BDAEAA33D_.wvu.FilterData">'Clientes Novos'!$A$1:$I$1</definedName>
    <definedName hidden="1" localSheetId="2" name="Z_0C64D1DF_F9E6_41EC_A890_6C4BDAEAA33D_.wvu.FilterData">BTG!$K$2:$L$766</definedName>
    <definedName hidden="1" localSheetId="3" name="Z_0C64D1DF_F9E6_41EC_A890_6C4BDAEAA33D_.wvu.FilterData">Guide!$K$2:$S$241</definedName>
    <definedName hidden="1" localSheetId="4" name="Z_0C64D1DF_F9E6_41EC_A890_6C4BDAEAA33D_.wvu.FilterData">Genial!$A$2:$BZ$31</definedName>
    <definedName hidden="1" localSheetId="5" name="Z_0C64D1DF_F9E6_41EC_A890_6C4BDAEAA33D_.wvu.FilterData">'Ágora'!$K$2:$L$28</definedName>
    <definedName hidden="1" localSheetId="10" name="Z_0C64D1DF_F9E6_41EC_A890_6C4BDAEAA33D_.wvu.FilterData">XP!$C$1:$BS$543</definedName>
    <definedName hidden="1" localSheetId="2" name="Z_59745CF7_9E8E_49DF_9D7F_82B01D0A03CA_.wvu.FilterData">BTG!$A$2:$AK$761</definedName>
    <definedName hidden="1" localSheetId="2" name="Z_80591A99_46B9_4F94_B0C2_B94E874E67D6_.wvu.FilterData">BTG!$B$2:$AI$761</definedName>
    <definedName hidden="1" localSheetId="5" name="Z_80591A99_46B9_4F94_B0C2_B94E874E67D6_.wvu.FilterData">'Ágora'!$B$2:$AD$15</definedName>
    <definedName hidden="1" localSheetId="2" name="Z_56ECC9D4_F02E_40F7_8CB1_5252EB723433_.wvu.FilterData">BTG!$A$1:$AK$761</definedName>
    <definedName hidden="1" localSheetId="2" name="Z_632978AA_877A_435A_80FF_BF648B47C576_.wvu.FilterData">BTG!$A$1:$AO$758</definedName>
    <definedName hidden="1" localSheetId="2" name="Z_047EEB22_2913_4543_9148_09809BEE786D_.wvu.FilterData">BTG!$B$2:$AH$761</definedName>
    <definedName hidden="1" localSheetId="5" name="Z_047EEB22_2913_4543_9148_09809BEE786D_.wvu.FilterData">'Ágora'!$B$2:$AC$16</definedName>
    <definedName hidden="1" localSheetId="2" name="Z_1B65BCE5_C2D2_4C7D_AC35_0F4F34D9AC32_.wvu.FilterData">BTG!$A$1:$AL$766</definedName>
    <definedName hidden="1" localSheetId="2" name="Z_B121C2D8_29F2_41CE_A81E_32C7C85891D5_.wvu.FilterData">BTG!$A$1:$AP$758</definedName>
    <definedName hidden="1" localSheetId="2" name="Z_7116B13B_1593_49E0_8822_D288A8A506B5_.wvu.FilterData">BTG!$B$2:$AF$761</definedName>
    <definedName hidden="1" localSheetId="3" name="Z_7116B13B_1593_49E0_8822_D288A8A506B5_.wvu.FilterData">Guide!$B$2:$S$403</definedName>
    <definedName hidden="1" localSheetId="5" name="Z_7116B13B_1593_49E0_8822_D288A8A506B5_.wvu.FilterData">'Ágora'!$B$2:$AA$16</definedName>
    <definedName hidden="1" localSheetId="2" name="Z_90BDC925_56AF_4128_BD36_B333764EE125_.wvu.FilterData">BTG!$A$2:$AM$758</definedName>
    <definedName hidden="1" localSheetId="2" name="Z_799F23A9_123F_451F_997A_0AB92C074595_.wvu.FilterData">BTG!$A$1:$AQ$758</definedName>
    <definedName hidden="1" localSheetId="2" name="Z_2C570B30_E496_48AB_880D_A8BFB9D9CC25_.wvu.FilterData">BTG!$B$2:$AI$766</definedName>
    <definedName hidden="1" localSheetId="5" name="Z_2C570B30_E496_48AB_880D_A8BFB9D9CC25_.wvu.FilterData">'Ágora'!$B$2:$AD$28</definedName>
    <definedName hidden="1" localSheetId="2" name="Z_CC81063B_6265_4319_9636_317DE3114619_.wvu.FilterData">BTG!$A$1:$AM$758</definedName>
    <definedName hidden="1" localSheetId="2" name="Z_FD8A57D8_FAC6_460A_AE37_3396EA73D671_.wvu.FilterData">BTG!$A$2:$AN$758</definedName>
    <definedName hidden="1" localSheetId="2" name="Z_9DBE5638_85DB_4244_9C36_853C80B127BD_.wvu.FilterData">BTG!$A$1:$F$758</definedName>
    <definedName hidden="1" localSheetId="2" name="Z_9A44EB57_E979_44EC_97BB_83D26FF83971_.wvu.FilterData">BTG!$B$2:$AI$761</definedName>
    <definedName hidden="1" localSheetId="5" name="Z_9A44EB57_E979_44EC_97BB_83D26FF83971_.wvu.FilterData">'Ágora'!$B$2:$AD$15</definedName>
    <definedName hidden="1" localSheetId="2" name="Z_FF719EC1_702E_4BD4_8255_1E1EDD5DED28_.wvu.FilterData">BTG!$A$1:$AN$758</definedName>
    <definedName hidden="1" localSheetId="2" name="Z_13C62020_787E_4841_8A7B_CE905996EBE9_.wvu.FilterData">BTG!$B$2:$AI$761</definedName>
    <definedName hidden="1" localSheetId="5" name="Z_13C62020_787E_4841_8A7B_CE905996EBE9_.wvu.FilterData">'Ágora'!$B$2:$AD$15</definedName>
    <definedName hidden="1" localSheetId="2" name="Z_44D829E6_AF38_437D_8A74_D8794E25A397_.wvu.FilterData">BTG!$A$1:$AK$766</definedName>
    <definedName hidden="1" localSheetId="2" name="Z_27DE9437_2943_4E51_9CAA_22481BEDC85A_.wvu.FilterData">BTG!$A$1:$AP$758</definedName>
    <definedName hidden="1" localSheetId="2" name="Z_06DFA47C_6E11_42C8_99CA_A31C782226EE_.wvu.FilterData">BTG!$A$2:$AQ$758</definedName>
    <definedName hidden="1" localSheetId="2" name="Z_A740F4B9_955A_48E7_803D_91BAA0B9B916_.wvu.FilterData">BTG!$B$2:$AI$761</definedName>
    <definedName hidden="1" localSheetId="5" name="Z_A740F4B9_955A_48E7_803D_91BAA0B9B916_.wvu.FilterData">'Ágora'!$B$2:$AD$15</definedName>
    <definedName hidden="1" localSheetId="2" name="Z_4F918789_E6EC_4FDC_A4F2_F77B8A664208_.wvu.FilterData">BTG!$AH$2:$AH$766</definedName>
    <definedName hidden="1" localSheetId="3" name="Z_4F918789_E6EC_4FDC_A4F2_F77B8A664208_.wvu.FilterData">Guide!$A$1:$CC$395</definedName>
    <definedName hidden="1" localSheetId="5" name="Z_4F918789_E6EC_4FDC_A4F2_F77B8A664208_.wvu.FilterData">'Ágora'!$AC$2:$AC$28</definedName>
    <definedName hidden="1" localSheetId="2" name="Z_2EBB1C1F_0762_48CC_AFFE_494739D58B2A_.wvu.FilterData">BTG!$A$2:$AN$758</definedName>
    <definedName hidden="1" localSheetId="2" name="Z_0DE29AA8_A065_4C1F_96D4_EA94F5C88C6F_.wvu.FilterData">BTG!$E$2:$F$766</definedName>
    <definedName hidden="1" localSheetId="5" name="Z_0DE29AA8_A065_4C1F_96D4_EA94F5C88C6F_.wvu.FilterData">'Ágora'!$E$2:$F$28</definedName>
    <definedName hidden="1" localSheetId="2" name="Z_56CD33F0_8B37_4EED_BCDA_EA36FB4AAC78_.wvu.FilterData">BTG!$A$2:$AO$758</definedName>
    <definedName hidden="1" localSheetId="2" name="Z_560CDF4B_5B61_4B33_A448_649891A23A1C_.wvu.FilterData">BTG!$A$1:$AO$758</definedName>
    <definedName hidden="1" localSheetId="2" name="Z_8EF56468_1A36_43B5_A416_398A33762E5C_.wvu.FilterData">BTG!$F$2:$M$766</definedName>
    <definedName hidden="1" localSheetId="5" name="Z_8EF56468_1A36_43B5_A416_398A33762E5C_.wvu.FilterData">'Ágora'!$F$2:$M$28</definedName>
    <definedName hidden="1" localSheetId="2" name="Z_73124181_5C2E_44A2_BD1F_8DBA32850D3C_.wvu.FilterData">BTG!$A$1:$AL$761</definedName>
    <definedName hidden="1" localSheetId="2" name="Z_ACF45FD7_71F9_4C35_9A00_429AF94A3B85_.wvu.FilterData">BTG!$A$1:$AO$758</definedName>
    <definedName hidden="1" localSheetId="2" name="Z_CF76C9AA_9ED5_44A2_99C9_F8913CE6944D_.wvu.FilterData">BTG!$A$1:$AL$761</definedName>
    <definedName hidden="1" localSheetId="2" name="Z_8A98D7DB_89CE_4CEA_993E_25A6AC0B04D7_.wvu.FilterData">BTG!$A$2:$AQ$758</definedName>
    <definedName hidden="1" localSheetId="2" name="Z_1C1335D7_E2F9_4069_85C4_DE8335E9CA63_.wvu.FilterData">BTG!$A$1:$AU$761</definedName>
    <definedName hidden="1" localSheetId="2" name="Z_F42BB246_2CF4_4B56_8C5B_E429A93CE638_.wvu.FilterData">BTG!$A$1:$AQ$758</definedName>
    <definedName hidden="1" localSheetId="2" name="Z_EA41BA7D_6020_4640_923F_79F2C27C1BD0_.wvu.FilterData">BTG!$A$1:$AK$761</definedName>
    <definedName hidden="1" localSheetId="2" name="Z_368E1FB8_A388_41E2_8745_99814610ED1D_.wvu.FilterData">BTG!$D$2:$F$766</definedName>
    <definedName hidden="1" localSheetId="5" name="Z_368E1FB8_A388_41E2_8745_99814610ED1D_.wvu.FilterData">'Ágora'!$D$2:$F$28</definedName>
    <definedName hidden="1" localSheetId="2" name="Z_B3C95940_EF79_4BA2_8A8A_94BF0DD31775_.wvu.FilterData">BTG!$A$1:$AL$766</definedName>
    <definedName hidden="1" localSheetId="2" name="Z_49C3099A_0237_44FF_ADF8_8F5F2B461757_.wvu.FilterData">BTG!$A$1:$AN$758</definedName>
    <definedName hidden="1" localSheetId="2" name="Z_E13C4A8D_7CD6_4E07_A1F1_DA6D79223014_.wvu.FilterData">BTG!$B$2:$AH$761</definedName>
    <definedName hidden="1" localSheetId="3" name="Z_E13C4A8D_7CD6_4E07_A1F1_DA6D79223014_.wvu.FilterData">Guide!$B$2:$BS$395</definedName>
    <definedName hidden="1" localSheetId="5" name="Z_E13C4A8D_7CD6_4E07_A1F1_DA6D79223014_.wvu.FilterData">'Ágora'!$B$2:$AC$16</definedName>
    <definedName hidden="1" localSheetId="2" name="Z_1B0E377F_73BF_4366_82F4_24FE0BA2DF7F_.wvu.FilterData">BTG!$A$2:$AQ$758</definedName>
  </definedNames>
  <calcPr/>
  <customWorkbookViews>
    <customWorkbookView activeSheetId="0" maximized="1" windowHeight="0" windowWidth="0" guid="{0A28620A-A772-4E99-864E-56FAB5CC1494}" name="Filtro 59"/>
    <customWorkbookView activeSheetId="0" maximized="1" windowHeight="0" windowWidth="0" guid="{9C800DEC-CD4D-4DE6-8AF7-2DE4613307B0}" name="Filtro 57"/>
    <customWorkbookView activeSheetId="0" maximized="1" windowHeight="0" windowWidth="0" guid="{D4668A8E-9B32-4C23-98AE-F6C439C33CDE}" name="Filtro 58"/>
    <customWorkbookView activeSheetId="0" maximized="1" windowHeight="0" windowWidth="0" guid="{5D55A992-373B-4D0F-A016-4436D4DC1687}" name="Filtro 55"/>
    <customWorkbookView activeSheetId="0" maximized="1" windowHeight="0" windowWidth="0" guid="{9806863C-61C7-4C39-A9C0-4CEDC4F750D7}" name="Filtro 56"/>
    <customWorkbookView activeSheetId="0" maximized="1" windowHeight="0" windowWidth="0" guid="{7696A896-DA7B-4BCF-8F35-60E2EA48F19A}" name="Filtro 53"/>
    <customWorkbookView activeSheetId="0" maximized="1" windowHeight="0" windowWidth="0" guid="{2C570B30-E496-48AB-880D-A8BFB9D9CC25}" name="Filtro 54"/>
    <customWorkbookView activeSheetId="0" maximized="1" windowHeight="0" windowWidth="0" guid="{9DD7283C-19A8-4365-853C-187FE31A095B}" name="Filtro 51"/>
    <customWorkbookView activeSheetId="0" maximized="1" windowHeight="0" windowWidth="0" guid="{0BAC67E8-67C6-4D67-9245-65AC284F29C8}" name="Filtro 52"/>
    <customWorkbookView activeSheetId="0" maximized="1" windowHeight="0" windowWidth="0" guid="{87660795-0C12-4D8D-B39A-BE0FE0615B3B}" name="Filtro 118"/>
    <customWorkbookView activeSheetId="0" maximized="1" windowHeight="0" windowWidth="0" guid="{560CDF4B-5B61-4B33-A448-649891A23A1C}" name="Filtro 119"/>
    <customWorkbookView activeSheetId="0" maximized="1" windowHeight="0" windowWidth="0" guid="{D994380C-DC42-4D10-B92D-DD6A46C0BCE6}" name="Filtro 50"/>
    <customWorkbookView activeSheetId="0" maximized="1" windowHeight="0" windowWidth="0" guid="{4F74C571-8FE8-4562-BC75-783698851E8F}" name="Filtro 125"/>
    <customWorkbookView activeSheetId="0" maximized="1" windowHeight="0" windowWidth="0" guid="{98B7228B-6EF6-4FC0-A24B-A3E30B3D065D}" name="Filtro 126"/>
    <customWorkbookView activeSheetId="0" maximized="1" windowHeight="0" windowWidth="0" guid="{AC480C24-6F8A-45A4-8FE4-1F7B679F60BD}" name="Filtro 127"/>
    <customWorkbookView activeSheetId="0" maximized="1" windowHeight="0" windowWidth="0" guid="{2ADBE1CE-B7B7-4A58-9C30-D576E9273C0E}" name="Filtro 128"/>
    <customWorkbookView activeSheetId="0" maximized="1" windowHeight="0" windowWidth="0" guid="{F52BADBB-2250-4EB0-AE59-3B351AF4CB20}" name="Filtro 121"/>
    <customWorkbookView activeSheetId="0" maximized="1" windowHeight="0" windowWidth="0" guid="{C3793248-EC38-49A8-A093-85230ABDFD7C}" name="Filtro 122"/>
    <customWorkbookView activeSheetId="0" maximized="1" windowHeight="0" windowWidth="0" guid="{FAA4E4B3-F66C-45EF-AD3C-648637A05FC9}" name="Filtro 123"/>
    <customWorkbookView activeSheetId="0" maximized="1" windowHeight="0" windowWidth="0" guid="{F72DA440-B165-470D-8DA5-D9CD2A2394F4}" name="Filtro 124"/>
    <customWorkbookView activeSheetId="0" maximized="1" windowHeight="0" windowWidth="0" guid="{3A2E2F56-5C26-4727-B870-37D27FA0CF5F}" name="Filtro 120"/>
    <customWorkbookView activeSheetId="0" maximized="1" windowHeight="0" windowWidth="0" guid="{424A57B6-17E1-4DCA-AE69-B7F6B870FE48}" name="Filtro 68"/>
    <customWorkbookView activeSheetId="0" maximized="1" windowHeight="0" windowWidth="0" guid="{E8AE4EC0-D8EA-4FC9-B21B-43589401B177}" name="Filtro 69"/>
    <customWorkbookView activeSheetId="0" maximized="1" windowHeight="0" windowWidth="0" guid="{60630ED3-C60B-4E90-B253-7BB4E3CEC8F1}" name="Filtro 66"/>
    <customWorkbookView activeSheetId="0" maximized="1" windowHeight="0" windowWidth="0" guid="{80591A99-46B9-4F94-B0C2-B94E874E67D6}" name="Filtro 67"/>
    <customWorkbookView activeSheetId="0" maximized="1" windowHeight="0" windowWidth="0" guid="{50A705E5-6084-4A14-9446-A8F5C19216DC}" name="Filtro 64"/>
    <customWorkbookView activeSheetId="0" maximized="1" windowHeight="0" windowWidth="0" guid="{F5088339-4517-40AA-8AA0-9770E7964E8D}" name="Filtro 65"/>
    <customWorkbookView activeSheetId="0" maximized="1" windowHeight="0" windowWidth="0" guid="{EA41BA7D-6020-4640-923F-79F2C27C1BD0}" name="Filtro 62"/>
    <customWorkbookView activeSheetId="0" maximized="1" windowHeight="0" windowWidth="0" guid="{AF409453-BC67-45E0-920B-4FE1B872DC88}" name="Filtro 63"/>
    <customWorkbookView activeSheetId="0" maximized="1" windowHeight="0" windowWidth="0" guid="{2EBB1C1F-0762-48CC-AFFE-494739D58B2A}" name="Filtro 107"/>
    <customWorkbookView activeSheetId="0" maximized="1" windowHeight="0" windowWidth="0" guid="{4DF567FA-14CE-4DE8-B839-12BA79204493}" name="Filtro 60"/>
    <customWorkbookView activeSheetId="0" maximized="1" windowHeight="0" windowWidth="0" guid="{ABBB9E71-D770-4D37-9FAE-0A1D3982C5C6}" name="Filtro 108"/>
    <customWorkbookView activeSheetId="0" maximized="1" windowHeight="0" windowWidth="0" guid="{9A44EB57-E979-44EC-97BB-83D26FF83971}" name="Filtro 61"/>
    <customWorkbookView activeSheetId="0" maximized="1" windowHeight="0" windowWidth="0" guid="{36E0A0F7-4BC8-4711-9CE3-4631AEDA9133}" name="Filtro 109"/>
    <customWorkbookView activeSheetId="0" maximized="1" windowHeight="0" windowWidth="0" guid="{5FF7DAD9-66A0-41CC-8AA0-7CD64962C232}" name="Filtro 114"/>
    <customWorkbookView activeSheetId="0" maximized="1" windowHeight="0" windowWidth="0" guid="{632978AA-877A-435A-80FF-BF648B47C576}" name="Filtro 115"/>
    <customWorkbookView activeSheetId="0" maximized="1" windowHeight="0" windowWidth="0" guid="{17313076-8C49-4194-8EC8-B18A813C525D}" name="Filtro 116"/>
    <customWorkbookView activeSheetId="0" maximized="1" windowHeight="0" windowWidth="0" guid="{7714BA43-C4CF-4668-B58E-368070C4EE36}" name="Filtro 117"/>
    <customWorkbookView activeSheetId="0" maximized="1" windowHeight="0" windowWidth="0" guid="{FD8A57D8-FAC6-460A-AE37-3396EA73D671}" name="Filtro 110"/>
    <customWorkbookView activeSheetId="0" maximized="1" windowHeight="0" windowWidth="0" guid="{AB061334-D821-4D2B-BE6A-D12ED1C28A6D}" name="Filtro 111"/>
    <customWorkbookView activeSheetId="0" maximized="1" windowHeight="0" windowWidth="0" guid="{3654C13C-2944-4916-A043-D1B3ED0574D7}" name="Filtro 112"/>
    <customWorkbookView activeSheetId="0" maximized="1" windowHeight="0" windowWidth="0" guid="{4E2753BD-4DF6-432C-83F4-D732350596C8}" name="Filtro 113"/>
    <customWorkbookView activeSheetId="0" maximized="1" windowHeight="0" windowWidth="0" guid="{A5EAA86F-C7EC-4DBD-8A09-8CEDB0F21861}" name="Filtro 79"/>
    <customWorkbookView activeSheetId="0" maximized="1" windowHeight="0" windowWidth="0" guid="{58178040-2D59-4F96-B7CE-33C5E4534889}" name="Filtro 77"/>
    <customWorkbookView activeSheetId="0" maximized="1" windowHeight="0" windowWidth="0" guid="{59745CF7-9E8E-49DF-9D7F-82B01D0A03CA}" name="Filtro 78"/>
    <customWorkbookView activeSheetId="0" maximized="1" windowHeight="0" windowWidth="0" guid="{22E34851-C712-4DB9-9F53-90ABD4960326}" name="Filtro 75"/>
    <customWorkbookView activeSheetId="0" maximized="1" windowHeight="0" windowWidth="0" guid="{AC551A29-707B-4289-A8DB-F4ED5B9795F4}" name="Filtro 76"/>
    <customWorkbookView activeSheetId="0" maximized="1" windowHeight="0" windowWidth="0" guid="{13C62020-787E-4841-8A7B-CE905996EBE9}" name="Filtro 73"/>
    <customWorkbookView activeSheetId="0" maximized="1" windowHeight="0" windowWidth="0" guid="{A740F4B9-955A-48E7-803D-91BAA0B9B916}" name="Filtro 74"/>
    <customWorkbookView activeSheetId="0" maximized="1" windowHeight="0" windowWidth="0" guid="{7894E2DB-6D88-41B9-B0FD-BB12B1149442}" name="Filtro 71"/>
    <customWorkbookView activeSheetId="0" maximized="1" windowHeight="0" windowWidth="0" guid="{07C9AAB0-0B99-46F9-8089-D57269F3B169}" name="Filtro 72"/>
    <customWorkbookView activeSheetId="0" maximized="1" windowHeight="0" windowWidth="0" guid="{9C06E5C7-F415-4312-B81A-EAA4F6A09DCB}" name="Filtro 70"/>
    <customWorkbookView activeSheetId="0" maximized="1" windowHeight="0" windowWidth="0" guid="{9AD3171E-9C73-48CC-A722-A91CBAFE3F7D}" name="Filtro 147"/>
    <customWorkbookView activeSheetId="0" maximized="1" windowHeight="0" windowWidth="0" guid="{16DA525E-0801-4067-A4F6-0C4EED30B94C}" name="Filtro 148"/>
    <customWorkbookView activeSheetId="0" maximized="1" windowHeight="0" windowWidth="0" guid="{218E914D-901C-4984-811D-7D6977C94C2E}" name="Filtro 149"/>
    <customWorkbookView activeSheetId="0" maximized="1" windowHeight="0" windowWidth="0" guid="{3601C08F-C1EA-4C56-85EF-27960E955E0B}" name="Filtro 143"/>
    <customWorkbookView activeSheetId="0" maximized="1" windowHeight="0" windowWidth="0" guid="{B121C2D8-29F2-41CE-A81E-32C7C85891D5}" name="Filtro 144"/>
    <customWorkbookView activeSheetId="0" maximized="1" windowHeight="0" windowWidth="0" guid="{50A64E20-179A-461B-8B35-654E924468DE}" name="Filtro 145"/>
    <customWorkbookView activeSheetId="0" maximized="1" windowHeight="0" windowWidth="0" guid="{BB9053C8-9A46-4618-98DF-AEE2777B8CFF}" name="Filtro 146"/>
    <customWorkbookView activeSheetId="0" maximized="1" windowHeight="0" windowWidth="0" guid="{F687DD08-BAD0-41DF-967D-B3D5FD09BE12}" name="Filtro 140"/>
    <customWorkbookView activeSheetId="0" maximized="1" windowHeight="0" windowWidth="0" guid="{2E1C32E7-917B-49DA-B2E0-D6E471C622BC}" name="Filtro 141"/>
    <customWorkbookView activeSheetId="0" maximized="1" windowHeight="0" windowWidth="0" guid="{F8C59293-A29C-4252-980A-AC0680D21F03}" name="Filtro 142"/>
    <customWorkbookView activeSheetId="0" maximized="1" windowHeight="0" windowWidth="0" guid="{6C19CD0F-061D-43E0-8C09-B350629DF4FF}" name="Filtro 88"/>
    <customWorkbookView activeSheetId="0" maximized="1" windowHeight="0" windowWidth="0" guid="{56A44B63-6071-47E2-B164-21D93611246C}" name="Filtro 89"/>
    <customWorkbookView activeSheetId="0" maximized="1" windowHeight="0" windowWidth="0" guid="{73124181-5C2E-44A2-BD1F-8DBA32850D3C}" name="Filtro 86"/>
    <customWorkbookView activeSheetId="0" maximized="1" windowHeight="0" windowWidth="0" guid="{CF76C9AA-9ED5-44A2-99C9-F8913CE6944D}" name="Filtro 87"/>
    <customWorkbookView activeSheetId="0" maximized="1" windowHeight="0" windowWidth="0" guid="{CE214755-37C0-4B56-9E0D-5EDB9F6A70AC}" name="Filtro 84"/>
    <customWorkbookView activeSheetId="0" maximized="1" windowHeight="0" windowWidth="0" guid="{6E5CBF55-620D-4794-A697-C5B463839A69}" name="Filtro 85"/>
    <customWorkbookView activeSheetId="0" maximized="1" windowHeight="0" windowWidth="0" guid="{F2743C07-3896-4714-8988-946704903AA9}" name="Filtro 129"/>
    <customWorkbookView activeSheetId="0" maximized="1" windowHeight="0" windowWidth="0" guid="{56ECC9D4-F02E-40F7-8CB1-5252EB723433}" name="Filtro 82"/>
    <customWorkbookView activeSheetId="0" maximized="1" windowHeight="0" windowWidth="0" guid="{44D829E6-AF38-437D-8A74-D8794E25A397}" name="Filtro 83"/>
    <customWorkbookView activeSheetId="0" maximized="1" windowHeight="0" windowWidth="0" guid="{2C8EFD8E-E1A1-451E-BE86-04CE4043094B}" name="Filtro 80"/>
    <customWorkbookView activeSheetId="0" maximized="1" windowHeight="0" windowWidth="0" guid="{E2A18CCD-FD0F-45C2-9452-352C9795E5B8}" name="Filtro 81"/>
    <customWorkbookView activeSheetId="0" maximized="1" windowHeight="0" windowWidth="0" guid="{EBCAF7EC-F177-43E2-A7F6-731BC7259EB1}" name="Filtro 136"/>
    <customWorkbookView activeSheetId="0" maximized="1" windowHeight="0" windowWidth="0" guid="{31ED8FC5-61F6-4B2C-9005-2511CFFDEBE4}" name="Filtro 137"/>
    <customWorkbookView activeSheetId="0" maximized="1" windowHeight="0" windowWidth="0" guid="{A613CB1A-8D02-4219-831A-5459B0CFD5BA}" name="Filtro 138"/>
    <customWorkbookView activeSheetId="0" maximized="1" windowHeight="0" windowWidth="0" guid="{27DE9437-2943-4E51-9CAA-22481BEDC85A}" name="Filtro 139"/>
    <customWorkbookView activeSheetId="0" maximized="1" windowHeight="0" windowWidth="0" guid="{65B22A8E-A19E-4771-9DB2-BC4B71992246}" name="Filtro 132"/>
    <customWorkbookView activeSheetId="0" maximized="1" windowHeight="0" windowWidth="0" guid="{82738ACB-3941-440C-8D56-0EBE99A16184}" name="Filtro 133"/>
    <customWorkbookView activeSheetId="0" maximized="1" windowHeight="0" windowWidth="0" guid="{ACF45FD7-71F9-4C35-9A00-429AF94A3B85}" name="Filtro 134"/>
    <customWorkbookView activeSheetId="0" maximized="1" windowHeight="0" windowWidth="0" guid="{941322FC-F5D4-4321-A327-B6A7BCCE58AF}" name="Filtro 135"/>
    <customWorkbookView activeSheetId="0" maximized="1" windowHeight="0" windowWidth="0" guid="{56CD33F0-8B37-4EED-BCDA-EA36FB4AAC78}" name="Filtro 130"/>
    <customWorkbookView activeSheetId="0" maximized="1" windowHeight="0" windowWidth="0" guid="{71C85B78-63E1-4EF4-BC8E-3B477CF22AD7}" name="Filtro 131"/>
    <customWorkbookView activeSheetId="0" maximized="1" windowHeight="0" windowWidth="0" guid="{6B781031-E317-408B-AA3E-BBA15CAB4E3F}" name="Filtro 17"/>
    <customWorkbookView activeSheetId="0" maximized="1" windowHeight="0" windowWidth="0" guid="{2FB56CF0-E762-477D-AB70-F0F5CBA2529B}" name="Filtro 18"/>
    <customWorkbookView activeSheetId="0" maximized="1" windowHeight="0" windowWidth="0" guid="{F54D44DF-3139-400C-8D16-F0861529D2A4}" name="Filtro 15"/>
    <customWorkbookView activeSheetId="0" maximized="1" windowHeight="0" windowWidth="0" guid="{28FD0294-0BF4-44EE-8184-397C77AA4C49}" name="Filtro 16"/>
    <customWorkbookView activeSheetId="0" maximized="1" windowHeight="0" windowWidth="0" guid="{F5C80CFB-B622-4464-936A-672870383AD5}" name="Filtro 13"/>
    <customWorkbookView activeSheetId="0" maximized="1" windowHeight="0" windowWidth="0" guid="{7072D128-9EA6-4728-A634-81E48BE183B9}" name="Filtro 14"/>
    <customWorkbookView activeSheetId="0" maximized="1" windowHeight="0" windowWidth="0" guid="{CC81063B-6265-4319-9636-317DE3114619}" name="Filtro 99"/>
    <customWorkbookView activeSheetId="0" maximized="1" windowHeight="0" windowWidth="0" guid="{249DC8AA-ACA6-4B9C-A07F-AB9BD6C0EE3A}" name="Filtro 11"/>
    <customWorkbookView activeSheetId="0" maximized="1" windowHeight="0" windowWidth="0" guid="{D47B45DE-C83F-4A7C-8B39-135BE9D9DA5A}" name="Filtro 12"/>
    <customWorkbookView activeSheetId="0" maximized="1" windowHeight="0" windowWidth="0" guid="{BE7F9010-0702-46BA-8615-F4442E99271F}" name="Filtro 97"/>
    <customWorkbookView activeSheetId="0" maximized="1" windowHeight="0" windowWidth="0" guid="{3EE42EF3-FEFE-45C5-9C1B-CF7EAA5578F5}" name="Filtro 98"/>
    <customWorkbookView activeSheetId="0" maximized="1" windowHeight="0" windowWidth="0" guid="{A90D1CE9-2DD8-4EF7-AB3F-AA9D15B48525}" name="Filtro 10"/>
    <customWorkbookView activeSheetId="0" maximized="1" windowHeight="0" windowWidth="0" guid="{1B65BCE5-C2D2-4C7D-AC35-0F4F34D9AC32}" name="Filtro 95"/>
    <customWorkbookView activeSheetId="0" maximized="1" windowHeight="0" windowWidth="0" guid="{9B49E8BA-48FA-4020-8F93-B79C24E211EC}" name="Filtro 96"/>
    <customWorkbookView activeSheetId="0" maximized="1" windowHeight="0" windowWidth="0" guid="{B8DC0B3D-DE55-47D7-8D36-352A667DD24A}" name="Filtro 93"/>
    <customWorkbookView activeSheetId="0" maximized="1" windowHeight="0" windowWidth="0" guid="{991CEE5F-E673-4161-8EFA-857CF5B7ECE8}" name="Filtro 94"/>
    <customWorkbookView activeSheetId="0" maximized="1" windowHeight="0" windowWidth="0" guid="{B3C95940-EF79-4BA2-8A8A-94BF0DD31775}" name="Filtro 91"/>
    <customWorkbookView activeSheetId="0" maximized="1" windowHeight="0" windowWidth="0" guid="{3605FC9A-83A4-4339-B8CA-08AEEBCE0400}" name="Filtro 92"/>
    <customWorkbookView activeSheetId="0" maximized="1" windowHeight="0" windowWidth="0" guid="{1935068D-4DDF-492B-86B3-E23BE8435FE4}" name="Filtro 169"/>
    <customWorkbookView activeSheetId="0" maximized="1" windowHeight="0" windowWidth="0" guid="{351B93A4-D157-4FFA-A79E-34101ADDD644}" name="Filtro 90"/>
    <customWorkbookView activeSheetId="0" maximized="1" windowHeight="0" windowWidth="0" guid="{30CD6512-7846-476B-89BC-9FFEB186AB82}" name="Filtro 165"/>
    <customWorkbookView activeSheetId="0" maximized="1" windowHeight="0" windowWidth="0" guid="{0F5477F4-8DEC-4DEA-9327-C8DD35B24055}" name="Filtro 166"/>
    <customWorkbookView activeSheetId="0" maximized="1" windowHeight="0" windowWidth="0" guid="{E419869F-94CF-4F23-866F-70B2C4A863B5}" name="Filtro 167"/>
    <customWorkbookView activeSheetId="0" maximized="1" windowHeight="0" windowWidth="0" guid="{2D7533EA-FA8D-4AD8-9CA9-A82A44690947}" name="Filtro 168"/>
    <customWorkbookView activeSheetId="0" maximized="1" windowHeight="0" windowWidth="0" guid="{8A98D7DB-89CE-4CEA-993E-25A6AC0B04D7}" name="Filtro 161"/>
    <customWorkbookView activeSheetId="0" maximized="1" windowHeight="0" windowWidth="0" guid="{E2036CD5-2579-46B7-90F1-CC323A007696}" name="Filtro 162"/>
    <customWorkbookView activeSheetId="0" maximized="1" windowHeight="0" windowWidth="0" guid="{1B0E377F-73BF-4366-82F4-24FE0BA2DF7F}" name="Filtro 163"/>
    <customWorkbookView activeSheetId="0" maximized="1" windowHeight="0" windowWidth="0" guid="{4A99E02D-9CF3-40CD-804D-2A74A1FD528D}" name="Filtro 164"/>
    <customWorkbookView activeSheetId="0" maximized="1" windowHeight="0" windowWidth="0" guid="{939316C9-8393-4C5D-85C5-12C6B26E4407}" name="Filtro 160"/>
    <customWorkbookView activeSheetId="0" maximized="1" windowHeight="0" windowWidth="0" guid="{4F918789-E6EC-4FDC-A4F2-F77B8A664208}" name="Filtro 28"/>
    <customWorkbookView activeSheetId="0" maximized="1" windowHeight="0" windowWidth="0" guid="{B8A853D5-7798-4D28-8F1A-12FAA0502223}" name="Filtro 29"/>
    <customWorkbookView activeSheetId="0" maximized="1" windowHeight="0" windowWidth="0" guid="{B8D7389D-EA13-45B6-A864-F4E0128C6069}" name="Filtro 26"/>
    <customWorkbookView activeSheetId="0" maximized="1" windowHeight="0" windowWidth="0" guid="{807BCDEA-6B95-434C-81E7-0B3CE4ECB2DF}" name="Filtro 27"/>
    <customWorkbookView activeSheetId="0" maximized="1" windowHeight="0" windowWidth="0" guid="{0DBFFFC7-5474-4620-9D7B-3D6876EC9FC3}" name="Filtro 8"/>
    <customWorkbookView activeSheetId="0" maximized="1" windowHeight="0" windowWidth="0" guid="{7BCA2C2C-F7E8-4C6F-8167-87779DE61747}" name="Filtro 24"/>
    <customWorkbookView activeSheetId="0" maximized="1" windowHeight="0" windowWidth="0" guid="{B1A2AC4A-C64C-414F-87A6-C08D5FF9589C}" name="Filtro 9"/>
    <customWorkbookView activeSheetId="0" maximized="1" windowHeight="0" windowWidth="0" guid="{6733F935-C852-47D5-98BD-8140433034FA}" name="Filtro 25"/>
    <customWorkbookView activeSheetId="0" maximized="1" windowHeight="0" windowWidth="0" guid="{527816A2-4B9B-45A3-8053-6B2C2E9D6D5F}" name="Filtro 22"/>
    <customWorkbookView activeSheetId="0" maximized="1" windowHeight="0" windowWidth="0" guid="{7A6CDDCD-2F33-4272-B4F1-A34C4A6C4EF9}" name="Filtro 23"/>
    <customWorkbookView activeSheetId="0" maximized="1" windowHeight="0" windowWidth="0" guid="{E4D65EE7-8307-4FA6-802F-84511C17C5BA}" name="Filtro 20"/>
    <customWorkbookView activeSheetId="0" maximized="1" windowHeight="0" windowWidth="0" guid="{C4A2D276-8F5F-4095-B7C9-226D4DB300B0}" name="Filtro 21"/>
    <customWorkbookView activeSheetId="0" maximized="1" windowHeight="0" windowWidth="0" guid="{799F23A9-123F-451F-997A-0AB92C074595}" name="Filtro 158"/>
    <customWorkbookView activeSheetId="0" maximized="1" windowHeight="0" windowWidth="0" guid="{29963C01-07DE-4ACC-B284-4C74A359E65D}" name="Filtro 159"/>
    <customWorkbookView activeSheetId="0" maximized="1" windowHeight="0" windowWidth="0" guid="{4276E4B9-3427-43C7-8DF0-FAF8C39984FE}" name="Filtro 154"/>
    <customWorkbookView activeSheetId="0" maximized="1" windowHeight="0" windowWidth="0" guid="{06DFA47C-6E11-42C8-99CA-A31C782226EE}" name="Filtro 155"/>
    <customWorkbookView activeSheetId="0" maximized="1" windowHeight="0" windowWidth="0" guid="{B114EDA5-FA5E-41B2-80BD-659B93AB751E}" name="Filtro 156"/>
    <customWorkbookView activeSheetId="0" maximized="1" windowHeight="0" windowWidth="0" guid="{B0AA6F25-1F29-4A61-9DF2-C449D8B02114}" name="Filtro 157"/>
    <customWorkbookView activeSheetId="0" maximized="1" windowHeight="0" windowWidth="0" guid="{FF227447-C1C9-42D2-8D8A-C56572AD35C7}" name="Filtro 150"/>
    <customWorkbookView activeSheetId="0" maximized="1" windowHeight="0" windowWidth="0" guid="{8FDBAED6-7314-41A3-AD61-5FB61237D173}" name="Filtro 151"/>
    <customWorkbookView activeSheetId="0" maximized="1" windowHeight="0" windowWidth="0" guid="{9DBE5638-85DB-4244-9C36-853C80B127BD}" name="Filtro 152"/>
    <customWorkbookView activeSheetId="0" maximized="1" windowHeight="0" windowWidth="0" guid="{6ECC0E83-B4E3-425E-B35B-A29539F661CE}" name="Filtro 153"/>
    <customWorkbookView activeSheetId="0" maximized="1" windowHeight="0" windowWidth="0" guid="{E13C4A8D-7CD6-4E07-A1F1-DA6D79223014}" name="Filtro 19"/>
    <customWorkbookView activeSheetId="0" maximized="1" windowHeight="0" windowWidth="0" guid="{047EEB22-2913-4543-9148-09809BEE786D}" name="Filtro 39"/>
    <customWorkbookView activeSheetId="0" maximized="1" windowHeight="0" windowWidth="0" guid="{6BD601B2-B813-4770-9558-9A9BF894111C}" name="Filtro 37"/>
    <customWorkbookView activeSheetId="0" maximized="1" windowHeight="0" windowWidth="0" guid="{C81DB2FB-8DBF-4E3A-B758-305FD7FEA09C}" name="Filtro 38"/>
    <customWorkbookView activeSheetId="0" maximized="1" windowHeight="0" windowWidth="0" guid="{C5BCE252-50A6-4475-8861-533DFF234630}" name="Filtro 35"/>
    <customWorkbookView activeSheetId="0" maximized="1" windowHeight="0" windowWidth="0" guid="{D46EE40F-F813-42C1-BCBB-7E3CE76BEF6A}" name="Filtro 36"/>
    <customWorkbookView activeSheetId="0" maximized="1" windowHeight="0" windowWidth="0" guid="{93649D97-0246-4A99-85BE-DDB9B45A1123}" name="Filtro 33"/>
    <customWorkbookView activeSheetId="0" maximized="1" windowHeight="0" windowWidth="0" guid="{EBE105E8-56E8-4505-B28E-67C2CC303C02}" name="Filtro 34"/>
    <customWorkbookView activeSheetId="0" maximized="1" windowHeight="0" windowWidth="0" guid="{CCAA395F-B7AE-40E3-9A48-35D53FA4C242}" name="Filtro 31"/>
    <customWorkbookView activeSheetId="0" maximized="1" windowHeight="0" windowWidth="0" guid="{FFEA9777-B900-416B-87B5-6A916F50D15D}" name="Filtro 32"/>
    <customWorkbookView activeSheetId="0" maximized="1" windowHeight="0" windowWidth="0" guid="{203CFD03-B588-4CE1-B45A-B66FC78144D3}" name="Filtro 30"/>
    <customWorkbookView activeSheetId="0" maximized="1" windowHeight="0" windowWidth="0" guid="{FF719EC1-702E-4BD4-8255-1E1EDD5DED28}" name="Filtro 103"/>
    <customWorkbookView activeSheetId="0" maximized="1" windowHeight="0" windowWidth="0" guid="{6577FA48-69E8-4983-A974-47F8B553129B}" name="Filtro 104"/>
    <customWorkbookView activeSheetId="0" maximized="1" windowHeight="0" windowWidth="0" guid="{DD004607-5750-4979-B357-44EAE975BDB6}" name="Filtro 105"/>
    <customWorkbookView activeSheetId="0" maximized="1" windowHeight="0" windowWidth="0" guid="{49C3099A-0237-44FF-ADF8-8F5F2B461757}" name="Filtro 106"/>
    <customWorkbookView activeSheetId="0" maximized="1" windowHeight="0" windowWidth="0" guid="{90BDC925-56AF-4128-BD36-B333764EE125}" name="Filtro 100"/>
    <customWorkbookView activeSheetId="0" maximized="1" windowHeight="0" windowWidth="0" guid="{002BD7C7-0543-4964-91BC-717EEDED7FED}" name="Filtro 101"/>
    <customWorkbookView activeSheetId="0" maximized="1" windowHeight="0" windowWidth="0" guid="{11F02779-0190-4AF9-9527-CBF5F9A43F4E}" name="Filtro 102"/>
    <customWorkbookView activeSheetId="0" maximized="1" windowHeight="0" windowWidth="0" guid="{EE1FF9EE-17F4-4E10-A930-20801D66BC0D}" name="Filtro 4"/>
    <customWorkbookView activeSheetId="0" maximized="1" windowHeight="0" windowWidth="0" guid="{F6D75903-A93A-4F57-B54E-1739ADB203EE}" name="Filtro 5"/>
    <customWorkbookView activeSheetId="0" maximized="1" windowHeight="0" windowWidth="0" guid="{89DD8F7B-8177-47AF-ADAF-E718951036C8}" name="Filtro 6"/>
    <customWorkbookView activeSheetId="0" maximized="1" windowHeight="0" windowWidth="0" guid="{7116B13B-1593-49E0-8822-D288A8A506B5}" name="Filtro 7"/>
    <customWorkbookView activeSheetId="0" maximized="1" windowHeight="0" windowWidth="0" guid="{CF9BBF74-3EB1-4F1E-8AB9-3B8870336168}" name="Filtro 1"/>
    <customWorkbookView activeSheetId="0" maximized="1" windowHeight="0" windowWidth="0" guid="{0C64D1DF-F9E6-41EC-A890-6C4BDAEAA33D}" name="Filtro 2"/>
    <customWorkbookView activeSheetId="0" maximized="1" windowHeight="0" windowWidth="0" guid="{8AB1E79D-D44B-4A2E-9F3E-6435461CA99B}" name="Filtro 3"/>
    <customWorkbookView activeSheetId="0" maximized="1" windowHeight="0" windowWidth="0" guid="{ADD7C9E2-2292-4CA9-9D54-6DB837E5D79F}" name="Filtro 48"/>
    <customWorkbookView activeSheetId="0" maximized="1" windowHeight="0" windowWidth="0" guid="{8EF56468-1A36-43B5-A416-398A33762E5C}" name="Filtro 49"/>
    <customWorkbookView activeSheetId="0" maximized="1" windowHeight="0" windowWidth="0" guid="{8596839A-D596-42C2-9694-EB0B4B1E00CA}" name="Filtro 46"/>
    <customWorkbookView activeSheetId="0" maximized="1" windowHeight="0" windowWidth="0" guid="{B37ED8BD-A081-4587-B9D7-F0165E145E89}" name="Filtro 47"/>
    <customWorkbookView activeSheetId="0" maximized="1" windowHeight="0" windowWidth="0" guid="{195AA3C8-95D2-4D35-B94E-2D77426CB4B7}" name="Filtro 44"/>
    <customWorkbookView activeSheetId="0" maximized="1" windowHeight="0" windowWidth="0" guid="{0DE29AA8-A065-4C1F-96D4-EA94F5C88C6F}" name="Filtro 45"/>
    <customWorkbookView activeSheetId="0" maximized="1" windowHeight="0" windowWidth="0" guid="{08D8628B-0391-401E-8541-E619E5D1C521}" name="Filtro 42"/>
    <customWorkbookView activeSheetId="0" maximized="1" windowHeight="0" windowWidth="0" guid="{368E1FB8-A388-41E2-8745-99814610ED1D}" name="Filtro 43"/>
    <customWorkbookView activeSheetId="0" maximized="1" windowHeight="0" windowWidth="0" guid="{1B2EE39D-5AF7-4367-B877-1CE29A8BF146}" name="Filtro 40"/>
    <customWorkbookView activeSheetId="0" maximized="1" windowHeight="0" windowWidth="0" guid="{FF8A4E44-D465-4B96-B6A0-15E8BA187261}" name="Filtro 41"/>
    <customWorkbookView activeSheetId="0" maximized="1" windowHeight="0" windowWidth="0" guid="{1C1335D7-E2F9-4069-85C4-DE8335E9CA63}" name="Filtro 176"/>
    <customWorkbookView activeSheetId="0" maximized="1" windowHeight="0" windowWidth="0" guid="{80B0F7F4-594E-4CC0-84BC-AF991D56D7AE}" name="Filtro 177"/>
    <customWorkbookView activeSheetId="0" maximized="1" windowHeight="0" windowWidth="0" guid="{69755950-0F37-4A21-A01E-D49190A07E6D}" name="Filtro 178"/>
    <customWorkbookView activeSheetId="0" maximized="1" windowHeight="0" windowWidth="0" guid="{F42BB246-2CF4-4B56-8C5B-E429A93CE638}" name="Filtro 172"/>
    <customWorkbookView activeSheetId="0" maximized="1" windowHeight="0" windowWidth="0" guid="{1E4656B6-04EF-4C51-8BEF-0D3E4B854513}" name="Filtro 173"/>
    <customWorkbookView activeSheetId="0" maximized="1" windowHeight="0" windowWidth="0" guid="{098DAA67-F337-4C14-BDDF-C2F448607A66}" name="Filtro 174"/>
    <customWorkbookView activeSheetId="0" maximized="1" windowHeight="0" windowWidth="0" guid="{51D89032-F787-4C29-827C-391D59734DAF}" name="Filtro 175"/>
    <customWorkbookView activeSheetId="0" maximized="1" windowHeight="0" windowWidth="0" guid="{17A1DC01-E6CA-4A1D-AC0D-45D893B2B4B7}" name="Filtro 170"/>
    <customWorkbookView activeSheetId="0" maximized="1" windowHeight="0" windowWidth="0" guid="{067530D5-BC65-40A2-8AFE-3C1AD2D03064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<sst xmlns="http://schemas.openxmlformats.org/spreadsheetml/2006/main" count="39342" uniqueCount="6701">
  <si>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</si>
  <si>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</si>
  <si>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</si>
  <si>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</si>
  <si>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</si>
  <si>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</si>
  <si>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</si>
  <si>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</si>
  <si>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</si>
  <si>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</si>
  <si>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</si>
  <si>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</si>
  <si>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</si>
  <si>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</si>
  <si>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</si>
  <si>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</si>
  <si>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</si>
  <si>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</si>
  <si>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</si>
  <si>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</si>
  <si>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</si>
  <si>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</si>
  <si>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</si>
  <si>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</si>
  <si>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</si>
  <si>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</si>
  <si>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</si>
  <si>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</si>
  <si>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</si>
  <si>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</si>
  <si>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</si>
  <si>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</si>
  <si>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</si>
  <si>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</si>
  <si>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</si>
  <si>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</si>
  <si>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</si>
  <si>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</si>
  <si>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</si>
  <si>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</si>
  <si>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</si>
  <si>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</si>
  <si>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</si>
  <si>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</si>
  <si>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</si>
  <si>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</si>
  <si>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</si>
  <si>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</si>
  <si>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</si>
  <si>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</si>
  <si>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Marcelo Pires Fiorini</t>
  </si>
  <si>
    <t>003641655</t>
  </si>
  <si>
    <t>VcInvest</t>
  </si>
  <si>
    <t>Bruno Ribeiro</t>
  </si>
  <si>
    <t>Aguardando Vinculação de conta</t>
  </si>
  <si>
    <t>INC</t>
  </si>
  <si>
    <t>819.807.601-87</t>
  </si>
  <si>
    <t xml:space="preserve">Vinc. de conta </t>
  </si>
  <si>
    <t>Alessandra Nazare Crispim Goncalves</t>
  </si>
  <si>
    <t>xxxxxxxx</t>
  </si>
  <si>
    <t>Thiago Canabrava</t>
  </si>
  <si>
    <t>Em Análise pela Corretora</t>
  </si>
  <si>
    <t>712.174.601-87</t>
  </si>
  <si>
    <t>Conservador</t>
  </si>
  <si>
    <t>Ludmila Pires Fernandes</t>
  </si>
  <si>
    <t>Pendente assinaturas</t>
  </si>
  <si>
    <t>297.720.441-53</t>
  </si>
  <si>
    <t>Arrojado</t>
  </si>
  <si>
    <t>Sabrina Martins Xavier Bertolino</t>
  </si>
  <si>
    <t>004301699</t>
  </si>
  <si>
    <t>Altum</t>
  </si>
  <si>
    <t>Alexandre Xavier</t>
  </si>
  <si>
    <t>688.188.661-68</t>
  </si>
  <si>
    <t>Alexandre Zanin Neto</t>
  </si>
  <si>
    <t>005024046</t>
  </si>
  <si>
    <t>Moderado</t>
  </si>
  <si>
    <t>Thaís Figueiredo Teodoro de Oliveira</t>
  </si>
  <si>
    <t>005395948</t>
  </si>
  <si>
    <t>Matheus Vilar</t>
  </si>
  <si>
    <t>CON</t>
  </si>
  <si>
    <t>076.149.449-92</t>
  </si>
  <si>
    <t>Manter R$ 100.000,00 em liquidez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</si>
  <si>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</si>
  <si>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</si>
  <si>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</si>
  <si>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</si>
  <si>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</si>
  <si>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</si>
  <si>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</si>
  <si>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</si>
  <si>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</si>
  <si>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</si>
  <si>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</si>
  <si>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</si>
  <si>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</si>
  <si>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</si>
  <si>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</si>
  <si>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</si>
  <si>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</si>
  <si>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</si>
  <si>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</si>
  <si>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</si>
  <si>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</si>
  <si>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</si>
  <si>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</si>
  <si>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</si>
  <si>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</si>
  <si>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</si>
  <si>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</si>
  <si>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</si>
  <si>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</si>
  <si>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</si>
  <si>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</si>
  <si>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</si>
  <si>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</si>
  <si>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</si>
  <si>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</si>
  <si>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</si>
  <si>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</si>
  <si>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</si>
  <si>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</si>
  <si>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</si>
  <si>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</si>
  <si>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</si>
  <si>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</si>
  <si>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</si>
  <si>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</si>
  <si>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</si>
  <si>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</si>
  <si>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</si>
  <si>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</si>
  <si>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</si>
  <si>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</si>
  <si>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</si>
  <si>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</si>
  <si>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</si>
  <si>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</si>
  <si>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</si>
  <si>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</si>
  <si>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</si>
  <si>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</si>
  <si>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</si>
  <si>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</si>
  <si>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</si>
  <si>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</si>
  <si>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</si>
  <si>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</si>
  <si>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</si>
  <si>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</si>
  <si>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</si>
  <si>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</si>
  <si>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</si>
  <si>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</si>
  <si>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</si>
  <si>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</si>
  <si>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</si>
  <si>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</si>
  <si>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</si>
  <si>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</si>
  <si>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</si>
  <si>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</si>
  <si>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</si>
  <si>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</si>
  <si>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</si>
  <si>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</si>
  <si>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</si>
  <si>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</si>
  <si>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</si>
  <si>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</si>
  <si>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</si>
  <si>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</si>
  <si>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</si>
  <si>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</si>
  <si>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</si>
  <si>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</si>
  <si>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</si>
  <si>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</si>
  <si>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</si>
  <si>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</si>
  <si>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</si>
  <si>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</si>
  <si>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</si>
  <si>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</si>
  <si>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</si>
  <si>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</si>
  <si>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</si>
  <si>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</si>
  <si>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</si>
  <si>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</si>
  <si>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</si>
  <si>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</si>
  <si>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</si>
  <si>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</si>
  <si>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</si>
  <si>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</si>
  <si>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</si>
  <si>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</si>
  <si>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</si>
  <si>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</si>
  <si>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</si>
  <si>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</si>
  <si>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</si>
  <si>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</si>
  <si>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</si>
  <si>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</si>
  <si>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</si>
  <si>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</si>
  <si>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</si>
  <si>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</si>
  <si>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</si>
  <si>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</si>
  <si>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</si>
  <si>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</si>
  <si>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</si>
  <si>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</si>
  <si>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</si>
  <si>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</si>
  <si>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</si>
  <si>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</si>
  <si>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</si>
  <si>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</si>
  <si>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</si>
  <si>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</si>
  <si>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</si>
  <si>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</si>
  <si>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</si>
  <si>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</si>
  <si>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</si>
  <si>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</si>
  <si>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</si>
  <si>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</si>
  <si>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</si>
  <si>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</si>
  <si>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</si>
  <si>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</si>
  <si>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</si>
  <si>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</si>
  <si>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</si>
  <si>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</si>
  <si>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</si>
  <si>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</si>
  <si>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</si>
  <si>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</si>
  <si>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</si>
  <si>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</si>
  <si>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</si>
  <si>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</si>
  <si>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</si>
  <si>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</si>
  <si>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</si>
  <si>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</si>
  <si>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</si>
  <si>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</si>
  <si>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</si>
  <si>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</si>
  <si>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</si>
  <si>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</si>
  <si>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</si>
  <si>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</si>
  <si>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</si>
  <si>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</si>
  <si>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</si>
  <si>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</si>
  <si>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</si>
  <si>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</si>
  <si>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</si>
  <si>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</si>
  <si>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</si>
  <si>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</si>
  <si>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</si>
  <si>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</si>
  <si>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</si>
  <si>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</si>
  <si>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</si>
  <si>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</si>
  <si>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</si>
  <si>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</si>
  <si>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</si>
  <si>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</si>
  <si>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</si>
  <si>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</si>
  <si>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</si>
  <si>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</si>
  <si>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</si>
  <si>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</si>
  <si>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</si>
  <si>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</si>
  <si>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</si>
  <si>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</si>
  <si>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</si>
  <si>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</si>
  <si>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</si>
  <si>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</si>
  <si>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</si>
  <si>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</si>
  <si>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</si>
  <si>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</si>
  <si>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</si>
  <si>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</si>
  <si>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</si>
  <si>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</si>
  <si>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</si>
  <si>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</si>
  <si>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</si>
  <si>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</si>
  <si>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</si>
  <si>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</si>
  <si>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</si>
  <si>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</si>
  <si>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</si>
  <si>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</si>
  <si>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</si>
  <si>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</si>
  <si>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</si>
  <si>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</si>
  <si>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</si>
  <si>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</si>
  <si>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</si>
  <si>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</si>
  <si>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</si>
  <si>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</si>
  <si>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</si>
  <si>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</si>
  <si>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</si>
  <si>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</si>
  <si>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</si>
  <si>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</si>
  <si>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</si>
  <si>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</si>
  <si>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</si>
  <si>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</si>
  <si>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</si>
  <si>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</si>
  <si>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</si>
  <si>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</si>
  <si>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</si>
  <si>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</si>
  <si>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</si>
  <si>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</si>
  <si>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</si>
  <si>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</si>
  <si>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</si>
  <si>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</si>
  <si>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</si>
  <si>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</si>
  <si>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</si>
  <si>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</si>
  <si>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</si>
  <si>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</si>
  <si>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</si>
  <si>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</si>
  <si>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</si>
  <si>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</si>
  <si>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</si>
  <si>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</si>
  <si>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</si>
  <si>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</si>
  <si>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</si>
  <si>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</si>
  <si>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</si>
  <si>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</si>
  <si>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</si>
  <si>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</si>
  <si>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</si>
  <si>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</si>
  <si>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</si>
  <si>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</si>
  <si>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</si>
  <si>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</si>
  <si>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</si>
  <si>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</si>
  <si>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</si>
  <si>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</si>
  <si>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</si>
  <si>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</si>
  <si>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</si>
  <si>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</si>
  <si>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</si>
  <si>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</si>
  <si>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</si>
  <si>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</si>
  <si>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</si>
  <si>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</si>
  <si>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</si>
  <si>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</si>
  <si>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</si>
  <si>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</si>
  <si>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</si>
  <si>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</si>
  <si>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</si>
  <si>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</si>
  <si>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</si>
  <si>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</si>
  <si>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</si>
  <si>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</si>
  <si>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</si>
  <si>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</si>
  <si>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</si>
  <si>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</si>
  <si>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</si>
  <si>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</si>
  <si>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</si>
  <si>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</si>
  <si>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</si>
  <si>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</si>
  <si>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</si>
  <si>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</si>
  <si>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</si>
  <si>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</si>
  <si>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</si>
  <si>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</si>
  <si>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</si>
  <si>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</si>
  <si>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</si>
  <si>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</si>
  <si>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</si>
  <si>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</si>
  <si>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</si>
  <si>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</si>
  <si>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</si>
  <si>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</si>
  <si>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</si>
  <si>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</si>
  <si>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</si>
  <si>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</si>
  <si>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</si>
  <si>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</si>
  <si>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</si>
  <si>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</si>
  <si>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</si>
  <si>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</si>
  <si>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</si>
  <si>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</si>
  <si>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</si>
  <si>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</si>
  <si>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</si>
  <si>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</si>
  <si>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</si>
  <si>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</si>
  <si>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</si>
  <si>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</si>
  <si>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</si>
  <si>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</si>
  <si>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</si>
  <si>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</si>
  <si>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</si>
  <si>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</si>
  <si>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</si>
  <si>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</si>
  <si>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</si>
  <si>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</si>
  <si>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</si>
  <si>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</si>
  <si>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</si>
  <si>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</si>
  <si>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</si>
  <si>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</si>
  <si>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</si>
  <si>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</si>
  <si>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</si>
  <si>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</si>
  <si>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</si>
  <si>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</si>
  <si>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</si>
  <si>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</si>
  <si>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</si>
  <si>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</si>
  <si>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</si>
  <si>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</si>
  <si>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</si>
  <si>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</si>
  <si>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</si>
  <si>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</si>
  <si>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</si>
  <si>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</si>
  <si>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</si>
  <si>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</si>
  <si>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</si>
  <si>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</si>
  <si>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</si>
  <si>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</si>
  <si>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</si>
  <si>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</si>
  <si>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</si>
  <si>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</si>
  <si>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</si>
  <si>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</si>
  <si>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</si>
  <si>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</si>
  <si>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</si>
  <si>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</si>
  <si>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</si>
  <si>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</si>
  <si>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</si>
  <si>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</si>
  <si>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</si>
  <si>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</si>
  <si>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</si>
  <si>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</si>
  <si>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</si>
  <si>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</si>
  <si>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</si>
  <si>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</si>
  <si>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</si>
  <si>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</si>
  <si>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</si>
  <si>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</si>
  <si>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</si>
  <si>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</si>
  <si>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</si>
  <si>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</si>
  <si>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</si>
  <si>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</si>
  <si>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</si>
  <si>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</si>
  <si>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</si>
  <si>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</si>
  <si>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</si>
  <si>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</si>
  <si>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</si>
  <si>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</si>
  <si>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</si>
  <si>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</si>
  <si>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</si>
  <si>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</si>
  <si>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</si>
  <si>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</si>
  <si>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</si>
  <si>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</si>
  <si>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</si>
  <si>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</si>
  <si>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</si>
  <si>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</si>
  <si>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</si>
  <si>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</si>
  <si>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</si>
  <si>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</si>
  <si>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</si>
  <si>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</si>
  <si>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</si>
  <si>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</si>
  <si>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</si>
  <si>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</si>
  <si>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</si>
  <si>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</si>
  <si>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</si>
  <si>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</si>
  <si>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</si>
  <si>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</si>
  <si>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</si>
  <si>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</si>
  <si>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</si>
  <si>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</si>
  <si>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</si>
  <si>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</si>
  <si>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</si>
  <si>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</si>
  <si>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</si>
  <si>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</si>
  <si>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</si>
  <si>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</si>
  <si>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</si>
  <si>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</si>
  <si>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</si>
  <si>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</si>
  <si>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</si>
  <si>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</si>
  <si>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</si>
  <si>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</si>
  <si>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</si>
  <si>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</si>
  <si>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</si>
  <si>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</si>
  <si>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</si>
  <si>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</si>
  <si>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</si>
  <si>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</si>
  <si>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</si>
  <si>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</si>
  <si>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</si>
  <si>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</si>
  <si>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</si>
  <si>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</si>
  <si>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</si>
  <si>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</si>
  <si>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</si>
  <si>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</si>
  <si>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</si>
  <si>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</si>
  <si>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</si>
  <si>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</si>
  <si>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</si>
  <si>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</si>
  <si>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</si>
  <si>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</si>
  <si>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</si>
  <si>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</si>
  <si>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</si>
  <si>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</si>
  <si>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</si>
  <si>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</si>
  <si>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</si>
  <si>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</si>
  <si>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</si>
  <si>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</si>
  <si>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</si>
  <si>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</si>
  <si>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</si>
  <si>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</si>
  <si>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</si>
  <si>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</si>
  <si>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</si>
  <si>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</si>
  <si>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</si>
  <si>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</si>
  <si>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</si>
  <si>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</si>
  <si>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</si>
  <si>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</si>
  <si>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</si>
  <si>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</si>
  <si>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</si>
  <si>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</si>
  <si>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</si>
  <si>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</si>
  <si>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</si>
  <si>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</si>
  <si>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</si>
  <si>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</si>
  <si>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</si>
  <si>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</si>
  <si>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</si>
  <si>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</si>
  <si>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</si>
  <si>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</si>
  <si>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</si>
  <si>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</si>
  <si>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</si>
  <si>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</si>
  <si>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</si>
  <si>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</si>
  <si>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</si>
  <si>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</si>
  <si>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</si>
  <si>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</si>
  <si>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</si>
  <si>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</si>
  <si>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</si>
  <si>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</si>
  <si>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</si>
  <si>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</si>
  <si>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</si>
  <si>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</si>
  <si>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</si>
  <si>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</si>
  <si>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</si>
  <si>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</si>
  <si>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</si>
  <si>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</si>
  <si>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</si>
  <si>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</si>
  <si>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</si>
  <si>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</si>
  <si>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</si>
  <si>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</si>
  <si>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</si>
  <si>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</si>
  <si>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</si>
  <si>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</si>
  <si>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</si>
  <si>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</si>
  <si>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</si>
  <si>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</si>
  <si>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</si>
  <si>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</si>
  <si>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</si>
  <si>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</si>
  <si>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</si>
  <si>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</si>
  <si>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</si>
  <si>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</si>
  <si>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</si>
  <si>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</si>
  <si>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</si>
  <si>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</si>
  <si>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</si>
  <si>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</si>
  <si>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</si>
  <si>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</si>
  <si>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</si>
  <si>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</si>
  <si>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</si>
  <si>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</si>
  <si>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</si>
  <si>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</si>
  <si>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</si>
  <si>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</si>
  <si>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</si>
  <si>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</si>
  <si>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</si>
  <si>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</si>
  <si>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</si>
  <si>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</si>
  <si>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</si>
  <si>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</si>
  <si>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</si>
  <si>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</si>
  <si>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</si>
  <si>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</si>
  <si>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</si>
  <si>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</si>
  <si>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</si>
  <si>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</si>
  <si>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</si>
  <si>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</si>
  <si>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</si>
  <si>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</si>
  <si>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</si>
  <si>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</si>
  <si>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</si>
  <si>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</si>
  <si>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</si>
  <si>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</si>
  <si>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</si>
  <si>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</si>
  <si>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</si>
  <si>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</si>
  <si>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</si>
  <si>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</si>
  <si>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</si>
  <si>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</si>
  <si>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</si>
  <si>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</si>
  <si>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</si>
  <si>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</si>
  <si>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</si>
  <si>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</si>
  <si>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</si>
  <si>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</si>
  <si>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</si>
  <si>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</si>
  <si>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</si>
  <si>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</si>
  <si>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</si>
  <si>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</si>
  <si>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</si>
  <si>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</si>
  <si>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</si>
  <si>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</si>
  <si>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</si>
  <si>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</si>
  <si>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</si>
  <si>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</si>
  <si>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</si>
  <si>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</si>
  <si>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</si>
  <si>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</si>
  <si>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</si>
  <si>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</si>
  <si>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</si>
  <si>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</si>
  <si>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</si>
  <si>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</si>
  <si>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</si>
  <si>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</si>
  <si>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</si>
  <si>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</si>
  <si>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</si>
  <si>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</si>
  <si>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</si>
  <si>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</si>
  <si>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</si>
  <si>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</si>
  <si>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</si>
  <si>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</si>
  <si>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</si>
  <si>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</si>
  <si>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</si>
  <si>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</si>
  <si>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</si>
  <si>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</si>
  <si>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</si>
  <si>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</si>
  <si>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</si>
  <si>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</si>
  <si>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</si>
  <si>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</si>
  <si>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</si>
  <si>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</si>
  <si>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</si>
  <si>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</si>
  <si>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</si>
  <si>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</si>
  <si>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</si>
  <si>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</si>
  <si>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</si>
  <si>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</si>
  <si>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</si>
  <si>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</si>
  <si>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</si>
  <si>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</si>
  <si>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</si>
  <si>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</si>
  <si>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</si>
  <si>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</si>
  <si>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</si>
  <si>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</si>
  <si>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</si>
  <si>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</si>
  <si>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</si>
  <si>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</si>
  <si>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</si>
  <si>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</si>
  <si>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</si>
  <si>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</si>
  <si>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</si>
  <si>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</si>
  <si>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</si>
  <si>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</si>
  <si>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</si>
  <si>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</si>
  <si>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</si>
  <si>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</si>
  <si>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</si>
  <si>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</si>
  <si>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</si>
  <si>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</si>
  <si>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</si>
  <si>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</si>
  <si>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</si>
  <si>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</si>
  <si>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</si>
  <si>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</si>
  <si>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</si>
  <si>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</si>
  <si>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</si>
  <si>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</si>
  <si>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</si>
  <si>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</si>
  <si>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</si>
  <si>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</si>
  <si>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</si>
  <si>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</si>
  <si>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</si>
  <si>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</si>
  <si>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</si>
  <si>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</si>
  <si>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</si>
  <si>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</si>
  <si>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</si>
  <si>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</si>
  <si>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</si>
  <si>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</si>
  <si>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</si>
  <si>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</si>
  <si>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</si>
  <si>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</si>
  <si>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</si>
  <si>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</si>
  <si>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</si>
  <si>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</si>
  <si>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</si>
  <si>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</si>
  <si>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</si>
  <si>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</si>
  <si>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</si>
  <si>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</si>
  <si>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</si>
  <si>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</si>
  <si>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</si>
  <si>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</si>
  <si>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</si>
  <si>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</si>
  <si>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</si>
  <si>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</si>
  <si>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</si>
  <si>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</si>
  <si>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</si>
  <si>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</si>
  <si>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</si>
  <si>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</si>
  <si>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</si>
  <si>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</si>
  <si>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</si>
  <si>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</si>
  <si>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</si>
  <si>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</si>
  <si>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</si>
  <si>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</si>
  <si>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</si>
  <si>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</si>
  <si>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</si>
  <si>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</si>
  <si>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</si>
  <si>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</si>
  <si>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</si>
  <si>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</si>
  <si>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</si>
  <si>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</si>
  <si>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</si>
  <si>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</si>
  <si>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</si>
  <si>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</si>
  <si>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</si>
  <si>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</si>
  <si>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</si>
  <si>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</si>
  <si>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</si>
  <si>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</si>
  <si>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</si>
  <si>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</si>
  <si>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</si>
  <si>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</si>
  <si>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</si>
  <si>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</si>
  <si>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</si>
  <si>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</si>
  <si>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</si>
  <si>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</si>
  <si>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</si>
  <si>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</si>
  <si>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</si>
  <si>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</si>
  <si>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</si>
  <si>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</si>
  <si>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</si>
  <si>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</si>
  <si>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</si>
  <si>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</si>
  <si>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</si>
  <si>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</si>
  <si>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</si>
  <si>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</si>
  <si>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</si>
  <si>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</si>
  <si>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</si>
  <si>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</si>
  <si>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</si>
  <si>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</si>
  <si>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</si>
  <si>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</si>
  <si>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</si>
  <si>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</si>
  <si>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</si>
  <si>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</si>
  <si>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</si>
  <si>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</si>
  <si>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</si>
  <si>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</si>
  <si>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</si>
  <si>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</si>
  <si>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</si>
  <si>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</si>
  <si>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</si>
  <si>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</si>
  <si>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</si>
  <si>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</si>
  <si>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</si>
  <si>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</si>
  <si>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</si>
  <si>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</si>
  <si>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</si>
  <si>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</si>
  <si>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</si>
  <si>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</si>
  <si>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</si>
  <si>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</si>
  <si>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</si>
  <si>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</si>
  <si>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</si>
  <si>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</si>
  <si>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</si>
  <si>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</si>
  <si>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</si>
  <si>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</si>
  <si>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</si>
  <si>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</si>
  <si>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</si>
  <si>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</si>
  <si>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</si>
  <si>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</si>
  <si>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</si>
  <si>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</si>
  <si>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</si>
  <si>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</si>
  <si>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</si>
  <si>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</si>
  <si>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</si>
  <si>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</si>
  <si>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</si>
  <si>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</si>
  <si>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</si>
  <si>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</si>
  <si>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</si>
  <si>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</si>
  <si>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</si>
  <si>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</si>
  <si>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</si>
  <si>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</si>
  <si>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</si>
  <si>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</si>
  <si>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</si>
  <si>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</si>
  <si>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</si>
  <si>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</si>
  <si>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</si>
  <si>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</si>
  <si>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</si>
  <si>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</si>
  <si>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</si>
  <si>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</si>
  <si>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</si>
  <si>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</si>
  <si>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</si>
  <si>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</si>
  <si>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</si>
  <si>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</si>
  <si>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</si>
  <si>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</si>
  <si>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</si>
  <si>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</si>
  <si>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</si>
  <si>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</si>
  <si>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</si>
  <si>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</si>
  <si>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</si>
  <si>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</si>
  <si>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</si>
  <si>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</si>
  <si>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</si>
  <si>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</si>
  <si>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</si>
  <si>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</si>
  <si>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</si>
  <si>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</si>
  <si>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</si>
  <si>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</si>
  <si>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</si>
  <si>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</si>
  <si>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</si>
  <si>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</si>
  <si>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</si>
  <si>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</si>
  <si>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</si>
  <si>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</si>
  <si>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</si>
  <si>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</si>
  <si>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</si>
  <si>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</si>
  <si>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</si>
  <si>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</si>
  <si>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</si>
  <si>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</si>
  <si>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</si>
  <si>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</si>
  <si>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</si>
  <si>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</si>
  <si>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</si>
  <si>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</si>
  <si>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</si>
  <si>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</si>
  <si>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</si>
  <si>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</si>
  <si>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</si>
  <si>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</si>
  <si>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</si>
  <si>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</si>
  <si>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</si>
  <si>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</si>
  <si>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</si>
  <si>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</si>
  <si>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</si>
  <si>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</si>
  <si>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</si>
  <si>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</si>
  <si>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</si>
  <si>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</si>
  <si>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</si>
  <si>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</si>
  <si>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</si>
  <si>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</si>
  <si>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</si>
  <si>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</si>
  <si>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</si>
  <si>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</si>
  <si>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</si>
  <si>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</si>
  <si>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</si>
  <si>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</si>
  <si>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</si>
  <si>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</si>
  <si>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</si>
  <si>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</si>
  <si>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</si>
  <si>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</si>
  <si>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</si>
  <si>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</si>
  <si>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</si>
  <si>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</si>
  <si>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</si>
  <si>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</si>
  <si>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</si>
  <si>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</si>
  <si>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</si>
  <si>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</si>
  <si>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</si>
  <si>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</si>
  <si>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</si>
  <si>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</si>
  <si>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</si>
  <si>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</si>
  <si>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</si>
  <si>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</si>
  <si>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</si>
  <si>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</si>
  <si>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</si>
  <si>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</si>
  <si>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</si>
  <si>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</si>
  <si>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</si>
  <si>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</si>
  <si>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</si>
  <si>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</si>
  <si>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</si>
  <si>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</si>
  <si>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</si>
  <si>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</si>
  <si>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</si>
  <si>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</si>
  <si>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</si>
  <si>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</si>
  <si>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</si>
  <si>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</si>
  <si>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</si>
  <si>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</si>
  <si>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</si>
  <si>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</si>
  <si>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</si>
  <si>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</si>
  <si>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</si>
  <si>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</si>
  <si>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</si>
  <si>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</si>
  <si>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</si>
  <si>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</si>
  <si>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</si>
  <si>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</si>
  <si>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</si>
  <si>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</si>
  <si>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</si>
  <si>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</si>
  <si>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</si>
  <si>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</si>
  <si>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</si>
  <si>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</si>
  <si>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</si>
  <si>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</si>
  <si>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</si>
  <si>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</si>
  <si>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</si>
  <si>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</si>
  <si>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</si>
  <si>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</si>
  <si>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</si>
  <si>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</si>
  <si>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</si>
  <si>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</si>
  <si>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</si>
  <si>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</si>
  <si>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</si>
  <si>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</si>
  <si>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</si>
  <si>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</si>
  <si>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</si>
  <si>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</si>
  <si>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</si>
  <si>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</si>
  <si>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</si>
  <si>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</si>
  <si>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</si>
  <si>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</si>
  <si>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</si>
  <si>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</si>
  <si>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</si>
  <si>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</si>
  <si>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</si>
  <si>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</si>
  <si>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</si>
  <si>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</si>
  <si>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</si>
  <si>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</si>
  <si>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</si>
  <si>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</si>
  <si>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</si>
  <si>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</si>
  <si>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</si>
  <si>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</si>
  <si>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</si>
  <si>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</si>
  <si>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</si>
  <si>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</si>
  <si>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</si>
  <si>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</si>
  <si>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</si>
  <si>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</si>
  <si>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</si>
  <si>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</si>
  <si>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</si>
  <si>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</si>
  <si>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</si>
  <si>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</si>
  <si>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</si>
  <si>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</si>
  <si>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</si>
  <si>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</si>
  <si>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</si>
  <si>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</si>
  <si>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</si>
  <si>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</si>
  <si>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</si>
  <si>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</si>
  <si>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</si>
  <si>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</si>
  <si>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</si>
  <si>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</si>
  <si>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</si>
  <si>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</si>
  <si>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</si>
  <si>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</si>
  <si>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</si>
  <si>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</si>
  <si>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</si>
  <si>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</si>
  <si>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</si>
  <si>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</si>
  <si>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</si>
  <si>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</si>
  <si>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</si>
  <si>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</si>
  <si>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</si>
  <si>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</si>
  <si>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</si>
  <si>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</si>
  <si>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</si>
  <si>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</si>
  <si>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</si>
  <si>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</si>
  <si>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</si>
  <si>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</si>
  <si>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</si>
  <si>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</si>
  <si>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</si>
  <si>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</si>
  <si>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</si>
  <si>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</si>
  <si>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</si>
  <si>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</si>
  <si>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</si>
  <si>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</si>
  <si>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</si>
  <si>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</si>
  <si>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</si>
  <si>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</si>
  <si>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</si>
  <si>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</si>
  <si>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</si>
  <si>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</si>
  <si>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</si>
  <si>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</si>
  <si>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</si>
  <si>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</si>
  <si>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</si>
  <si>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</si>
  <si>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</si>
  <si>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</si>
  <si>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</si>
  <si>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</si>
  <si>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</si>
  <si>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</si>
  <si>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</si>
  <si>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</si>
  <si>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</si>
  <si>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</si>
  <si>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</si>
  <si>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</si>
  <si>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</si>
  <si>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</si>
  <si>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</si>
  <si>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</si>
  <si>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</si>
  <si>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</si>
  <si>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</si>
  <si>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</si>
  <si>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</si>
  <si>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</si>
  <si>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</si>
  <si>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</si>
  <si>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</si>
  <si>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</si>
  <si>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</si>
  <si>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</si>
  <si>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</si>
  <si>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</si>
  <si>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</si>
  <si>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</si>
  <si>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</si>
  <si>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</si>
  <si>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</si>
  <si>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</si>
  <si>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</si>
  <si>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</si>
  <si>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</si>
  <si>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</si>
  <si>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</si>
  <si>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</si>
  <si>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</si>
  <si>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</si>
  <si>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</si>
  <si>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</si>
  <si>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</si>
  <si>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</si>
  <si>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</si>
  <si>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</si>
  <si>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</si>
  <si>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</si>
  <si>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</si>
  <si>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</si>
  <si>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</si>
  <si>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</si>
  <si>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</si>
  <si>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</si>
  <si>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</si>
  <si>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</si>
  <si>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</si>
  <si>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</si>
  <si>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</si>
  <si>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</si>
  <si>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</si>
  <si>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</si>
  <si>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</si>
  <si>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</si>
  <si>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</si>
  <si>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</si>
  <si>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</si>
  <si>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</si>
  <si>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</si>
  <si>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</si>
  <si>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</si>
  <si>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</si>
  <si>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</si>
  <si>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</si>
  <si>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</si>
  <si>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</si>
  <si>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</si>
  <si>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</si>
  <si>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</si>
  <si>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</si>
  <si>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</si>
  <si>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</si>
  <si>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</si>
  <si>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</si>
  <si>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</si>
  <si>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</si>
  <si>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</si>
  <si>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</si>
  <si>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</si>
  <si>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</si>
  <si>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</si>
  <si>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</si>
  <si>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</si>
  <si>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</si>
  <si>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</si>
  <si>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</si>
  <si>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</si>
  <si>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</si>
  <si>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</si>
  <si>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</si>
  <si>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</si>
  <si>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</si>
  <si>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</si>
  <si>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</si>
  <si>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</si>
  <si>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</si>
  <si>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</si>
  <si>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</si>
  <si>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</si>
  <si>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</si>
  <si>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</si>
  <si>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</si>
  <si>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</si>
  <si>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</si>
  <si>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</si>
  <si>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</si>
  <si>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</si>
  <si>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</si>
  <si>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</si>
  <si>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</si>
  <si>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</si>
  <si>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</si>
  <si>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</si>
  <si>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</si>
  <si>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</si>
  <si>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</si>
  <si>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</si>
  <si>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</si>
  <si>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</si>
  <si>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</si>
  <si>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</si>
  <si>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</si>
  <si>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</si>
  <si>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</si>
  <si>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</si>
  <si>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</si>
  <si>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</si>
  <si>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</si>
  <si>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</si>
  <si>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</si>
  <si>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</si>
  <si>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</si>
  <si>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</si>
  <si>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</si>
  <si>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</si>
  <si>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</si>
  <si>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</si>
  <si>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</si>
  <si>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</si>
  <si>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</si>
  <si>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</si>
  <si>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</si>
  <si>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</si>
  <si>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</si>
  <si>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</si>
  <si>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</si>
  <si>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</si>
  <si>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</si>
  <si>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</si>
  <si>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</si>
  <si>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</si>
  <si>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</si>
  <si>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</si>
  <si>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</si>
  <si>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</si>
  <si>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</si>
  <si>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</si>
  <si>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</si>
  <si>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</si>
  <si>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</si>
  <si>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</si>
  <si>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</si>
  <si>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</si>
  <si>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</si>
  <si>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</si>
  <si>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</si>
  <si>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</si>
  <si>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</si>
  <si>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</si>
  <si>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</si>
  <si>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</si>
  <si>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</si>
  <si>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</si>
  <si>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</si>
  <si>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</si>
  <si>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</si>
  <si>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</si>
  <si>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</si>
  <si>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</si>
  <si>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</si>
  <si>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</si>
  <si>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</si>
  <si>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</si>
  <si>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</si>
  <si>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</si>
  <si>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</si>
  <si>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</si>
  <si>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</si>
  <si>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</si>
  <si>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</si>
  <si>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</si>
  <si>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</si>
  <si>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</si>
  <si>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</si>
  <si>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Resgate Total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</si>
  <si>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</si>
  <si>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</si>
  <si>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</si>
  <si>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</si>
  <si>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</si>
  <si>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</si>
  <si>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</si>
  <si>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</si>
  <si>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</si>
  <si>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</si>
  <si>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</si>
  <si>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</si>
  <si>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</si>
  <si>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</si>
  <si>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</si>
  <si>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</si>
  <si>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</si>
  <si>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</si>
  <si>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</si>
  <si>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</si>
  <si>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</si>
  <si>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</si>
  <si>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</si>
  <si>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</si>
  <si>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</si>
  <si>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</si>
  <si>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</si>
  <si>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</si>
  <si>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</si>
  <si>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</si>
  <si>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</si>
  <si>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</si>
  <si>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</si>
  <si>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</si>
  <si>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</si>
  <si>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</si>
  <si>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</si>
  <si>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</si>
  <si>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</si>
  <si>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</si>
  <si>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</si>
  <si>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</si>
  <si>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</si>
  <si>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</si>
  <si>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</si>
  <si>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</si>
  <si>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</si>
  <si>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</si>
  <si>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</si>
  <si>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</si>
  <si>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</si>
  <si>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</si>
  <si>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</si>
  <si>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</si>
  <si>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</si>
  <si>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</si>
  <si>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</si>
  <si>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</si>
  <si>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</si>
  <si>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</si>
  <si>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</si>
  <si>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</si>
  <si>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</si>
  <si>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</si>
  <si>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</si>
  <si>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</si>
  <si>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</si>
  <si>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</si>
  <si>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</si>
  <si>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</si>
  <si>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</si>
  <si>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</si>
  <si>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</si>
  <si>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</si>
  <si>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</si>
  <si>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</si>
  <si>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</si>
  <si>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</si>
  <si>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</si>
  <si>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</si>
  <si>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</si>
  <si>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</si>
  <si>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</si>
  <si>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</si>
  <si>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</si>
  <si>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</si>
  <si>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</si>
  <si>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</si>
  <si>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</si>
  <si>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</si>
  <si>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</si>
  <si>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</si>
  <si>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</si>
  <si>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</si>
  <si>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</si>
  <si>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</si>
  <si>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</si>
  <si>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</si>
  <si>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</si>
  <si>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</si>
  <si>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</si>
  <si>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</si>
  <si>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</si>
  <si>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</si>
  <si>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</si>
  <si>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</si>
  <si>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</si>
  <si>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</si>
  <si>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</si>
  <si>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</si>
  <si>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</si>
  <si>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</si>
  <si>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</si>
  <si>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</si>
  <si>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</si>
  <si>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</si>
  <si>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</si>
  <si>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</si>
  <si>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</si>
  <si>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</si>
  <si>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</si>
  <si>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</si>
  <si>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</si>
  <si>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</si>
  <si>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</si>
  <si>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</si>
  <si>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</si>
  <si>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</si>
  <si>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</si>
  <si>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</si>
  <si>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</si>
  <si>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</si>
  <si>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</si>
  <si>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</si>
  <si>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</si>
  <si>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</si>
  <si>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</si>
  <si>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</si>
  <si>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</si>
  <si>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</si>
  <si>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</si>
  <si>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</si>
  <si>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</si>
  <si>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</si>
  <si>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</si>
  <si>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</si>
  <si>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</si>
  <si>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</si>
  <si>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</si>
  <si>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</si>
  <si>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</si>
  <si>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</si>
  <si>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</si>
  <si>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</si>
  <si>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</si>
  <si>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</si>
  <si>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</si>
  <si>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</si>
  <si>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</si>
  <si>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</si>
  <si>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</si>
  <si>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</si>
  <si>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</si>
  <si>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</si>
  <si>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</si>
  <si>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</si>
  <si>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</si>
  <si>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</si>
  <si>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</si>
  <si>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</si>
  <si>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</si>
  <si>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</si>
  <si>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</si>
  <si>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</si>
  <si>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</si>
  <si>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</si>
  <si>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</si>
  <si>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</si>
  <si>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</si>
  <si>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</si>
  <si>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</si>
  <si>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</si>
  <si>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</si>
  <si>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</si>
  <si>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</si>
  <si>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</si>
  <si>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</si>
  <si>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</si>
  <si>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</si>
  <si>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</si>
  <si>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</si>
  <si>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</si>
  <si>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</si>
  <si>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</si>
  <si>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</si>
  <si>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</si>
  <si>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</si>
  <si>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</si>
  <si>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</si>
  <si>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</si>
  <si>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</si>
  <si>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</si>
  <si>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</si>
  <si>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</si>
  <si>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</si>
  <si>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</si>
  <si>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</si>
  <si>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</si>
  <si>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</si>
  <si>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</si>
  <si>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</si>
  <si>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</si>
  <si>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</si>
  <si>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</si>
  <si>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</si>
  <si>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</si>
  <si>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</si>
  <si>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</si>
  <si>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</si>
  <si>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</si>
  <si>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</si>
  <si>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</si>
  <si>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</si>
  <si>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</si>
  <si>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</si>
  <si>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</si>
  <si>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</si>
  <si>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</si>
  <si>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</si>
  <si>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</si>
  <si>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</si>
  <si>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</si>
  <si>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</si>
  <si>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</si>
  <si>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</si>
  <si>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</si>
  <si>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</si>
  <si>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</si>
  <si>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</si>
  <si>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</si>
  <si>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</si>
  <si>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</si>
  <si>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</si>
  <si>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</si>
  <si>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</si>
  <si>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</si>
  <si>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</si>
  <si>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</si>
  <si>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</si>
  <si>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</si>
  <si>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</si>
  <si>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</si>
  <si>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</si>
  <si>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</si>
  <si>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</si>
  <si>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</si>
  <si>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</si>
  <si>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</si>
  <si>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</si>
  <si>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</si>
  <si>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</si>
  <si>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</si>
  <si>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</si>
  <si>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</si>
  <si>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</si>
  <si>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</si>
  <si>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</si>
  <si>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</si>
  <si>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</si>
  <si>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</si>
  <si>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</si>
  <si>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</si>
  <si>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</si>
  <si>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</si>
  <si>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</si>
  <si>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</si>
  <si>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</si>
  <si>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</si>
  <si>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</si>
  <si>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</si>
  <si>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</si>
  <si>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</si>
  <si>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</si>
  <si>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</si>
  <si>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</si>
  <si>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</si>
  <si>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</si>
  <si>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</si>
  <si>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</si>
  <si>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</si>
  <si>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</si>
  <si>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</si>
  <si>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</si>
  <si>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</si>
  <si>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</si>
  <si>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</si>
  <si>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</si>
  <si>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</si>
  <si>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</si>
  <si>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</si>
  <si>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</si>
  <si>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</si>
  <si>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</si>
  <si>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</si>
  <si>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</si>
  <si>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</si>
  <si>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</si>
  <si>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</si>
  <si>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</si>
  <si>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</si>
  <si>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</si>
  <si>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</si>
  <si>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</si>
  <si>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</si>
  <si>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</si>
  <si>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</si>
  <si>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</si>
  <si>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</si>
  <si>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</si>
  <si>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</si>
  <si>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</si>
  <si>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</si>
  <si>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</si>
  <si>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</si>
  <si>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</si>
  <si>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</si>
  <si>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</si>
  <si>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</si>
  <si>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</si>
  <si>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</si>
  <si>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</si>
  <si>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</si>
  <si>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</si>
  <si>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</si>
  <si>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</si>
  <si>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</si>
  <si>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</si>
  <si>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</si>
  <si>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</si>
  <si>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</si>
  <si>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</si>
  <si>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</si>
  <si>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</si>
  <si>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</si>
  <si>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</si>
  <si>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</si>
  <si>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</si>
  <si>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</si>
  <si>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</si>
  <si>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</si>
  <si>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</si>
  <si>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</si>
  <si>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</si>
  <si>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</si>
  <si>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</si>
  <si>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</si>
  <si>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</si>
  <si>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</si>
  <si>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</si>
  <si>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</si>
  <si>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</si>
  <si>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</si>
  <si>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</si>
  <si>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</si>
  <si>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</si>
  <si>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</si>
  <si>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</si>
  <si>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</si>
  <si>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</si>
  <si>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</si>
  <si>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</si>
  <si>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</si>
  <si>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</si>
  <si>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</si>
  <si>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</si>
  <si>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</si>
  <si>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</si>
  <si>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</si>
  <si>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</si>
  <si>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</si>
  <si>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</si>
  <si>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</si>
  <si>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</si>
  <si>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</si>
  <si>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</si>
  <si>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</si>
  <si>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</si>
  <si>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</si>
  <si>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</si>
  <si>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</si>
  <si>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</si>
  <si>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</si>
  <si>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</si>
  <si>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</si>
  <si>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</si>
  <si>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</si>
  <si>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</si>
  <si>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</si>
  <si>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</si>
  <si>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</si>
  <si>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</si>
  <si>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</si>
  <si>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</si>
  <si>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</si>
  <si>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</si>
  <si>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</si>
  <si>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</si>
  <si>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</si>
  <si>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</si>
  <si>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</si>
  <si>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</si>
  <si>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</si>
  <si>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</si>
  <si>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</si>
  <si>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</si>
  <si>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</si>
  <si>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</si>
  <si>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</si>
  <si>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</si>
  <si>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</si>
  <si>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</si>
  <si>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</si>
  <si>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</si>
  <si>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</si>
  <si>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</si>
  <si>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</si>
  <si>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</si>
  <si>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</si>
  <si>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</si>
  <si>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</si>
  <si>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</si>
  <si>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</si>
  <si>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</si>
  <si>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</si>
  <si>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</si>
  <si>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</si>
  <si>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</si>
  <si>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</si>
  <si>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</si>
  <si>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</si>
  <si>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</si>
  <si>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</si>
  <si>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</si>
  <si>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</si>
  <si>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</si>
  <si>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</si>
  <si>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</si>
  <si>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</si>
  <si>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</si>
  <si>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</si>
  <si>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</si>
  <si>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</si>
  <si>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</si>
  <si>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</si>
  <si>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</si>
  <si>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</si>
  <si>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</si>
  <si>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</si>
  <si>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</si>
  <si>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</si>
  <si>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</si>
  <si>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</si>
  <si>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</si>
  <si>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</si>
  <si>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</si>
  <si>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</si>
  <si>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</si>
  <si>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</si>
  <si>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</si>
  <si>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</si>
  <si>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</si>
  <si>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</si>
  <si>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</si>
  <si>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</si>
  <si>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</si>
  <si>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</si>
  <si>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</si>
  <si>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</si>
  <si>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</si>
  <si>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</si>
  <si>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</si>
  <si>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</si>
  <si>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</si>
  <si>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</si>
  <si>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</si>
  <si>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</si>
  <si>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</si>
  <si>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</si>
  <si>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</si>
  <si>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</si>
  <si>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</si>
  <si>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</si>
  <si>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</si>
  <si>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</si>
  <si>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</si>
  <si>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</si>
  <si>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</si>
  <si>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</si>
  <si>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</si>
  <si>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</si>
  <si>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</si>
  <si>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</si>
  <si>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</si>
  <si>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</si>
  <si>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</si>
  <si>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</si>
  <si>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</si>
  <si>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</si>
  <si>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</si>
  <si>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</si>
  <si>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</si>
  <si>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</si>
  <si>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</si>
  <si>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</si>
  <si>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</si>
  <si>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</si>
  <si>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</si>
  <si>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</si>
  <si>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</si>
  <si>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</si>
  <si>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</si>
  <si>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</si>
  <si>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</si>
  <si>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</si>
  <si>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</si>
  <si>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</si>
  <si>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</si>
  <si>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</si>
  <si>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</si>
  <si>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</si>
  <si>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</si>
  <si>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</si>
  <si>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</si>
  <si>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</si>
  <si>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</si>
  <si>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</si>
  <si>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</si>
  <si>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</si>
  <si>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</si>
  <si>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</si>
  <si>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</si>
  <si>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</si>
  <si>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</si>
  <si>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</si>
  <si>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</si>
  <si>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</si>
  <si>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</si>
  <si>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</si>
  <si>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</si>
  <si>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</si>
  <si>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</si>
  <si>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</si>
  <si>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</si>
  <si>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</si>
  <si>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</si>
  <si>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</si>
  <si>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</si>
  <si>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</si>
  <si>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</si>
  <si>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</si>
  <si>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</si>
  <si>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</si>
  <si>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</si>
  <si>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</si>
  <si>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</si>
  <si>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</si>
  <si>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</si>
  <si>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</si>
  <si>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</si>
  <si>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</si>
  <si>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</si>
  <si>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</si>
  <si>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</si>
  <si>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</si>
  <si>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</si>
  <si>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</si>
  <si>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</si>
  <si>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</si>
  <si>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</si>
  <si>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</si>
  <si>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</si>
  <si>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</si>
  <si>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</si>
  <si>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</si>
  <si>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</si>
  <si>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</si>
  <si>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</si>
  <si>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</si>
  <si>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</si>
  <si>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</si>
  <si>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</si>
  <si>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</si>
  <si>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</si>
  <si>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</si>
  <si>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</si>
  <si>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</si>
  <si>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</si>
  <si>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</si>
  <si>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</si>
  <si>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</si>
  <si>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</si>
  <si>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</si>
  <si>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</si>
  <si>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</si>
  <si>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</si>
  <si>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</si>
  <si>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</si>
  <si>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</si>
  <si>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</si>
  <si>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</si>
  <si>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</si>
  <si>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</si>
  <si>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</si>
  <si>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</si>
  <si>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</si>
  <si>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</si>
  <si>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</si>
  <si>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</si>
  <si>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</si>
  <si>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</si>
  <si>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</si>
  <si>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</si>
  <si>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</si>
  <si>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</si>
  <si>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</si>
  <si>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</si>
  <si>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</si>
  <si>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</si>
  <si>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</si>
  <si>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</si>
  <si>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</si>
  <si>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</si>
  <si>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</si>
  <si>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</si>
  <si>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</si>
  <si>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</si>
  <si>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</si>
  <si>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</si>
  <si>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</si>
  <si>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</si>
  <si>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</si>
  <si>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</si>
  <si>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</si>
  <si>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</si>
  <si>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</si>
  <si>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</si>
  <si>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</si>
  <si>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</si>
  <si>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</si>
  <si>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</si>
  <si>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</si>
  <si>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</si>
  <si>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</si>
  <si>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</si>
  <si>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</si>
  <si>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</si>
  <si>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</si>
  <si>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</si>
  <si>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</si>
  <si>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</si>
  <si>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</si>
  <si>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</si>
  <si>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</si>
  <si>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</si>
  <si>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</si>
  <si>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</si>
  <si>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</si>
  <si>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</si>
  <si>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</si>
  <si>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</si>
  <si>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</si>
  <si>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</si>
  <si>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</si>
  <si>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</si>
  <si>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</si>
  <si>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</si>
  <si>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</si>
  <si>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</si>
  <si>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</si>
  <si>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</si>
  <si>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</si>
  <si>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</si>
  <si>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</si>
  <si>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</si>
  <si>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</si>
  <si>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</si>
  <si>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</si>
  <si>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</si>
  <si>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</si>
  <si>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</si>
  <si>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</si>
  <si>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</si>
  <si>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</si>
  <si>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</si>
  <si>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</si>
  <si>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</si>
  <si>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</si>
  <si>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</si>
  <si>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</si>
  <si>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</si>
  <si>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</si>
  <si>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</si>
  <si>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</si>
  <si>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</si>
  <si>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</si>
  <si>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</si>
  <si>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</si>
  <si>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</si>
  <si>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</si>
  <si>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</si>
  <si>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</si>
  <si>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</si>
  <si>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</si>
  <si>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</si>
  <si>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</si>
  <si>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</si>
  <si>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</si>
  <si>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</si>
  <si>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</si>
  <si>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</si>
  <si>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</si>
  <si>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</si>
  <si>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</si>
  <si>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</si>
  <si>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</si>
  <si>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</si>
  <si>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</si>
  <si>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</si>
  <si>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</si>
  <si>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</si>
  <si>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</si>
  <si>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</si>
  <si>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</si>
  <si>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</si>
  <si>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</si>
  <si>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</si>
  <si>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</si>
  <si>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</si>
  <si>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</si>
  <si>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</si>
  <si>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</si>
  <si>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</si>
  <si>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</si>
  <si>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</si>
  <si>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</si>
  <si>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</si>
  <si>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</si>
  <si>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</si>
  <si>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</si>
  <si>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</si>
  <si>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</si>
  <si>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</si>
  <si>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</si>
  <si>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</si>
  <si>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</si>
  <si>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</si>
  <si>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</si>
  <si>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</si>
  <si>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</si>
  <si>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</si>
  <si>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</si>
  <si>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</si>
  <si>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</si>
  <si>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</si>
  <si>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</si>
  <si>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</si>
  <si>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</si>
  <si>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</si>
  <si>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</si>
  <si>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</si>
  <si>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</si>
  <si>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</si>
  <si>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</si>
  <si>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</si>
  <si>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</si>
  <si>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</si>
  <si>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</si>
  <si>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</si>
  <si>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</si>
  <si>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</si>
  <si>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</si>
  <si>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</si>
  <si>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</si>
  <si>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</si>
  <si>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</si>
  <si>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</si>
  <si>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</si>
  <si>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</si>
  <si>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</si>
  <si>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</si>
  <si>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</si>
  <si>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</si>
  <si>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</si>
  <si>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</si>
  <si>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</si>
  <si>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</si>
  <si>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</si>
  <si>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</si>
  <si>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</si>
  <si>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</si>
  <si>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</si>
  <si>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</si>
  <si>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</si>
  <si>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</si>
  <si>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</si>
  <si>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</si>
  <si>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</si>
  <si>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</si>
  <si>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</si>
  <si>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</si>
  <si>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</si>
  <si>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</si>
  <si>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</si>
  <si>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</si>
  <si>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</si>
  <si>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</si>
  <si>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</si>
  <si>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</si>
  <si>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</si>
  <si>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</si>
  <si>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</si>
  <si>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</si>
  <si>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</si>
  <si>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</si>
  <si>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</si>
  <si>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</si>
  <si>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</si>
  <si>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</si>
  <si>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</si>
  <si>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</si>
  <si>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</si>
  <si>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</si>
  <si>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</si>
  <si>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</si>
  <si>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</si>
  <si>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</si>
  <si>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</si>
  <si>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</si>
  <si>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</si>
  <si>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</si>
  <si>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</si>
  <si>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</si>
  <si>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</si>
  <si>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</si>
  <si>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</si>
  <si>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</si>
  <si>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</si>
  <si>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</si>
  <si>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</si>
  <si>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</si>
  <si>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</si>
  <si>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</si>
  <si>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</si>
  <si>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</si>
  <si>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</si>
  <si>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</si>
  <si>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</si>
  <si>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</si>
  <si>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</si>
  <si>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</si>
  <si>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</si>
  <si>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</si>
  <si>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</si>
  <si>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</si>
  <si>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</si>
  <si>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</si>
  <si>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</si>
  <si>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</si>
  <si>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</si>
  <si>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</si>
  <si>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</si>
  <si>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</si>
  <si>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</si>
  <si>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</si>
  <si>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</si>
  <si>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</si>
  <si>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</si>
  <si>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</si>
  <si>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</si>
  <si>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</si>
  <si>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</si>
  <si>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</si>
  <si>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</si>
  <si>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</si>
  <si>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</si>
  <si>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</si>
  <si>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</si>
  <si>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</si>
  <si>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</si>
  <si>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</si>
  <si>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</si>
  <si>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</si>
  <si>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</si>
  <si>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</si>
  <si>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</si>
  <si>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</si>
  <si>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</si>
  <si>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</si>
  <si>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</si>
  <si>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ágoi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</si>
  <si>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</si>
  <si>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</si>
  <si>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</si>
  <si>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</si>
  <si>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</si>
  <si>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</si>
  <si>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</si>
  <si>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</si>
  <si>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</si>
  <si>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</si>
  <si>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</si>
  <si>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</si>
  <si>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</si>
  <si>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</si>
  <si>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</si>
  <si>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</si>
  <si>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</si>
  <si>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</si>
  <si>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</si>
  <si>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</si>
  <si>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</si>
  <si>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</si>
  <si>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</si>
  <si>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</si>
  <si>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</si>
  <si>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</si>
  <si>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</si>
  <si>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</si>
  <si>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</si>
  <si>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</si>
  <si>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</si>
  <si>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</si>
  <si>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</si>
  <si>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</si>
  <si>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</si>
  <si>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</si>
  <si>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</si>
  <si>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</si>
  <si>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</si>
  <si>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</si>
  <si>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</si>
  <si>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</si>
  <si>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</si>
  <si>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</si>
  <si>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</si>
  <si>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</si>
  <si>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</si>
  <si>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</si>
  <si>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</si>
  <si>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</si>
  <si>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</si>
  <si>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</si>
  <si>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</si>
  <si>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</si>
  <si>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</si>
  <si>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</si>
  <si>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</si>
  <si>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</si>
  <si>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</si>
  <si>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</si>
  <si>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</si>
  <si>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</si>
  <si>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</si>
  <si>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</si>
  <si>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</si>
  <si>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</si>
  <si>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</si>
  <si>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</si>
  <si>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</si>
  <si>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</si>
  <si>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</si>
  <si>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</si>
  <si>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</si>
  <si>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</si>
  <si>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</si>
  <si>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</si>
  <si>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</si>
  <si>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</si>
  <si>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</si>
  <si>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</si>
  <si>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</si>
  <si>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</si>
  <si>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</si>
  <si>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</si>
  <si>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</si>
  <si>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</si>
  <si>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</si>
  <si>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</si>
  <si>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</si>
  <si>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</si>
  <si>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</si>
  <si>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</si>
  <si>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</si>
  <si>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</si>
  <si>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</si>
  <si>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</si>
  <si>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</si>
  <si>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</si>
  <si>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</si>
  <si>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</si>
  <si>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</si>
  <si>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</si>
  <si>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</si>
  <si>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</si>
  <si>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</si>
  <si>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</si>
  <si>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</si>
  <si>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</si>
  <si>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</si>
  <si>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</si>
  <si>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</si>
  <si>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</si>
  <si>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</si>
  <si>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</si>
  <si>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</si>
  <si>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</si>
  <si>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</si>
  <si>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</si>
  <si>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</si>
  <si>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</si>
  <si>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</si>
  <si>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</si>
  <si>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</si>
  <si>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</si>
  <si>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</si>
  <si>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</si>
  <si>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</si>
  <si>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</si>
  <si>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</si>
  <si>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</si>
  <si>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</si>
  <si>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</si>
  <si>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</si>
  <si>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</si>
  <si>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</si>
  <si>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</si>
  <si>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</si>
  <si>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</si>
  <si>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</si>
  <si>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</si>
  <si>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</si>
  <si>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</si>
  <si>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</si>
  <si>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</si>
  <si>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</si>
  <si>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</si>
  <si>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</si>
  <si>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</si>
  <si>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</si>
  <si>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</si>
  <si>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</si>
  <si>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</si>
  <si>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</si>
  <si>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</si>
  <si>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</si>
  <si>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</si>
  <si>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</si>
  <si>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</si>
  <si>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</si>
  <si>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</si>
  <si>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</si>
  <si>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</si>
  <si>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</si>
  <si>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</si>
  <si>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</si>
  <si>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</si>
  <si>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</si>
  <si>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</si>
  <si>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</si>
  <si>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</si>
  <si>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</si>
  <si>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</si>
  <si>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</si>
  <si>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</si>
  <si>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</si>
  <si>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</si>
  <si>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</si>
  <si>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</si>
  <si>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</si>
  <si>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</si>
  <si>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</si>
  <si>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</si>
  <si>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</si>
  <si>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</si>
  <si>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</si>
  <si>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</si>
  <si>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</si>
  <si>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</si>
  <si>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</si>
  <si>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</si>
  <si>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</si>
  <si>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</si>
  <si>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</si>
  <si>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</si>
  <si>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</si>
  <si>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</si>
  <si>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</si>
  <si>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</si>
  <si>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</si>
  <si>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</si>
  <si>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</si>
  <si>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</si>
  <si>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</si>
  <si>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</si>
  <si>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</si>
  <si>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</si>
  <si>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</si>
  <si>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</si>
  <si>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</si>
  <si>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</si>
  <si>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</si>
  <si>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</si>
  <si>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</si>
  <si>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</si>
  <si>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</si>
  <si>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</si>
  <si>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</si>
  <si>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</si>
  <si>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</si>
  <si>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</si>
  <si>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</si>
  <si>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</si>
  <si>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</si>
  <si>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</si>
  <si>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</si>
  <si>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</si>
  <si>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</si>
  <si>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</si>
  <si>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</si>
  <si>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</si>
  <si>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</si>
  <si>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</si>
  <si>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</si>
  <si>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</si>
  <si>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</si>
  <si>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</si>
  <si>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</si>
  <si>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</si>
  <si>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</si>
  <si>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</si>
  <si>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</si>
  <si>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</si>
  <si>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</si>
  <si>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</si>
  <si>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</si>
  <si>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</si>
  <si>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</si>
  <si>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</si>
  <si>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</si>
  <si>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</si>
  <si>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</si>
  <si>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</si>
  <si>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</si>
  <si>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</si>
  <si>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</si>
  <si>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</si>
  <si>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</si>
  <si>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</si>
  <si>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</si>
  <si>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</si>
  <si>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</si>
  <si>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</si>
  <si>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</si>
  <si>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</si>
  <si>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</si>
  <si>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</si>
  <si>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</si>
  <si>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</si>
  <si>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</si>
  <si>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</si>
  <si>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</si>
  <si>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</si>
  <si>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</si>
  <si>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</si>
  <si>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</si>
  <si>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</si>
  <si>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</si>
  <si>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</si>
  <si>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</si>
  <si>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</si>
  <si>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</si>
  <si>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</si>
  <si>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</si>
  <si>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</si>
  <si>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</si>
  <si>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</si>
  <si>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</si>
  <si>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</si>
  <si>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</si>
  <si>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</si>
  <si>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</si>
  <si>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</si>
  <si>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</si>
  <si>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</si>
  <si>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</si>
  <si>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</si>
  <si>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</si>
  <si>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</si>
  <si>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</si>
  <si>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</si>
  <si>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</si>
  <si>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</si>
  <si>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</si>
  <si>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</si>
  <si>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</si>
  <si>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</si>
  <si>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</si>
  <si>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</si>
  <si>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</si>
  <si>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</si>
  <si>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</si>
  <si>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</si>
  <si>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</si>
  <si>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</si>
  <si>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</si>
  <si>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</si>
  <si>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</si>
  <si>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</si>
  <si>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</si>
  <si>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</si>
  <si>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</si>
  <si>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</si>
  <si>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</si>
  <si>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</si>
  <si>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</si>
  <si>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</si>
  <si>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</si>
  <si>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</si>
  <si>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</si>
  <si>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</si>
  <si>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</si>
  <si>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</si>
  <si>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</si>
  <si>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</si>
  <si>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</si>
  <si>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</si>
  <si>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</si>
  <si>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</si>
  <si>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</si>
  <si>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</si>
  <si>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</si>
  <si>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</si>
  <si>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</si>
  <si>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</si>
  <si>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</si>
  <si>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</si>
  <si>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</si>
  <si>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</si>
  <si>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</si>
  <si>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</si>
  <si>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</si>
  <si>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</si>
  <si>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</si>
  <si>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</si>
  <si>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</si>
  <si>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</si>
  <si>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</si>
  <si>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</si>
  <si>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</si>
  <si>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</si>
  <si>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</si>
  <si>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</si>
  <si>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</si>
  <si>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</si>
  <si>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</si>
  <si>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</si>
  <si>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</si>
  <si>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</si>
  <si>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</si>
  <si>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</si>
  <si>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</si>
  <si>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</si>
  <si>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</si>
  <si>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</si>
  <si>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</si>
  <si>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</si>
  <si>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</si>
  <si>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</si>
  <si>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</si>
  <si>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</si>
  <si>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</si>
  <si>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</si>
  <si>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</si>
  <si>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</si>
  <si>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</si>
  <si>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</si>
  <si>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</si>
  <si>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</si>
  <si>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</si>
  <si>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</si>
  <si>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</si>
  <si>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</si>
  <si>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</si>
  <si>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</si>
  <si>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</si>
  <si>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</si>
  <si>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</si>
  <si>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</si>
  <si>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</si>
  <si>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</si>
  <si>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</si>
  <si>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</si>
  <si>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</si>
  <si>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</si>
  <si>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</si>
  <si>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</si>
  <si>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</si>
  <si>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</si>
  <si>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</si>
  <si>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</si>
  <si>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</si>
  <si>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</si>
  <si>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</si>
  <si>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</si>
  <si>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</si>
  <si>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</si>
  <si>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</si>
  <si>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</si>
  <si>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</si>
  <si>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</si>
  <si>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</si>
  <si>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</si>
  <si>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</si>
  <si>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</si>
  <si>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</si>
  <si>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</si>
  <si>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</si>
  <si>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</si>
  <si>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</si>
  <si>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</si>
  <si>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</si>
  <si>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</si>
  <si>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</si>
  <si>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</si>
  <si>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</si>
  <si>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</si>
  <si>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</si>
  <si>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</si>
  <si>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</si>
  <si>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</si>
  <si>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</si>
  <si>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</si>
  <si>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</si>
  <si>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</si>
  <si>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</si>
  <si>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</si>
  <si>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</si>
  <si>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</si>
  <si>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</si>
  <si>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</si>
  <si>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</si>
  <si>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</si>
  <si>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</si>
  <si>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</si>
  <si>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</si>
  <si>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</si>
  <si>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</si>
  <si>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</si>
  <si>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</si>
  <si>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</si>
  <si>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</si>
  <si>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</si>
  <si>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</si>
  <si>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</si>
  <si>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</si>
  <si>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</si>
  <si>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</si>
  <si>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</si>
  <si>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</si>
  <si>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</si>
  <si>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</si>
  <si>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</si>
  <si>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</si>
  <si>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</si>
  <si>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</si>
  <si>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</si>
  <si>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</si>
  <si>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</si>
  <si>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</si>
  <si>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</si>
  <si>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</si>
  <si>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</si>
  <si>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</si>
  <si>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</si>
  <si>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</si>
  <si>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</si>
  <si>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</si>
  <si>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</si>
  <si>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</si>
  <si>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</si>
  <si>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</si>
  <si>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</si>
  <si>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</si>
  <si>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</si>
  <si>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</si>
  <si>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</si>
  <si>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</si>
  <si>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</si>
  <si>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</si>
  <si>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</si>
  <si>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</si>
  <si>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</si>
  <si>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</si>
  <si>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</si>
  <si>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</si>
  <si>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</si>
  <si>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</si>
  <si>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</si>
  <si>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</si>
  <si>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</si>
  <si>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</si>
  <si>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</si>
  <si>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</si>
  <si>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</si>
  <si>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</si>
  <si>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</si>
  <si>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</si>
  <si>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</si>
  <si>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</si>
  <si>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</si>
  <si>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</si>
  <si>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</si>
  <si>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</si>
  <si>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</si>
  <si>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</si>
  <si>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</si>
  <si>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</si>
  <si>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</si>
  <si>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</si>
  <si>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</si>
  <si>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</si>
  <si>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</si>
  <si>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</si>
  <si>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</si>
  <si>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</si>
  <si>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</si>
  <si>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</si>
  <si>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</si>
  <si>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</si>
  <si>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</si>
  <si>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</si>
  <si>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</si>
  <si>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</si>
  <si>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</si>
  <si>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</si>
  <si>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</si>
  <si>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</si>
  <si>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</si>
  <si>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</si>
  <si>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</si>
  <si>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</si>
  <si>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</si>
  <si>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</si>
  <si>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</si>
  <si>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</si>
  <si>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</si>
  <si>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</si>
  <si>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</si>
  <si>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</si>
  <si>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</si>
  <si>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</si>
  <si>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</si>
  <si>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</si>
  <si>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</si>
  <si>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</si>
  <si>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</si>
  <si>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</si>
  <si>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</si>
  <si>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</si>
  <si>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</si>
  <si>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</si>
  <si>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</si>
  <si>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</si>
  <si>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</si>
  <si>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</si>
  <si>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</si>
  <si>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</si>
  <si>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</si>
  <si>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</si>
  <si>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</si>
  <si>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</si>
  <si>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</si>
  <si>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</si>
  <si>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</si>
  <si>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</si>
  <si>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</si>
  <si>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</si>
  <si>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</si>
  <si>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</si>
  <si>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</si>
  <si>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</si>
  <si>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</si>
  <si>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</si>
  <si>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</si>
  <si>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</si>
  <si>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</si>
  <si>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</si>
  <si>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</si>
  <si>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</si>
  <si>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</si>
  <si>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</si>
  <si>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</si>
  <si>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</si>
  <si>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</si>
  <si>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</si>
  <si>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</si>
  <si>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</si>
  <si>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</si>
  <si>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</si>
  <si>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</si>
  <si>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</si>
  <si>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</si>
  <si>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</si>
  <si>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</si>
  <si>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</si>
  <si>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</si>
  <si>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</si>
  <si>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</si>
  <si>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</si>
  <si>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</si>
  <si>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</si>
  <si>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</si>
  <si>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</si>
  <si>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</si>
  <si>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</si>
  <si>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</si>
  <si>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</si>
  <si>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</si>
  <si>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</si>
  <si>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</si>
  <si>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</si>
  <si>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</si>
  <si>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</si>
  <si>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</si>
  <si>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</si>
  <si>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</si>
  <si>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</si>
  <si>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</si>
  <si>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</si>
  <si>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</si>
  <si>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</si>
  <si>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</si>
  <si>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</si>
  <si>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</si>
  <si>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</si>
  <si>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</si>
  <si>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</si>
  <si>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</si>
  <si>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</si>
  <si>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</si>
  <si>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</si>
  <si>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</si>
  <si>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</si>
  <si>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</si>
  <si>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</si>
  <si>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</si>
  <si>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</si>
  <si>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</si>
  <si>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</si>
  <si>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</si>
  <si>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</si>
  <si>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</si>
  <si>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</si>
  <si>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</si>
  <si>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</si>
  <si>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</si>
  <si>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</si>
  <si>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</si>
  <si>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</si>
  <si>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</si>
  <si>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</si>
  <si>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</si>
  <si>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</si>
  <si>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</si>
  <si>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</si>
  <si>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</si>
  <si>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</si>
  <si>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</si>
  <si>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</si>
  <si>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</si>
  <si>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</si>
  <si>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</si>
  <si>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</si>
  <si>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</si>
  <si>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</si>
  <si>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</si>
  <si>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</si>
  <si>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</si>
  <si>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</si>
  <si>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</si>
  <si>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</si>
  <si>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</si>
  <si>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</si>
  <si>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</si>
  <si>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</si>
  <si>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</si>
  <si>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</si>
  <si>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</si>
  <si>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</si>
  <si>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</si>
  <si>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</si>
  <si>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</si>
  <si>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</si>
  <si>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</si>
  <si>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</si>
  <si>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</si>
  <si>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</si>
  <si>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</si>
  <si>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</si>
  <si>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</si>
  <si>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</si>
  <si>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</si>
  <si>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</si>
  <si>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</si>
  <si>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</si>
  <si>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</si>
  <si>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</si>
  <si>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</si>
  <si>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</si>
  <si>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</si>
  <si>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</si>
  <si>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</si>
  <si>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</si>
  <si>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</si>
  <si>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</si>
  <si>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</si>
  <si>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</si>
  <si>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</si>
  <si>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</si>
  <si>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</si>
  <si>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</si>
  <si>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</si>
  <si>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</si>
  <si>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</si>
  <si>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</si>
  <si>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</si>
  <si>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</si>
  <si>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</si>
  <si>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</si>
  <si>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</si>
  <si>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</si>
  <si>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</si>
  <si>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</si>
  <si>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</si>
  <si>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</si>
  <si>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</si>
  <si>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</si>
  <si>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</si>
  <si>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</si>
  <si>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</si>
  <si>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</si>
  <si>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</si>
  <si>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</si>
  <si>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</si>
  <si>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</si>
  <si>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</si>
  <si>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</si>
  <si>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</si>
  <si>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</si>
  <si>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</si>
  <si>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</si>
  <si>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</si>
  <si>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</si>
  <si>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</si>
  <si>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</si>
  <si>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</si>
  <si>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</si>
  <si>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</si>
  <si>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</si>
  <si>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</si>
  <si>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</si>
  <si>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</si>
  <si>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</si>
  <si>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</si>
  <si>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</si>
  <si>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</si>
  <si>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</si>
  <si>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</si>
  <si>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</si>
  <si>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</si>
  <si>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</si>
  <si>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</si>
  <si>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</si>
  <si>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</si>
  <si>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</si>
  <si>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</si>
  <si>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</si>
  <si>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</si>
  <si>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</si>
  <si>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</si>
  <si>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</si>
  <si>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</si>
  <si>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</si>
  <si>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</si>
  <si>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</si>
  <si>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</si>
  <si>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</si>
  <si>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</si>
  <si>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</si>
  <si>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</si>
  <si>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</si>
  <si>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</si>
  <si>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</si>
  <si>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</si>
  <si>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</si>
  <si>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</si>
  <si>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</si>
  <si>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</si>
  <si>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</si>
  <si>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</si>
  <si>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</si>
  <si>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</si>
  <si>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</si>
  <si>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</si>
  <si>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</si>
  <si>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</si>
  <si>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</si>
  <si>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</si>
  <si>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</si>
  <si>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</si>
  <si>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</si>
  <si>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</si>
  <si>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</si>
  <si>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</si>
  <si>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</si>
  <si>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</si>
  <si>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</si>
  <si>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</si>
  <si>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</si>
  <si>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</si>
  <si>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</si>
  <si>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</si>
  <si>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</si>
  <si>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</si>
  <si>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</si>
  <si>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</si>
  <si>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</si>
  <si>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</si>
  <si>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</si>
  <si>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</si>
  <si>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</si>
  <si>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</si>
  <si>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</si>
  <si>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</si>
  <si>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</si>
  <si>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</si>
  <si>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</si>
  <si>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</si>
  <si>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</si>
  <si>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</si>
  <si>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</si>
  <si>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</si>
  <si>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</si>
  <si>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</si>
  <si>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</si>
  <si>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</si>
  <si>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</si>
  <si>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</si>
  <si>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</si>
  <si>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</si>
  <si>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</si>
  <si>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</si>
  <si>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</si>
  <si>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</si>
  <si>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</si>
  <si>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</si>
  <si>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</si>
  <si>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</si>
  <si>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</si>
  <si>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</si>
  <si>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</si>
  <si>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</si>
  <si>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</si>
  <si>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</si>
  <si>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</si>
  <si>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</si>
  <si>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</si>
  <si>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</si>
  <si>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</si>
  <si>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</si>
  <si>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</si>
  <si>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</si>
  <si>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</si>
  <si>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</si>
  <si>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</si>
  <si>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</si>
  <si>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</si>
  <si>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</si>
  <si>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</si>
  <si>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</si>
  <si>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</si>
  <si>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</si>
  <si>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</si>
  <si>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</si>
  <si>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</si>
  <si>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</si>
  <si>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</si>
  <si>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</si>
  <si>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</si>
  <si>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</si>
  <si>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</si>
  <si>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</si>
  <si>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</si>
  <si>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</si>
  <si>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</si>
  <si>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</si>
  <si>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</si>
  <si>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</si>
  <si>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</si>
  <si>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</si>
  <si>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</si>
  <si>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</si>
  <si>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</si>
  <si>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</si>
  <si>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</si>
  <si>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</si>
  <si>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</si>
  <si>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</si>
  <si>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</si>
  <si>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</si>
  <si>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</si>
  <si>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</si>
  <si>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</si>
  <si>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</si>
  <si>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</si>
  <si>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</si>
  <si>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</si>
  <si>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</si>
  <si>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</si>
  <si>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</si>
  <si>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</si>
  <si>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</si>
  <si>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</si>
  <si>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</si>
  <si>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</si>
  <si>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</si>
  <si>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</si>
  <si>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</si>
  <si>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</si>
  <si>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</si>
  <si>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</si>
  <si>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</si>
  <si>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</si>
  <si>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</si>
  <si>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</si>
  <si>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</si>
  <si>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</si>
  <si>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</si>
  <si>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</si>
  <si>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</si>
  <si>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</si>
  <si>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</si>
  <si>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</si>
  <si>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</si>
  <si>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</si>
  <si>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</si>
  <si>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</si>
  <si>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</si>
  <si>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</si>
  <si>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</si>
  <si>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</si>
  <si>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</si>
  <si>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</si>
  <si>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</si>
  <si>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</si>
  <si>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</si>
  <si>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</si>
  <si>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</si>
  <si>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</si>
  <si>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</si>
  <si>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</si>
  <si>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</si>
  <si>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</si>
  <si>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</si>
  <si>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</si>
  <si>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</si>
  <si>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</si>
  <si>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</si>
  <si>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</si>
  <si>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</si>
  <si>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</si>
  <si>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</si>
  <si>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</si>
  <si>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</si>
  <si>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</si>
  <si>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</si>
  <si>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</si>
  <si>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</si>
  <si>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</si>
  <si>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</si>
  <si>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</si>
  <si>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</si>
  <si>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</si>
  <si>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</si>
  <si>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</si>
  <si>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</si>
  <si>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</si>
  <si>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</si>
  <si>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</si>
  <si>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</si>
  <si>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</si>
  <si>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</si>
  <si>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</si>
  <si>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</si>
  <si>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</si>
  <si>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</si>
  <si>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</si>
  <si>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</si>
  <si>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</si>
  <si>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</si>
  <si>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</si>
  <si>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</si>
  <si>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</si>
  <si>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</si>
  <si>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</si>
  <si>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</si>
  <si>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</si>
  <si>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</si>
  <si>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</si>
  <si>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</si>
  <si>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</si>
  <si>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</si>
  <si>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</si>
  <si>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</si>
  <si>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</si>
  <si>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</si>
  <si>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</si>
  <si>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</si>
  <si>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</si>
  <si>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</si>
  <si>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</si>
  <si>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</si>
  <si>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</si>
  <si>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</si>
  <si>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</si>
  <si>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</si>
  <si>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</si>
  <si>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</si>
  <si>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</si>
  <si>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</si>
  <si>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</si>
  <si>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</si>
  <si>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</si>
  <si>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</si>
  <si>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</si>
  <si>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</si>
  <si>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</si>
  <si>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</si>
  <si>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</si>
  <si>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</si>
  <si>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</si>
  <si>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</si>
  <si>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</si>
  <si>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</si>
  <si>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</si>
  <si>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</si>
  <si>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</si>
  <si>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</si>
  <si>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</si>
  <si>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</si>
  <si>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</si>
  <si>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</si>
  <si>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</si>
  <si>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</si>
  <si>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</si>
  <si>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</si>
  <si>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</si>
  <si>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</si>
  <si>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</si>
  <si>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</si>
  <si>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</si>
  <si>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</si>
  <si>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</si>
  <si>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</si>
  <si>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</si>
  <si>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</si>
  <si>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</si>
  <si>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</si>
  <si>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</si>
  <si>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</si>
  <si>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</si>
  <si>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</si>
  <si>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</si>
  <si>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</si>
  <si>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</si>
  <si>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</si>
  <si>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</si>
  <si>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</si>
  <si>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</si>
  <si>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</si>
  <si>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</si>
  <si>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</si>
  <si>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</si>
  <si>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</si>
  <si>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</si>
  <si>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</si>
  <si>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</si>
  <si>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</si>
  <si>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</si>
  <si>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</si>
  <si>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</si>
  <si>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</si>
  <si>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</si>
  <si>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</si>
  <si>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</si>
  <si>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</si>
  <si>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</si>
  <si>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</si>
  <si>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</si>
  <si>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</si>
  <si>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</si>
  <si>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</si>
  <si>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</si>
  <si>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</si>
  <si>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</si>
  <si>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</si>
  <si>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</si>
  <si>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</si>
  <si>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</si>
  <si>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</si>
  <si>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</si>
  <si>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</si>
  <si>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</si>
  <si>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</si>
  <si>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</si>
  <si>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</si>
  <si>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</si>
  <si>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</si>
  <si>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</si>
  <si>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</si>
  <si>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</si>
  <si>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</si>
  <si>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</si>
  <si>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</si>
  <si>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</si>
  <si>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</si>
  <si>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</si>
  <si>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</si>
  <si>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</si>
  <si>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</si>
  <si>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</si>
  <si>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</si>
  <si>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</si>
  <si>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</si>
  <si>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</si>
  <si>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</si>
  <si>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</si>
  <si>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</si>
  <si>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</si>
  <si>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</si>
  <si>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</si>
  <si>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</si>
  <si>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</si>
  <si>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</si>
  <si>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</si>
  <si>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</si>
  <si>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</si>
  <si>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</si>
  <si>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</si>
  <si>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</si>
  <si>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</si>
  <si>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</si>
  <si>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</si>
  <si>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</si>
  <si>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</si>
  <si>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</si>
  <si>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</si>
  <si>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</si>
  <si>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</si>
  <si>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</si>
  <si>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</si>
  <si>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</si>
  <si>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</si>
  <si>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</si>
  <si>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</si>
  <si>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</si>
  <si>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</si>
  <si>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</si>
  <si>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</si>
  <si>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</si>
  <si>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</si>
  <si>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</si>
  <si>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</si>
  <si>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</si>
  <si>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</si>
  <si>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</si>
  <si>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</si>
  <si>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</si>
  <si>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</si>
  <si>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</si>
  <si>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</si>
  <si>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</si>
  <si>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</si>
  <si>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</si>
  <si>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</si>
  <si>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</si>
  <si>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</si>
  <si>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</si>
  <si>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</si>
  <si>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</si>
  <si>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</si>
  <si>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</si>
  <si>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</si>
  <si>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</si>
  <si>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</si>
  <si>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</si>
  <si>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</si>
  <si>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</si>
  <si>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</si>
  <si>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</si>
  <si>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</si>
  <si>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</si>
  <si>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</si>
  <si>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</si>
  <si>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</si>
  <si>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</si>
  <si>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</si>
  <si>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</si>
  <si>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</si>
  <si>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</si>
  <si>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</si>
  <si>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</si>
  <si>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</si>
  <si>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</si>
  <si>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</si>
  <si>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</si>
  <si>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</si>
  <si>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</si>
  <si>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</si>
  <si>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</si>
  <si>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</si>
  <si>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</si>
  <si>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</si>
  <si>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</si>
  <si>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</si>
  <si>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</si>
  <si>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</si>
  <si>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</si>
  <si>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</si>
  <si>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</si>
  <si>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</si>
  <si>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</si>
  <si>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</si>
  <si>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</si>
  <si>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</si>
  <si>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</si>
  <si>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</si>
  <si>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</si>
  <si>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</si>
  <si>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</si>
  <si>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</si>
  <si>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</si>
  <si>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</si>
  <si>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</si>
  <si>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</si>
  <si>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</si>
  <si>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</si>
  <si>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</si>
  <si>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</si>
  <si>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</si>
  <si>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</si>
  <si>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</si>
  <si>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</si>
  <si>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</si>
  <si>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</si>
  <si>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</si>
  <si>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</si>
  <si>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</si>
  <si>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</si>
  <si>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</si>
  <si>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</si>
  <si>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</si>
  <si>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</si>
  <si>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</si>
  <si>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</si>
  <si>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</si>
  <si>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</si>
  <si>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</si>
  <si>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</si>
  <si>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</si>
  <si>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</si>
  <si>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</si>
  <si>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</si>
  <si>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</si>
  <si>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</si>
  <si>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</si>
  <si>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</si>
  <si>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</si>
  <si>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</si>
  <si>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</si>
  <si>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</si>
  <si>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</si>
  <si>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</si>
  <si>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</si>
  <si>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</si>
  <si>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</si>
  <si>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</si>
  <si>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</si>
  <si>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</si>
  <si>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</si>
  <si>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</si>
  <si>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</si>
  <si>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</si>
  <si>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</si>
  <si>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</si>
  <si>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</si>
  <si>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</si>
  <si>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</si>
  <si>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</si>
  <si>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</si>
  <si>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</si>
  <si>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</si>
  <si>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</si>
  <si>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</si>
  <si>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</si>
  <si>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</si>
  <si>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</si>
  <si>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</si>
  <si>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</si>
  <si>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</si>
  <si>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</si>
  <si>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</si>
  <si>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</si>
  <si>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</si>
  <si>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</si>
  <si>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</si>
  <si>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</si>
  <si>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</si>
  <si>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</si>
  <si>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</si>
  <si>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</si>
  <si>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</si>
  <si>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</si>
  <si>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</si>
  <si>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</si>
  <si>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</si>
  <si>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</si>
  <si>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</si>
  <si>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</si>
  <si>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</si>
  <si>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</si>
  <si>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</si>
  <si>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</si>
  <si>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</si>
  <si>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</si>
  <si>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</si>
  <si>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</si>
  <si>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</si>
  <si>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</si>
  <si>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</si>
  <si>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</si>
  <si>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</si>
  <si>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</si>
  <si>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</si>
  <si>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</si>
  <si>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</si>
  <si>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</si>
  <si>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</si>
  <si>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</si>
  <si>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</si>
  <si>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</si>
  <si>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</si>
  <si>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</si>
  <si>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</si>
  <si>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</si>
  <si>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</si>
  <si>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</si>
  <si>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</si>
  <si>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</si>
  <si>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</si>
  <si>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</si>
  <si>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</si>
  <si>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</si>
  <si>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</si>
  <si>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</si>
  <si>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</si>
  <si>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</si>
  <si>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</si>
  <si>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</si>
  <si>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</si>
  <si>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</si>
  <si>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</si>
  <si>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</si>
  <si>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</si>
  <si>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</si>
  <si>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</si>
  <si>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</si>
  <si>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</si>
  <si>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</si>
  <si>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</si>
  <si>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</si>
  <si>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</si>
  <si>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</si>
  <si>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</si>
  <si>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</si>
  <si>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</si>
  <si>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</si>
  <si>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</si>
  <si>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</si>
  <si>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</si>
  <si>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</si>
  <si>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</si>
  <si>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</si>
  <si>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</si>
  <si>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</si>
  <si>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</si>
  <si>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</si>
  <si>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</si>
  <si>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</si>
  <si>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</si>
  <si>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</si>
  <si>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</si>
  <si>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</si>
  <si>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</si>
  <si>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</si>
  <si>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</si>
  <si>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</si>
  <si>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</si>
  <si>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</si>
  <si>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</si>
  <si>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</si>
  <si>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</si>
  <si>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</si>
  <si>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</si>
  <si>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</si>
  <si>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</si>
  <si>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</si>
  <si>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</si>
  <si>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</si>
  <si>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</si>
  <si>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</si>
  <si>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</si>
  <si>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</si>
  <si>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</si>
  <si>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</si>
  <si>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</si>
  <si>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</si>
  <si>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</si>
  <si>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</si>
  <si>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</si>
  <si>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</si>
  <si>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</si>
  <si>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</si>
  <si>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</si>
  <si>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</si>
  <si>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</si>
  <si>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</si>
  <si>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</si>
  <si>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</si>
  <si>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</si>
  <si>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</si>
  <si>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</si>
  <si>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</si>
  <si>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</si>
  <si>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</si>
  <si>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</si>
  <si>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</si>
  <si>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</si>
  <si>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</si>
  <si>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</si>
  <si>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</si>
  <si>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</si>
  <si>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</si>
  <si>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</si>
  <si>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</si>
  <si>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</si>
  <si>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</si>
  <si>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</si>
  <si>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</si>
  <si>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</si>
  <si>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</si>
  <si>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</si>
  <si>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</si>
  <si>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</si>
  <si>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</si>
  <si>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</si>
  <si>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</si>
  <si>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</si>
  <si>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</si>
  <si>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</si>
  <si>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</si>
  <si>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</si>
  <si>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</si>
  <si>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</si>
  <si>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</si>
  <si>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</si>
  <si>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</si>
  <si>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</si>
  <si>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</si>
  <si>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</si>
  <si>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</si>
  <si>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</si>
  <si>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</si>
  <si>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</si>
  <si>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</si>
  <si>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</si>
  <si>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</si>
  <si>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</si>
  <si>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</si>
  <si>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</si>
  <si>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</si>
  <si>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</si>
  <si>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</si>
  <si>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</si>
  <si>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</si>
  <si>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</si>
  <si>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</si>
  <si>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</si>
  <si>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</si>
  <si>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</si>
  <si>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</si>
  <si>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</si>
  <si>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</si>
  <si>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</si>
  <si>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</si>
  <si>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</si>
  <si>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</si>
  <si>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</si>
  <si>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</si>
  <si>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</si>
  <si>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</si>
  <si>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</si>
  <si>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</si>
  <si>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</si>
  <si>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</si>
  <si>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</si>
  <si>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</si>
  <si>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</si>
  <si>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</si>
  <si>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</si>
  <si>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</si>
  <si>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</si>
  <si>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</si>
  <si>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</si>
  <si>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</si>
  <si>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</si>
  <si>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</si>
  <si>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</si>
  <si>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</si>
  <si>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</si>
  <si>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</si>
  <si>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</si>
  <si>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</si>
  <si>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</si>
  <si>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</si>
  <si>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</si>
  <si>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</si>
  <si>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</si>
  <si>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</si>
  <si>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</si>
  <si>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</si>
  <si>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</si>
  <si>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</si>
  <si>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</si>
  <si>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</si>
  <si>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</si>
  <si>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</si>
  <si>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</si>
  <si>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</si>
  <si>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</si>
  <si>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</si>
  <si>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</si>
  <si>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</si>
  <si>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</si>
  <si>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</si>
  <si>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</si>
  <si>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</si>
  <si>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</si>
  <si>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</si>
  <si>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</si>
  <si>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</si>
  <si>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</si>
  <si>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</si>
  <si>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</si>
  <si>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</si>
  <si>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</si>
  <si>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</si>
  <si>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</si>
  <si>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</si>
  <si>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</si>
  <si>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</si>
  <si>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</si>
  <si>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</si>
  <si>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</si>
  <si>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</si>
  <si>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</si>
  <si>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</si>
  <si>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</si>
  <si>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</si>
  <si>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</si>
  <si>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</si>
  <si>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</si>
  <si>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</si>
  <si>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</si>
  <si>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</si>
  <si>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</si>
  <si>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</si>
  <si>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</si>
  <si>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</si>
  <si>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</si>
  <si>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</si>
  <si>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</si>
  <si>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</si>
  <si>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</si>
  <si>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</si>
  <si>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</si>
  <si>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</si>
  <si>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</si>
  <si>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</si>
  <si>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</si>
  <si>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</si>
  <si>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</si>
  <si>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</si>
  <si>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</si>
  <si>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</si>
  <si>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</si>
  <si>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</si>
  <si>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</si>
  <si>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</si>
  <si>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</si>
  <si>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</si>
  <si>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</si>
  <si>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</si>
  <si>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</si>
  <si>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</si>
  <si>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</si>
  <si>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</si>
  <si>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</si>
  <si>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</si>
  <si>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</si>
  <si>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</si>
  <si>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</si>
  <si>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</si>
  <si>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</si>
  <si>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</si>
  <si>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</si>
  <si>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</si>
  <si>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</si>
  <si>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</si>
  <si>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</si>
  <si>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</si>
  <si>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</si>
  <si>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</si>
  <si>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</si>
  <si>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</si>
  <si>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</si>
  <si>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</si>
  <si>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</si>
  <si>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</si>
  <si>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</si>
  <si>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</si>
  <si>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</si>
  <si>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</si>
  <si>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</si>
  <si>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</si>
  <si>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</si>
  <si>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</si>
  <si>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</si>
  <si>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</si>
  <si>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</si>
  <si>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</si>
  <si>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</si>
  <si>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</si>
  <si>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</si>
  <si>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</si>
  <si>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</si>
  <si>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</si>
  <si>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</si>
  <si>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</si>
  <si>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</si>
  <si>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</si>
  <si>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</si>
  <si>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</si>
  <si>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</si>
  <si>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</si>
  <si>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</si>
  <si>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</si>
  <si>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</si>
  <si>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</si>
  <si>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</si>
  <si>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</si>
  <si>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</si>
  <si>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</si>
  <si>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</si>
  <si>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</si>
  <si>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</si>
  <si>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</si>
  <si>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</si>
  <si>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</si>
  <si>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</si>
  <si>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</si>
  <si>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</si>
  <si>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</si>
  <si>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</si>
  <si>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</si>
  <si>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</si>
  <si>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</si>
  <si>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</si>
  <si>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</si>
  <si>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</si>
  <si>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</si>
  <si>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</si>
  <si>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</si>
  <si>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</si>
  <si>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</si>
  <si>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</si>
  <si>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</si>
  <si>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</si>
  <si>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</si>
  <si>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</si>
  <si>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</si>
  <si>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</si>
  <si>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</si>
  <si>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</si>
  <si>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</si>
  <si>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</si>
  <si>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</si>
  <si>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</si>
  <si>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</si>
  <si>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</si>
  <si>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</si>
  <si>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</si>
  <si>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</si>
  <si>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</si>
  <si>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</si>
  <si>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</si>
  <si>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</si>
  <si>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</si>
  <si>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</si>
  <si>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</si>
  <si>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</si>
  <si>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</si>
  <si>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</si>
  <si>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</si>
  <si>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</si>
  <si>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</si>
  <si>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</si>
  <si>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</si>
  <si>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</si>
  <si>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</si>
  <si>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</si>
  <si>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</si>
  <si>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</si>
  <si>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</si>
  <si>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</si>
  <si>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</si>
  <si>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</si>
  <si>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</si>
  <si>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</si>
  <si>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</si>
  <si>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</si>
  <si>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</si>
  <si>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</si>
  <si>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</si>
  <si>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</si>
  <si>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</si>
  <si>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</si>
  <si>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</si>
  <si>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</si>
  <si>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</si>
  <si>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</si>
  <si>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</si>
  <si>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</si>
  <si>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</si>
  <si>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</si>
  <si>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</si>
  <si>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</si>
  <si>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</si>
  <si>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</si>
  <si>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</si>
  <si>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</si>
  <si>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</si>
  <si>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</si>
  <si>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</si>
  <si>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</si>
  <si>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</si>
  <si>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</si>
  <si>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</si>
  <si>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</si>
  <si>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</si>
  <si>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</si>
  <si>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</si>
  <si>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</si>
  <si>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</si>
  <si>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</si>
  <si>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</si>
  <si>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</si>
  <si>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</si>
  <si>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</si>
  <si>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</si>
  <si>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</si>
  <si>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</si>
  <si>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</si>
  <si>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</si>
  <si>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</si>
  <si>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</si>
  <si>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</si>
  <si>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</si>
  <si>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</si>
  <si>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</si>
  <si>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</si>
  <si>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</si>
  <si>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</si>
  <si>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</si>
  <si>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</si>
  <si>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</si>
  <si>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</si>
  <si>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</si>
  <si>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</si>
  <si>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</si>
  <si>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</si>
  <si>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</si>
  <si>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</si>
  <si>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</si>
  <si>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</si>
  <si>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</si>
  <si>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</si>
  <si>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</si>
  <si>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</si>
  <si>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</si>
  <si>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</si>
  <si>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</si>
  <si>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</si>
  <si>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</si>
  <si>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</si>
  <si>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</si>
  <si>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</si>
  <si>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</si>
  <si>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</si>
  <si>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</si>
  <si>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</si>
  <si>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</si>
  <si>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</si>
  <si>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</si>
  <si>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</si>
  <si>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</si>
  <si>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</si>
  <si>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</si>
  <si>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</si>
  <si>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</si>
  <si>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</si>
  <si>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</si>
  <si>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</si>
  <si>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</si>
  <si>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</si>
  <si>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</si>
  <si>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</si>
  <si>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</si>
  <si>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</si>
  <si>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</si>
  <si>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</si>
  <si>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</si>
  <si>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</si>
  <si>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</si>
  <si>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</si>
  <si>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</si>
  <si>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</si>
  <si>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</si>
  <si>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</si>
  <si>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</si>
  <si>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</si>
  <si>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</si>
  <si>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</si>
  <si>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</si>
  <si>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</si>
  <si>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</si>
  <si>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</si>
  <si>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</si>
  <si>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</si>
  <si>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</si>
  <si>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</si>
  <si>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</si>
  <si>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</si>
  <si>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</si>
  <si>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</si>
  <si>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</si>
  <si>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</si>
  <si>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</si>
  <si>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</si>
  <si>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</si>
  <si>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</si>
  <si>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</si>
  <si>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</si>
  <si>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</si>
  <si>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</si>
  <si>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</si>
  <si>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</si>
  <si>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</si>
  <si>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</si>
  <si>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</si>
  <si>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</si>
  <si>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</si>
  <si>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</si>
  <si>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</si>
  <si>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</si>
  <si>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</si>
  <si>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</si>
  <si>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</si>
  <si>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</si>
  <si>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</si>
  <si>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</si>
  <si>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</si>
  <si>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</si>
  <si>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</si>
  <si>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</si>
  <si>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</si>
  <si>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</si>
  <si>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</si>
  <si>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</si>
  <si>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</si>
  <si>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</si>
  <si>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</si>
  <si>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</si>
  <si>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</si>
  <si>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</si>
  <si>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</si>
  <si>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</si>
  <si>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</si>
  <si>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</si>
  <si>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</si>
  <si>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</si>
  <si>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</si>
  <si>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</si>
  <si>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</si>
  <si>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</si>
  <si>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</si>
  <si>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</si>
  <si>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</si>
  <si>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</si>
  <si>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</si>
  <si>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</si>
  <si>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</si>
  <si>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</si>
  <si>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</si>
  <si>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</si>
  <si>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</si>
  <si>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</si>
  <si>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</si>
  <si>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</si>
  <si>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</si>
  <si>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</si>
  <si>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</si>
  <si>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</si>
  <si>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</si>
  <si>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</si>
  <si>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</si>
  <si>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</si>
  <si>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</si>
  <si>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</si>
  <si>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</si>
  <si>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</si>
  <si>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</si>
  <si>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</si>
  <si>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</si>
  <si>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</si>
  <si>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</si>
  <si>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</si>
  <si>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</si>
  <si>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</si>
  <si>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</si>
  <si>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</si>
  <si>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</si>
  <si>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</si>
  <si>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</si>
  <si>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</si>
  <si>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</si>
  <si>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</si>
  <si>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</si>
  <si>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</si>
  <si>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</si>
  <si>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</si>
  <si>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</si>
  <si>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</si>
  <si>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</si>
  <si>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</si>
  <si>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</si>
  <si>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</si>
  <si>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</si>
  <si>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</si>
  <si>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</si>
  <si>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</si>
  <si>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</si>
  <si>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</si>
  <si>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</si>
  <si>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</si>
  <si>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</si>
  <si>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</si>
  <si>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</si>
  <si>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</si>
  <si>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</si>
  <si>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</si>
  <si>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</si>
  <si>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</si>
  <si>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</si>
  <si>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</si>
  <si>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</si>
  <si>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</si>
  <si>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</si>
  <si>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</si>
  <si>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</si>
  <si>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</si>
  <si>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</si>
  <si>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</si>
  <si>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</si>
  <si>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</si>
  <si>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</si>
  <si>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</si>
  <si>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</si>
  <si>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</si>
  <si>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</si>
  <si>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</si>
  <si>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</si>
  <si>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</si>
  <si>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</si>
  <si>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</si>
  <si>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</si>
  <si>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</si>
  <si>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</si>
  <si>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</si>
  <si>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</si>
  <si>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</si>
  <si>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</si>
  <si>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</si>
  <si>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</si>
  <si>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</si>
  <si>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</si>
  <si>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</si>
  <si>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</si>
  <si>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</si>
  <si>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</si>
  <si>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</si>
  <si>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</si>
  <si>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</si>
  <si>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</si>
  <si>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</si>
  <si>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</si>
  <si>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</si>
  <si>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</si>
  <si>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</si>
  <si>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</si>
  <si>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</si>
  <si>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</si>
  <si>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</si>
  <si>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</si>
  <si>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</si>
  <si>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</si>
  <si>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</si>
  <si>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</si>
  <si>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</si>
  <si>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</si>
  <si>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</si>
  <si>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</si>
  <si>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</si>
  <si>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</si>
  <si>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</si>
  <si>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</si>
  <si>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</si>
  <si>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</si>
  <si>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</si>
  <si>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</si>
  <si>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</si>
  <si>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</si>
  <si>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</si>
  <si>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</si>
  <si>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</si>
  <si>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</si>
  <si>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</si>
  <si>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</si>
  <si>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</si>
  <si>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</si>
  <si>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</si>
  <si>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</si>
  <si>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</si>
  <si>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</si>
  <si>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</si>
  <si>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</si>
  <si>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</si>
  <si>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</si>
  <si>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</si>
  <si>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</si>
  <si>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</si>
  <si>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</si>
  <si>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</si>
  <si>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</si>
  <si>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</si>
  <si>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</si>
  <si>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</si>
  <si>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</si>
  <si>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</si>
  <si>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</si>
  <si>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</si>
  <si>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</si>
  <si>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</si>
  <si>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</si>
  <si>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</si>
  <si>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</si>
  <si>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</si>
  <si>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</si>
  <si>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</si>
  <si>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</si>
  <si>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</si>
  <si>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</si>
  <si>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</si>
  <si>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</si>
  <si>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</si>
  <si>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</si>
  <si>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</si>
  <si>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</si>
  <si>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</si>
  <si>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</si>
  <si>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</si>
  <si>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</si>
  <si>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</si>
  <si>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</si>
  <si>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</si>
  <si>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</si>
  <si>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</si>
  <si>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</si>
  <si>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</si>
  <si>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</si>
  <si>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</si>
  <si>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</si>
  <si>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</si>
  <si>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</si>
  <si>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</si>
  <si>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</si>
  <si>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</si>
  <si>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</si>
  <si>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</si>
  <si>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</si>
  <si>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</si>
  <si>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</si>
  <si>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</si>
  <si>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</si>
  <si>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</si>
  <si>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</si>
  <si>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</si>
  <si>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</si>
  <si>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</si>
  <si>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</si>
  <si>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</si>
  <si>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</si>
  <si>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</si>
  <si>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</si>
  <si>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</si>
  <si>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</si>
  <si>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</si>
  <si>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</si>
  <si>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</si>
  <si>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</si>
  <si>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</si>
  <si>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</si>
  <si>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</si>
  <si>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</si>
  <si>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</si>
  <si>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</si>
  <si>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</si>
  <si>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</si>
  <si>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</si>
  <si>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</si>
  <si>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</si>
  <si>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</si>
  <si>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</si>
  <si>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</si>
  <si>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</si>
  <si>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</si>
  <si>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</si>
  <si>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</si>
  <si>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</si>
  <si>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</si>
  <si>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</si>
  <si>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</si>
  <si>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</si>
  <si>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</si>
  <si>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</si>
  <si>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</si>
  <si>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</si>
  <si>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</si>
  <si>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</si>
  <si>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</si>
  <si>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</si>
  <si>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</si>
  <si>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</si>
  <si>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</si>
  <si>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</si>
  <si>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</si>
  <si>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</si>
  <si>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</si>
  <si>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</si>
  <si>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</si>
  <si>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</si>
  <si>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</si>
  <si>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</si>
  <si>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</si>
  <si>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</si>
  <si>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</si>
  <si>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</si>
  <si>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</si>
  <si>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</si>
  <si>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</si>
  <si>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</si>
  <si>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</si>
  <si>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</si>
  <si>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</si>
  <si>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</si>
  <si>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</si>
  <si>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</si>
  <si>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</si>
  <si>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</si>
  <si>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</si>
  <si>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</si>
  <si>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</si>
  <si>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</si>
  <si>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</si>
  <si>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</si>
  <si>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</si>
  <si>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</si>
  <si>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</si>
  <si>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</si>
  <si>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</si>
  <si>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</si>
  <si>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</si>
  <si>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</si>
  <si>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</si>
  <si>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</si>
  <si>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</si>
  <si>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</si>
  <si>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</si>
  <si>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</si>
  <si>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</si>
  <si>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</si>
  <si>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</si>
  <si>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</si>
  <si>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</si>
  <si>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</si>
  <si>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</si>
  <si>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</si>
  <si>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</si>
  <si>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</si>
  <si>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</si>
  <si>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</si>
  <si>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</si>
  <si>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</si>
  <si>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</si>
  <si>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</si>
  <si>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</si>
  <si>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</si>
  <si>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</si>
  <si>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</si>
  <si>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</si>
  <si>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</si>
  <si>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</si>
  <si>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</si>
  <si>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</si>
  <si>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</si>
  <si>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</si>
  <si>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</si>
  <si>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</si>
  <si>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</si>
  <si>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</si>
  <si>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</si>
  <si>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</si>
  <si>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</si>
  <si>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</si>
  <si>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</si>
  <si>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</si>
  <si>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</si>
  <si>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</si>
  <si>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</si>
  <si>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</si>
  <si>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</si>
  <si>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</si>
  <si>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</si>
  <si>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</si>
  <si>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</si>
  <si>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</si>
  <si>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</si>
  <si>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</si>
  <si>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</si>
  <si>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</si>
  <si>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</si>
  <si>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</si>
  <si>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</si>
  <si>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</si>
  <si>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</si>
  <si>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</si>
  <si>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</si>
  <si>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</si>
  <si>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</si>
  <si>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</si>
  <si>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</si>
  <si>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</si>
  <si>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</si>
  <si>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</si>
  <si>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</si>
  <si>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</si>
  <si>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</si>
  <si>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</si>
  <si>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</si>
  <si>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</si>
  <si>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</si>
  <si>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</si>
  <si>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</si>
  <si>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</si>
  <si>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</si>
  <si>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</si>
  <si>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</si>
  <si>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</si>
  <si>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</si>
  <si>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</si>
  <si>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</si>
  <si>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</si>
  <si>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</si>
  <si>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</si>
  <si>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</si>
  <si>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</si>
  <si>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</si>
  <si>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</si>
  <si>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</si>
  <si>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</si>
  <si>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</si>
  <si>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</si>
  <si>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</si>
  <si>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</si>
  <si>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</si>
  <si>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</si>
  <si>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</si>
  <si>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</si>
  <si>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</si>
  <si>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</si>
  <si>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</si>
  <si>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</si>
  <si>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</si>
  <si>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</si>
  <si>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</si>
  <si>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</si>
  <si>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</si>
  <si>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</si>
  <si>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</si>
  <si>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</si>
  <si>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</si>
  <si>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</si>
  <si>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</si>
  <si>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</si>
  <si>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</si>
  <si>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</si>
  <si>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</si>
  <si>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</si>
  <si>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</si>
  <si>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</si>
  <si>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</si>
  <si>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</si>
  <si>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</si>
  <si>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</si>
  <si>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</si>
  <si>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</si>
  <si>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</si>
  <si>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</si>
  <si>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</si>
  <si>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</si>
  <si>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</si>
  <si>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</si>
  <si>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</si>
  <si>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</si>
  <si>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</si>
  <si>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</si>
  <si>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</si>
  <si>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</si>
  <si>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</si>
  <si>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</si>
  <si>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</si>
  <si>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</si>
  <si>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</si>
  <si>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</si>
  <si>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</si>
  <si>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</si>
  <si>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</si>
  <si>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</si>
  <si>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</si>
  <si>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</si>
  <si>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</si>
  <si>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</si>
  <si>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</si>
  <si>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</si>
  <si>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</si>
  <si>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</si>
  <si>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</si>
  <si>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</si>
  <si>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</si>
  <si>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</si>
  <si>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</si>
  <si>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</si>
  <si>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</si>
  <si>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</si>
  <si>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</si>
  <si>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</si>
  <si>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</si>
  <si>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</si>
  <si>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</si>
  <si>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</si>
  <si>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</si>
  <si>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</si>
  <si>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</si>
  <si>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</si>
  <si>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</si>
  <si>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</si>
  <si>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</si>
  <si>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</si>
  <si>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</si>
  <si>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</si>
  <si>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</si>
  <si>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</si>
  <si>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</si>
  <si>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</si>
  <si>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</si>
  <si>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</si>
  <si>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</si>
  <si>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</si>
  <si>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</si>
  <si>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</si>
  <si>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</si>
  <si>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</si>
  <si>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</si>
  <si>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</si>
  <si>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</si>
  <si>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</si>
  <si>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</si>
  <si>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</si>
  <si>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</si>
  <si>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</si>
  <si>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</si>
  <si>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</si>
  <si>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</si>
  <si>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</si>
  <si>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</si>
  <si>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</si>
  <si>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</si>
  <si>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</si>
  <si>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</si>
  <si>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</si>
  <si>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</si>
  <si>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</si>
  <si>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</si>
  <si>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</si>
  <si>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</si>
  <si>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</si>
  <si>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</si>
  <si>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</si>
  <si>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</si>
  <si>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</si>
  <si>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</si>
  <si>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</si>
  <si>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</si>
  <si>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</si>
  <si>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</si>
  <si>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</si>
  <si>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</si>
  <si>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</si>
  <si>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</si>
  <si>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</si>
  <si>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</si>
  <si>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</si>
  <si>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</si>
  <si>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</si>
  <si>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</si>
  <si>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</si>
  <si>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</si>
  <si>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</si>
  <si>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</si>
  <si>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</si>
  <si>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</si>
  <si>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</si>
  <si>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</si>
  <si>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</si>
  <si>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</si>
  <si>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</si>
  <si>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</si>
  <si>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</si>
  <si>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</si>
  <si>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</si>
  <si>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</si>
  <si>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</si>
  <si>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</si>
  <si>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</si>
  <si>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</si>
  <si>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</si>
  <si>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</si>
  <si>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</si>
  <si>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</si>
  <si>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</si>
  <si>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</si>
  <si>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</si>
  <si>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</si>
  <si>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</si>
  <si>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</si>
  <si>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</si>
  <si>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</si>
  <si>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</si>
  <si>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</si>
  <si>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</si>
  <si>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</si>
  <si>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</si>
  <si>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</si>
  <si>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</si>
  <si>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</si>
  <si>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</si>
  <si>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</si>
  <si>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</si>
  <si>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</si>
  <si>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</si>
  <si>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</si>
  <si>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</si>
  <si>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</si>
  <si>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</si>
  <si>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</si>
  <si>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</si>
  <si>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</si>
  <si>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</si>
  <si>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</si>
  <si>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</si>
  <si>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</si>
  <si>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</si>
  <si>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</si>
  <si>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</si>
  <si>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</si>
  <si>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</si>
  <si>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</si>
  <si>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</si>
  <si>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</si>
  <si>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</si>
  <si>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</si>
  <si>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</si>
  <si>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</si>
  <si>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</si>
  <si>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</si>
  <si>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</si>
  <si>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</si>
  <si>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</si>
  <si>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</si>
  <si>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</si>
  <si>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</si>
  <si>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</si>
  <si>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</si>
  <si>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</si>
  <si>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</si>
  <si>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</si>
  <si>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</si>
  <si>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</si>
  <si>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</si>
  <si>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</si>
  <si>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</si>
  <si>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</si>
  <si>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</si>
  <si>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</si>
  <si>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</si>
  <si>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</si>
  <si>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</si>
  <si>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</si>
  <si>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</si>
  <si>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</si>
  <si>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</si>
  <si>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</si>
  <si>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</si>
  <si>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</si>
  <si>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</si>
  <si>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</si>
  <si>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</si>
  <si>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</si>
  <si>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</si>
  <si>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</si>
  <si>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</si>
  <si>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</si>
  <si>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</si>
  <si>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</si>
  <si>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</si>
  <si>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</si>
  <si>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</si>
  <si>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</si>
  <si>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</si>
  <si>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</si>
  <si>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</si>
  <si>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</si>
  <si>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</si>
  <si>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</si>
  <si>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</si>
  <si>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</si>
  <si>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</si>
  <si>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</si>
  <si>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</si>
  <si>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</si>
  <si>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</si>
  <si>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</si>
  <si>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</si>
  <si>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</si>
  <si>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</si>
  <si>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</si>
  <si>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</si>
  <si>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</si>
  <si>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</si>
  <si>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</si>
  <si>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</si>
  <si>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</si>
  <si>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</si>
  <si>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</si>
  <si>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</si>
  <si>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</si>
  <si>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</si>
  <si>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</si>
  <si>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</si>
  <si>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</si>
  <si>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</si>
  <si>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</si>
  <si>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</si>
  <si>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</si>
  <si>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</si>
  <si>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</si>
  <si>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</si>
  <si>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</si>
  <si>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</si>
  <si>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</si>
  <si>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</si>
  <si>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</si>
  <si>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</si>
  <si>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</si>
  <si>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</si>
  <si>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</si>
  <si>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</si>
  <si>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</si>
  <si>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</si>
  <si>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</si>
  <si>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</si>
  <si>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</si>
  <si>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</si>
  <si>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</si>
  <si>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</si>
  <si>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</si>
  <si>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</si>
  <si>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</si>
  <si>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</si>
  <si>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</si>
  <si>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</si>
  <si>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</si>
  <si>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</si>
  <si>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</si>
  <si>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</si>
  <si>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</si>
  <si>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</si>
  <si>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</si>
  <si>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</si>
  <si>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</si>
  <si>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</si>
  <si>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</si>
  <si>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</si>
  <si>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</si>
  <si>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</si>
  <si>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</si>
  <si>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</si>
  <si>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</si>
  <si>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</si>
  <si>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</si>
  <si>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</si>
  <si>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</si>
  <si>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</si>
  <si>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</si>
  <si>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</si>
  <si>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</si>
  <si>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</si>
  <si>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</si>
  <si>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</si>
  <si>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</si>
  <si>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</si>
  <si>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</si>
  <si>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</si>
  <si>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</si>
  <si>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</si>
  <si>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</si>
  <si>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</si>
  <si>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</si>
  <si>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</si>
  <si>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</si>
  <si>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</si>
  <si>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</si>
  <si>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</si>
  <si>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</si>
  <si>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</si>
  <si>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</si>
  <si>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</si>
  <si>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</si>
  <si>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</si>
  <si>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</si>
  <si>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</si>
  <si>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</si>
  <si>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</si>
  <si>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</si>
  <si>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</si>
  <si>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</si>
  <si>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</si>
  <si>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</si>
  <si>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</si>
  <si>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</si>
  <si>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</si>
  <si>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</si>
  <si>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</si>
  <si>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</si>
  <si>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</si>
  <si>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</si>
  <si>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</si>
  <si>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</si>
  <si>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</si>
  <si>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</si>
  <si>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</si>
  <si>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</si>
  <si>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</si>
  <si>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</si>
  <si>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</si>
  <si>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</si>
  <si>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</si>
  <si>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</si>
  <si>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</si>
  <si>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</si>
  <si>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</si>
  <si>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</si>
  <si>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</si>
  <si>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</si>
  <si>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</si>
  <si>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</si>
  <si>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</si>
  <si>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</si>
  <si>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</si>
  <si>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</si>
  <si>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</si>
  <si>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</si>
  <si>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</si>
  <si>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</si>
  <si>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</si>
  <si>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</si>
  <si>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</si>
  <si>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</si>
  <si>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</si>
  <si>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</si>
  <si>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</si>
  <si>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</si>
  <si>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</si>
  <si>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</si>
  <si>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</si>
  <si>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</si>
  <si>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</si>
  <si>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</si>
  <si>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</si>
  <si>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</si>
  <si>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</si>
  <si>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</si>
  <si>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</si>
  <si>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</si>
  <si>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</si>
  <si>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</si>
  <si>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</si>
  <si>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</si>
  <si>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</si>
  <si>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</si>
  <si>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</si>
  <si>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</si>
  <si>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</si>
  <si>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</si>
  <si>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</si>
  <si>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</si>
  <si>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</si>
  <si>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</si>
  <si>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</si>
  <si>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</si>
  <si>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</si>
  <si>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</si>
  <si>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</si>
  <si>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</si>
  <si>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</si>
  <si>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</si>
  <si>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</si>
  <si>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</si>
  <si>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</si>
  <si>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</si>
  <si>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</si>
  <si>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</si>
  <si>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</si>
  <si>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</si>
  <si>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</si>
  <si>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</si>
  <si>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</si>
  <si>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</si>
  <si>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</si>
  <si>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</si>
  <si>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</si>
  <si>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</si>
  <si>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</si>
  <si>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</si>
  <si>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</si>
  <si>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</si>
  <si>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</si>
  <si>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</si>
  <si>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</si>
  <si>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</si>
  <si>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</si>
  <si>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</si>
  <si>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</si>
  <si>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</si>
  <si>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</si>
  <si>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</si>
  <si>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</si>
  <si>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</si>
  <si>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</si>
  <si>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</si>
  <si>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</si>
  <si>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</si>
  <si>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</si>
  <si>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</si>
  <si>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</si>
  <si>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</si>
  <si>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</si>
  <si>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</si>
  <si>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</si>
  <si>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</si>
  <si>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</si>
  <si>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</si>
  <si>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</si>
  <si>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</si>
  <si>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</si>
  <si>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</si>
  <si>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</si>
  <si>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</si>
  <si>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</si>
  <si>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</si>
  <si>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</si>
  <si>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</si>
  <si>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</si>
  <si>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</si>
  <si>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</si>
  <si>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</si>
  <si>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</si>
  <si>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</si>
  <si>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</si>
  <si>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</si>
  <si>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</si>
  <si>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</si>
  <si>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</si>
  <si>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</si>
  <si>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</si>
  <si>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</si>
  <si>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</si>
  <si>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</si>
  <si>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</si>
  <si>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</si>
  <si>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</si>
  <si>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</si>
  <si>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</si>
  <si>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</si>
  <si>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</si>
  <si>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</si>
  <si>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</si>
  <si>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</si>
  <si>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</si>
  <si>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</si>
  <si>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</si>
  <si>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</si>
  <si>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</si>
  <si>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</si>
  <si>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</si>
  <si>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</si>
  <si>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</si>
  <si>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</si>
  <si>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</si>
  <si>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</si>
  <si>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</si>
  <si>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</si>
  <si>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</si>
  <si>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</si>
  <si>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</si>
  <si>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</si>
  <si>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</si>
  <si>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</si>
  <si>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</si>
  <si>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</si>
  <si>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</si>
  <si>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</si>
  <si>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</si>
  <si>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</si>
  <si>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</si>
  <si>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</si>
  <si>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</si>
  <si>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</si>
  <si>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</si>
  <si>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</si>
  <si>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</si>
  <si>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</si>
  <si>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</si>
  <si>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</si>
  <si>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</si>
  <si>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</si>
  <si>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</si>
  <si>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</si>
  <si>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</si>
  <si>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</si>
  <si>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</si>
  <si>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</si>
  <si>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</si>
  <si>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</si>
  <si>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</si>
  <si>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</si>
  <si>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</si>
  <si>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</si>
  <si>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</si>
  <si>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</si>
  <si>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</si>
  <si>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</si>
  <si>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</si>
  <si>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</si>
  <si>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</si>
  <si>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</si>
  <si>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</si>
  <si>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</si>
  <si>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</si>
  <si>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</si>
  <si>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</si>
  <si>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</si>
  <si>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</si>
  <si>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</si>
  <si>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</si>
  <si>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</si>
  <si>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</si>
  <si>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</si>
  <si>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</si>
  <si>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</si>
  <si>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</si>
  <si>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</si>
  <si>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</si>
  <si>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</si>
  <si>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</si>
  <si>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</si>
  <si>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</si>
  <si>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</si>
  <si>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</si>
  <si>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</si>
  <si>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</si>
  <si>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</si>
  <si>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</si>
  <si>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</si>
  <si>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</si>
  <si>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</si>
  <si>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</si>
  <si>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</si>
  <si>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</si>
  <si>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</si>
  <si>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</si>
  <si>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</si>
  <si>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</si>
  <si>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</si>
  <si>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</si>
  <si>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</si>
  <si>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</si>
  <si>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</si>
  <si>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</si>
  <si>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</si>
  <si>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</si>
  <si>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</si>
  <si>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</si>
  <si>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</si>
  <si>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</si>
  <si>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</si>
  <si>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</si>
  <si>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</si>
  <si>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</si>
  <si>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</si>
  <si>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</si>
  <si>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</si>
  <si>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</si>
  <si>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</si>
  <si>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</si>
  <si>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</si>
  <si>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</si>
  <si>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</si>
  <si>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</si>
  <si>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</si>
  <si>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</si>
  <si>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</si>
  <si>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</si>
  <si>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</si>
  <si>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</si>
  <si>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</si>
  <si>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</si>
  <si>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</si>
  <si>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</si>
  <si>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</si>
  <si>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</si>
  <si>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</si>
  <si>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</si>
  <si>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</si>
  <si>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</si>
  <si>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</si>
  <si>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</si>
  <si>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</si>
  <si>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</si>
  <si>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</si>
  <si>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</si>
  <si>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</si>
  <si>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</si>
  <si>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</si>
  <si>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</si>
  <si>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</si>
  <si>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</si>
  <si>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</si>
  <si>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</si>
  <si>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</si>
  <si>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</si>
  <si>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</si>
  <si>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</si>
  <si>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</si>
  <si>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</si>
  <si>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</si>
  <si>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</si>
  <si>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</si>
  <si>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</si>
  <si>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</si>
  <si>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</si>
  <si>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</si>
  <si>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</si>
  <si>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</si>
  <si>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</si>
  <si>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</si>
  <si>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</si>
  <si>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</si>
  <si>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</si>
  <si>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</si>
  <si>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</si>
  <si>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</si>
  <si>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</si>
  <si>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</si>
  <si>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</si>
  <si>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</si>
  <si>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</si>
  <si>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</si>
  <si>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</si>
  <si>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</si>
  <si>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</si>
  <si>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</si>
  <si>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</si>
  <si>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</si>
  <si>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</si>
  <si>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</si>
  <si>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</si>
  <si>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</si>
  <si>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</si>
  <si>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</si>
  <si>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</si>
  <si>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</si>
  <si>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</si>
  <si>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</si>
  <si>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</si>
  <si>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</si>
  <si>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</si>
  <si>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</si>
  <si>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</si>
  <si>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</si>
  <si>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</si>
  <si>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</si>
  <si>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</si>
  <si>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</si>
  <si>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</si>
  <si>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</si>
  <si>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</si>
  <si>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</si>
  <si>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</si>
  <si>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</si>
  <si>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</si>
  <si>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</si>
  <si>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</si>
  <si>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PAULO</t>
  </si>
  <si>
    <t>VENIA</t>
  </si>
  <si>
    <t>ILTON</t>
  </si>
  <si>
    <t>JULIANA</t>
  </si>
  <si>
    <t>ANUAR</t>
  </si>
  <si>
    <t>005320069</t>
  </si>
  <si>
    <t>RICARDO</t>
  </si>
  <si>
    <t>004643746</t>
  </si>
  <si>
    <t>MARIO</t>
  </si>
  <si>
    <t>SIMONE</t>
  </si>
  <si>
    <t>CARLOS</t>
  </si>
  <si>
    <t>RENATO</t>
  </si>
  <si>
    <t>GILSON</t>
  </si>
  <si>
    <t>MERG</t>
  </si>
  <si>
    <t>CLAUDIA</t>
  </si>
  <si>
    <t>005619108</t>
  </si>
  <si>
    <t>LAURA</t>
  </si>
  <si>
    <t>ELAINE</t>
  </si>
  <si>
    <t>NELY</t>
  </si>
  <si>
    <t>ANDRE</t>
  </si>
  <si>
    <t>JOSE</t>
  </si>
  <si>
    <t>NIVALDO</t>
  </si>
  <si>
    <t>VR</t>
  </si>
  <si>
    <t>SUELY</t>
  </si>
  <si>
    <t>MARCO</t>
  </si>
  <si>
    <t>ANA</t>
  </si>
  <si>
    <t>HEPTA</t>
  </si>
  <si>
    <t>SILVIO</t>
  </si>
  <si>
    <t>FILIPE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</si>
  <si>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</si>
  <si>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</si>
  <si>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</si>
  <si>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</si>
  <si>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</si>
  <si>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</si>
  <si>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</si>
  <si>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</si>
  <si>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MVFC</t>
  </si>
  <si>
    <t>005203796</t>
  </si>
  <si>
    <t>MARCIA</t>
  </si>
  <si>
    <t>CLERIA</t>
  </si>
  <si>
    <t>EDMUR</t>
  </si>
  <si>
    <t>LUIZ</t>
  </si>
  <si>
    <t>REINALDO</t>
  </si>
  <si>
    <t>ODILON</t>
  </si>
  <si>
    <t>LEVI</t>
  </si>
  <si>
    <t>BERNARDO</t>
  </si>
  <si>
    <t>WALQUIRIA</t>
  </si>
  <si>
    <t>POLO</t>
  </si>
  <si>
    <t>MARGARETH</t>
  </si>
  <si>
    <t>MSD</t>
  </si>
  <si>
    <t>JORGE</t>
  </si>
  <si>
    <t>DAVID</t>
  </si>
  <si>
    <t>HIROKO</t>
  </si>
  <si>
    <t>CLINEO</t>
  </si>
  <si>
    <t>NATALIA</t>
  </si>
  <si>
    <t>VALERIA</t>
  </si>
  <si>
    <t>004261201</t>
  </si>
  <si>
    <t>ADSON</t>
  </si>
  <si>
    <t>JOAQUIM</t>
  </si>
  <si>
    <t>HELIO</t>
  </si>
  <si>
    <t>CRISTINA</t>
  </si>
  <si>
    <t>LARISSA</t>
  </si>
  <si>
    <t>ELSI</t>
  </si>
  <si>
    <t>KELLY</t>
  </si>
  <si>
    <t>005190138</t>
  </si>
  <si>
    <t>FABIANO</t>
  </si>
  <si>
    <t>ROGERIO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</si>
  <si>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</si>
  <si>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</si>
  <si>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</si>
  <si>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</si>
  <si>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</si>
  <si>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</si>
  <si>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</si>
  <si>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</si>
  <si>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</si>
  <si>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ANDREA</t>
  </si>
  <si>
    <t>RENATA</t>
  </si>
  <si>
    <t>FELIPE</t>
  </si>
  <si>
    <t>GISELA</t>
  </si>
  <si>
    <t>HEMAT</t>
  </si>
  <si>
    <t>PEDRO</t>
  </si>
  <si>
    <t>ALESSANDRA</t>
  </si>
  <si>
    <t>BLOCO</t>
  </si>
  <si>
    <t>EMILIA</t>
  </si>
  <si>
    <t>004879567</t>
  </si>
  <si>
    <t>SANDRA</t>
  </si>
  <si>
    <t>005608744</t>
  </si>
  <si>
    <t>MINEIA</t>
  </si>
  <si>
    <t>HELENA</t>
  </si>
  <si>
    <t>MARCEL</t>
  </si>
  <si>
    <t>005591536</t>
  </si>
  <si>
    <t>GUSTAVO</t>
  </si>
  <si>
    <t>GLEYSERSON</t>
  </si>
  <si>
    <t>004567324</t>
  </si>
  <si>
    <t>FRANCISCO</t>
  </si>
  <si>
    <t>SILVIA</t>
  </si>
  <si>
    <t>HELOISA</t>
  </si>
  <si>
    <t>ALBERTO</t>
  </si>
  <si>
    <t>ROSANGELA</t>
  </si>
  <si>
    <t>ANILSON</t>
  </si>
  <si>
    <t>NATHALIA</t>
  </si>
  <si>
    <t>ELEUSE</t>
  </si>
  <si>
    <t>MATEUS</t>
  </si>
  <si>
    <t>CINTIA</t>
  </si>
  <si>
    <t>HELVECIO</t>
  </si>
  <si>
    <t>CARLA</t>
  </si>
  <si>
    <t>DIEGO</t>
  </si>
  <si>
    <t>TIAGO</t>
  </si>
  <si>
    <t>EMILSON</t>
  </si>
  <si>
    <t>JOAO</t>
  </si>
  <si>
    <t>EDINARDO</t>
  </si>
  <si>
    <t>VALDIVINO</t>
  </si>
  <si>
    <t>SAVIO</t>
  </si>
  <si>
    <t>NABOR</t>
  </si>
  <si>
    <t>005685291</t>
  </si>
  <si>
    <t>IVONE</t>
  </si>
  <si>
    <t>HEITOR</t>
  </si>
  <si>
    <t>CAIO</t>
  </si>
  <si>
    <t>RACHEL</t>
  </si>
  <si>
    <t>005411104</t>
  </si>
  <si>
    <t>WALTER</t>
  </si>
  <si>
    <t>004855596</t>
  </si>
  <si>
    <t>MARIANA</t>
  </si>
  <si>
    <t>SILVANIA</t>
  </si>
  <si>
    <t>TATYANA</t>
  </si>
  <si>
    <t>BENTO</t>
  </si>
  <si>
    <t>CLARICE</t>
  </si>
  <si>
    <t>NINA</t>
  </si>
  <si>
    <t>WANDER</t>
  </si>
  <si>
    <t>PHYLIA</t>
  </si>
  <si>
    <t>LUIS</t>
  </si>
  <si>
    <t>GENESI</t>
  </si>
  <si>
    <t>GABRIEL</t>
  </si>
  <si>
    <t>MAIRA</t>
  </si>
  <si>
    <t>THIAGO</t>
  </si>
  <si>
    <t>JORDANNA</t>
  </si>
  <si>
    <t>SYLVERSON</t>
  </si>
  <si>
    <t>CLOVIS</t>
  </si>
  <si>
    <t>FLAVIA</t>
  </si>
  <si>
    <t>JO</t>
  </si>
  <si>
    <t>LUCYENE</t>
  </si>
  <si>
    <t>ADELE</t>
  </si>
  <si>
    <t>MAFALDA</t>
  </si>
  <si>
    <t>VERANICE</t>
  </si>
  <si>
    <t>MAGALI</t>
  </si>
  <si>
    <t>ELISA</t>
  </si>
  <si>
    <t>RITA</t>
  </si>
  <si>
    <t>GILTON</t>
  </si>
  <si>
    <t>CASSIO</t>
  </si>
  <si>
    <t>MARCONDES</t>
  </si>
  <si>
    <t>FERNANDO</t>
  </si>
  <si>
    <t>DAURA</t>
  </si>
  <si>
    <t>ALINE</t>
  </si>
  <si>
    <t>CEZAR</t>
  </si>
  <si>
    <t>LUANA</t>
  </si>
  <si>
    <t>DARLAN</t>
  </si>
  <si>
    <t>004724018</t>
  </si>
  <si>
    <t>ASPA</t>
  </si>
  <si>
    <t>000678704</t>
  </si>
  <si>
    <t>LUDMILA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</si>
  <si>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</si>
  <si>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</si>
  <si>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</si>
  <si>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</si>
  <si>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</si>
  <si>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</si>
  <si>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</si>
  <si>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</si>
  <si>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JADER</t>
  </si>
  <si>
    <t>ASIEL</t>
  </si>
  <si>
    <t>CALIDAD</t>
  </si>
  <si>
    <t>AYRTON</t>
  </si>
  <si>
    <t>IRON</t>
  </si>
  <si>
    <t>ERICA</t>
  </si>
  <si>
    <t>NAIARA</t>
  </si>
  <si>
    <t>TATIANA</t>
  </si>
  <si>
    <t>EULER</t>
  </si>
  <si>
    <t>LUCIANO</t>
  </si>
  <si>
    <t>BEATRIZ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</si>
  <si>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</si>
  <si>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</si>
  <si>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</si>
  <si>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</si>
  <si>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</si>
  <si>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</si>
  <si>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</si>
  <si>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</si>
  <si>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DENISE</t>
  </si>
  <si>
    <t>YURI</t>
  </si>
  <si>
    <t>005064906</t>
  </si>
  <si>
    <t>BERTILLA</t>
  </si>
  <si>
    <t>RAPHAELA</t>
  </si>
  <si>
    <t>ALESSANDRO</t>
  </si>
  <si>
    <t>SOLANGE</t>
  </si>
  <si>
    <t>ELENE</t>
  </si>
  <si>
    <t>DIOGO</t>
  </si>
  <si>
    <t>CONTEL</t>
  </si>
  <si>
    <t>RODOLFO</t>
  </si>
  <si>
    <t>WASHINGTON</t>
  </si>
  <si>
    <t>ROSANE</t>
  </si>
  <si>
    <t>JULIO</t>
  </si>
  <si>
    <t>REJANE</t>
  </si>
  <si>
    <t>EMMANUELLE</t>
  </si>
  <si>
    <t>DANILO</t>
  </si>
  <si>
    <t>DIMITRI</t>
  </si>
  <si>
    <t>ERIKA</t>
  </si>
  <si>
    <t>STELLA</t>
  </si>
  <si>
    <t>CIRIA</t>
  </si>
  <si>
    <t>JAIME</t>
  </si>
  <si>
    <t>BIANCA</t>
  </si>
  <si>
    <t>004204242</t>
  </si>
  <si>
    <t>GARCIA</t>
  </si>
  <si>
    <t>LUCIANA</t>
  </si>
  <si>
    <t>GEISA</t>
  </si>
  <si>
    <t>ROBERTO</t>
  </si>
  <si>
    <t>NADY</t>
  </si>
  <si>
    <t>GLEUBER</t>
  </si>
  <si>
    <t>CLAYTON</t>
  </si>
  <si>
    <t>WAGNER</t>
  </si>
  <si>
    <t>CESAR</t>
  </si>
  <si>
    <t>DANIEL</t>
  </si>
  <si>
    <t>SERGIO</t>
  </si>
  <si>
    <t>LEONARDO</t>
  </si>
  <si>
    <t>THAYSA</t>
  </si>
  <si>
    <t>ROSANA</t>
  </si>
  <si>
    <t>FABRICIO</t>
  </si>
  <si>
    <t>WILLIAM</t>
  </si>
  <si>
    <t>KRYSCIA</t>
  </si>
  <si>
    <t>MATHEUS</t>
  </si>
  <si>
    <t>MARILIA</t>
  </si>
  <si>
    <t>JUSCELINO</t>
  </si>
  <si>
    <t>CELIA</t>
  </si>
  <si>
    <t>LEONE</t>
  </si>
  <si>
    <t>SOFIA</t>
  </si>
  <si>
    <t>JULIA</t>
  </si>
  <si>
    <t>SUZY</t>
  </si>
  <si>
    <t>RAFAELA</t>
  </si>
  <si>
    <t>LEILA</t>
  </si>
  <si>
    <t>ZENILDA</t>
  </si>
  <si>
    <t>ALEXANDRE</t>
  </si>
  <si>
    <t>FABIOLA</t>
  </si>
  <si>
    <t>004224405</t>
  </si>
  <si>
    <t>MILA</t>
  </si>
  <si>
    <t>LUCA</t>
  </si>
  <si>
    <t>THAISSA</t>
  </si>
  <si>
    <t>FABIANA</t>
  </si>
  <si>
    <t>ADRIANA</t>
  </si>
  <si>
    <t>OTAVIO</t>
  </si>
  <si>
    <t>MARA</t>
  </si>
  <si>
    <t>AURELIO</t>
  </si>
  <si>
    <t>CAROLLINA</t>
  </si>
  <si>
    <t>POLYANNA</t>
  </si>
  <si>
    <t>CHRISTIAN</t>
  </si>
  <si>
    <t>005662526</t>
  </si>
  <si>
    <t>RENAN</t>
  </si>
  <si>
    <t>ELENA</t>
  </si>
  <si>
    <t>JONAS</t>
  </si>
  <si>
    <t>ZILDA</t>
  </si>
  <si>
    <t>MAURO</t>
  </si>
  <si>
    <t>EVA</t>
  </si>
  <si>
    <t>GABRIELA</t>
  </si>
  <si>
    <t>FLASH</t>
  </si>
  <si>
    <t>CARNEIRO</t>
  </si>
  <si>
    <t>ALAN</t>
  </si>
  <si>
    <t>RODRIGO</t>
  </si>
  <si>
    <t>CLOTILDE</t>
  </si>
  <si>
    <t>KARINA</t>
  </si>
  <si>
    <t>ANGELICA</t>
  </si>
  <si>
    <t>ELISANDRA</t>
  </si>
  <si>
    <t>SUELI</t>
  </si>
  <si>
    <t>BALTASAR</t>
  </si>
  <si>
    <t>VIVIANE</t>
  </si>
  <si>
    <t>DEBORA</t>
  </si>
  <si>
    <t>ALINNE</t>
  </si>
  <si>
    <t>DANIELE</t>
  </si>
  <si>
    <t>ISABELLA</t>
  </si>
  <si>
    <t>MURYLO</t>
  </si>
  <si>
    <t>KELMA</t>
  </si>
  <si>
    <t>ZULEIKA</t>
  </si>
  <si>
    <t>THOMAS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</si>
  <si>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</si>
  <si>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</si>
  <si>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</si>
  <si>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</si>
  <si>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</si>
  <si>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</si>
  <si>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</si>
  <si>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</si>
  <si>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</si>
  <si>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</si>
  <si>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</si>
  <si>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</si>
  <si>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</si>
  <si>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</si>
  <si>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</si>
  <si>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</si>
  <si>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</si>
  <si>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</si>
  <si>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</si>
  <si>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BLUEMETRIX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</si>
  <si>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</si>
  <si>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</si>
  <si>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</si>
  <si>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</si>
  <si>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</si>
  <si>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</si>
  <si>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</si>
  <si>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</si>
  <si>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</si>
  <si>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</si>
  <si>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</si>
  <si>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</si>
  <si>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</si>
  <si>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</si>
  <si>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</si>
  <si>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</si>
  <si>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</si>
  <si>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</si>
  <si>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SABRINA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</si>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</sst>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8AB1E79D-D44B-4A2E-9F3E-6435461CA99B}" filter="1" showAutoFilter="1">
      <autoFilter ref="$B$1:$N$1"/>
    </customSheetView>
    <customSheetView guid="{CF9BBF74-3EB1-4F1E-8AB9-3B8870336168}" filter="1" showAutoFilter="1">
      <autoFilter ref="$B$1:$N$1"/>
    </customSheetView>
    <customSheetView guid="{0C64D1DF-F9E6-41EC-A890-6C4BDAEAA33D}" filter="1" showAutoFilter="1">
      <autoFilter ref="$B$1:$J$1"/>
    </customSheetView>
    <customSheetView guid="{EE1FF9EE-17F4-4E10-A930-20801D66BC0D}" filter="1" showAutoFilter="1">
      <autoFilter ref="$D$1"/>
    </customSheetView>
    <customSheetView guid="{F6D75903-A93A-4F57-B54E-1739ADB203EE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52</v>
      </c>
      <c r="E3" s="5" t="s">
        <v>19</v>
      </c>
      <c r="F3" s="9" t="s">
        <v>53</v>
      </c>
      <c r="G3" s="5" t="s">
        <v>36</v>
      </c>
      <c r="H3" s="10" t="s">
        <v>54</v>
      </c>
      <c r="I3" s="11" t="s">
        <v>55</v>
      </c>
      <c r="J3" s="12">
        <v>0.012</v>
      </c>
      <c r="K3" s="13" t="s">
        <v>24</v>
      </c>
      <c r="L3" s="14">
        <v>0.0</v>
      </c>
      <c r="M3" s="23" t="s">
        <v>56</v>
      </c>
      <c r="N3" s="23" t="s">
        <v>19</v>
      </c>
      <c r="O3" s="24"/>
      <c r="P3" s="25" t="s">
        <v>57</v>
      </c>
    </row>
    <row r="4">
      <c r="A4" s="20" t="s">
        <v>58</v>
      </c>
      <c r="B4" s="21" t="s">
        <v>59</v>
      </c>
      <c r="C4" s="22" t="s">
        <v>43</v>
      </c>
      <c r="D4" s="5" t="s">
        <v>18</v>
      </c>
      <c r="E4" s="5" t="s">
        <v>29</v>
      </c>
      <c r="F4" s="9" t="s">
        <v>60</v>
      </c>
      <c r="G4" s="5" t="s">
        <v>36</v>
      </c>
      <c r="H4" s="10" t="s">
        <v>61</v>
      </c>
      <c r="I4" s="11" t="s">
        <v>55</v>
      </c>
      <c r="J4" s="12">
        <v>0.012</v>
      </c>
      <c r="K4" s="13" t="s">
        <v>24</v>
      </c>
      <c r="L4" s="14">
        <v>0.0</v>
      </c>
      <c r="M4" s="23" t="s">
        <v>62</v>
      </c>
      <c r="N4" s="23" t="s">
        <v>29</v>
      </c>
      <c r="O4" s="24" t="s">
        <v>63</v>
      </c>
      <c r="P4" s="25"/>
    </row>
    <row r="5">
      <c r="A5" s="20" t="s">
        <v>64</v>
      </c>
      <c r="B5" s="21" t="s">
        <v>59</v>
      </c>
      <c r="C5" s="22" t="s">
        <v>43</v>
      </c>
      <c r="D5" s="5" t="s">
        <v>52</v>
      </c>
      <c r="E5" s="5" t="s">
        <v>19</v>
      </c>
      <c r="F5" s="9" t="s">
        <v>53</v>
      </c>
      <c r="G5" s="5" t="s">
        <v>36</v>
      </c>
      <c r="H5" s="10" t="s">
        <v>65</v>
      </c>
      <c r="I5" s="11" t="s">
        <v>55</v>
      </c>
      <c r="J5" s="12"/>
      <c r="K5" s="13" t="s">
        <v>24</v>
      </c>
      <c r="L5" s="14">
        <v>0.0</v>
      </c>
      <c r="M5" s="23" t="s">
        <v>66</v>
      </c>
      <c r="N5" s="23" t="s">
        <v>29</v>
      </c>
      <c r="O5" s="24" t="s">
        <v>67</v>
      </c>
      <c r="P5" s="25"/>
    </row>
    <row r="6">
      <c r="A6" s="20" t="s">
        <v>68</v>
      </c>
      <c r="B6" s="21" t="s">
        <v>69</v>
      </c>
      <c r="C6" s="22" t="s">
        <v>43</v>
      </c>
      <c r="D6" s="5" t="s">
        <v>70</v>
      </c>
      <c r="E6" s="5" t="s">
        <v>29</v>
      </c>
      <c r="F6" s="9" t="s">
        <v>71</v>
      </c>
      <c r="G6" s="5" t="s">
        <v>36</v>
      </c>
      <c r="H6" s="10" t="s">
        <v>65</v>
      </c>
      <c r="I6" s="11" t="s">
        <v>55</v>
      </c>
      <c r="J6" s="12">
        <v>0.012</v>
      </c>
      <c r="K6" s="13" t="s">
        <v>24</v>
      </c>
      <c r="L6" s="14">
        <v>0.0</v>
      </c>
      <c r="M6" s="23" t="s">
        <v>72</v>
      </c>
      <c r="N6" s="23" t="s">
        <v>29</v>
      </c>
      <c r="O6" s="24" t="s">
        <v>63</v>
      </c>
      <c r="P6" s="25"/>
    </row>
    <row r="7">
      <c r="A7" s="20" t="s">
        <v>73</v>
      </c>
      <c r="B7" s="21" t="s">
        <v>74</v>
      </c>
      <c r="C7" s="22" t="s">
        <v>43</v>
      </c>
      <c r="D7" s="5" t="s">
        <v>18</v>
      </c>
      <c r="E7" s="5" t="s">
        <v>44</v>
      </c>
      <c r="F7" s="9" t="s">
        <v>45</v>
      </c>
      <c r="G7" s="5" t="s">
        <v>36</v>
      </c>
      <c r="H7" s="10" t="s">
        <v>65</v>
      </c>
      <c r="I7" s="11" t="s">
        <v>47</v>
      </c>
      <c r="J7" s="12">
        <v>0.015</v>
      </c>
      <c r="K7" s="13" t="s">
        <v>48</v>
      </c>
      <c r="L7" s="14">
        <v>0.1</v>
      </c>
      <c r="M7" s="23"/>
      <c r="N7" s="23"/>
      <c r="O7" s="24" t="s">
        <v>75</v>
      </c>
      <c r="P7" s="25"/>
    </row>
    <row r="8">
      <c r="A8" s="20" t="s">
        <v>76</v>
      </c>
      <c r="B8" s="21" t="s">
        <v>77</v>
      </c>
      <c r="C8" s="22" t="s">
        <v>43</v>
      </c>
      <c r="D8" s="5" t="s">
        <v>18</v>
      </c>
      <c r="E8" s="5" t="s">
        <v>29</v>
      </c>
      <c r="F8" s="9" t="s">
        <v>78</v>
      </c>
      <c r="G8" s="5" t="s">
        <v>36</v>
      </c>
      <c r="H8" s="10" t="s">
        <v>65</v>
      </c>
      <c r="I8" s="11" t="s">
        <v>79</v>
      </c>
      <c r="J8" s="12">
        <v>0.012</v>
      </c>
      <c r="K8" s="13" t="s">
        <v>48</v>
      </c>
      <c r="L8" s="14">
        <v>0.1</v>
      </c>
      <c r="M8" s="23" t="s">
        <v>80</v>
      </c>
      <c r="N8" s="23" t="s">
        <v>29</v>
      </c>
      <c r="O8" s="24" t="s">
        <v>67</v>
      </c>
      <c r="P8" s="25" t="s">
        <v>81</v>
      </c>
    </row>
  </sheetData>
  <customSheetViews>
    <customSheetView guid="{EE1FF9EE-17F4-4E10-A930-20801D66BC0D}" filter="1" showAutoFilter="1">
      <autoFilter ref="$C$1"/>
    </customSheetView>
    <customSheetView guid="{F6D75903-A93A-4F57-B54E-1739ADB203EE}" filter="1" showAutoFilter="1">
      <autoFilter ref="$A$1:$P$1">
        <filterColumn colId="5">
          <filters/>
        </filterColumn>
      </autoFilter>
    </customSheetView>
    <customSheetView guid="{CF9BBF74-3EB1-4F1E-8AB9-3B8870336168}" filter="1" showAutoFilter="1">
      <autoFilter ref="$A$1:$P$1"/>
    </customSheetView>
    <customSheetView guid="{0C64D1DF-F9E6-41EC-A890-6C4BDAEAA33D}" filter="1" showAutoFilter="1">
      <autoFilter ref="$A$1:$I$1"/>
    </customSheetView>
    <customSheetView guid="{8AB1E79D-D44B-4A2E-9F3E-6435461CA99B}" filter="1" showAutoFilter="1">
      <autoFilter ref="$A$1:$P$1"/>
    </customSheetView>
  </customSheetViews>
  <conditionalFormatting sqref="O2:O8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8">
      <formula1>"Bluemetrix,Bluemetrix (MI),VcInvest,Voga,Altum,Poupinvista"</formula1>
    </dataValidation>
    <dataValidation type="list" allowBlank="1" showErrorMessage="1" sqref="O2:O8">
      <formula1>"Conservador,Moderado,Arrojado"</formula1>
    </dataValidation>
    <dataValidation type="list" allowBlank="1" showErrorMessage="1" sqref="G2:G8">
      <formula1>"PIPE,EMAIL"</formula1>
    </dataValidation>
    <dataValidation type="list" allowBlank="1" showErrorMessage="1" sqref="H2:H8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8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82</v>
      </c>
      <c r="G1" s="27" t="s">
        <v>83</v>
      </c>
      <c r="H1" s="28" t="s">
        <v>84</v>
      </c>
      <c r="J1" s="26" t="s">
        <v>82</v>
      </c>
      <c r="Q1" s="27" t="s">
        <v>83</v>
      </c>
      <c r="R1" s="29" t="s">
        <v>82</v>
      </c>
      <c r="S1" s="30" t="s">
        <v>85</v>
      </c>
      <c r="Z1" s="31" t="s">
        <v>86</v>
      </c>
      <c r="AK1" s="31"/>
      <c r="AL1" s="32" t="s">
        <v>86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87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88</v>
      </c>
      <c r="H2" s="2" t="s">
        <v>89</v>
      </c>
      <c r="I2" s="2" t="s">
        <v>90</v>
      </c>
      <c r="J2" s="2" t="s">
        <v>91</v>
      </c>
      <c r="K2" s="34" t="s">
        <v>92</v>
      </c>
      <c r="L2" s="34" t="s">
        <v>93</v>
      </c>
      <c r="M2" s="34" t="s">
        <v>9</v>
      </c>
      <c r="N2" s="36" t="s">
        <v>94</v>
      </c>
      <c r="O2" s="3" t="s">
        <v>95</v>
      </c>
      <c r="P2" s="37" t="s">
        <v>12</v>
      </c>
      <c r="Q2" s="4" t="s">
        <v>96</v>
      </c>
      <c r="R2" s="4" t="s">
        <v>97</v>
      </c>
      <c r="S2" s="2" t="s">
        <v>98</v>
      </c>
      <c r="T2" s="33" t="s">
        <v>38</v>
      </c>
      <c r="U2" s="34" t="s">
        <v>39</v>
      </c>
      <c r="V2" s="18" t="s">
        <v>99</v>
      </c>
      <c r="W2" s="3" t="s">
        <v>40</v>
      </c>
      <c r="X2" s="3" t="s">
        <v>100</v>
      </c>
      <c r="Y2" s="1" t="s">
        <v>101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102</v>
      </c>
    </row>
    <row r="3" ht="15.75" customHeight="1">
      <c r="A3" s="41" t="s">
        <v>43</v>
      </c>
      <c r="B3" s="42" t="s">
        <v>103</v>
      </c>
      <c r="C3" s="43" t="s">
        <v>104</v>
      </c>
      <c r="D3" s="44" t="s">
        <v>105</v>
      </c>
      <c r="E3" s="45" t="s">
        <v>29</v>
      </c>
      <c r="F3" s="44" t="s">
        <v>106</v>
      </c>
      <c r="G3" s="44" t="str">
        <f t="shared" ref="G3:G760" si="1">IFS($AU$3:$AU$760&lt;=400000,"Augusto",$AU$3:$AU$760&lt;=1000000,"Breno",$AU$3:$AU$760&lt;=20000000,"Bruno")</f>
        <v>Breno</v>
      </c>
      <c r="H3" s="46" t="s">
        <v>107</v>
      </c>
      <c r="I3" s="46" t="s">
        <v>24</v>
      </c>
      <c r="J3" s="44" t="str">
        <f t="shared" ref="J3:J34" si="2">IF(Q3=0,"Não","Sim")</f>
        <v>Não</v>
      </c>
      <c r="K3" s="47">
        <v>45105.0</v>
      </c>
      <c r="L3" s="45"/>
      <c r="M3" s="45" t="s">
        <v>79</v>
      </c>
      <c r="N3" s="48">
        <v>0.012</v>
      </c>
      <c r="O3" s="44" t="s">
        <v>48</v>
      </c>
      <c r="P3" s="49">
        <v>0.1</v>
      </c>
      <c r="Q3" s="50"/>
      <c r="R3" s="50"/>
      <c r="S3" s="45" t="s">
        <v>108</v>
      </c>
      <c r="T3" s="24" t="s">
        <v>109</v>
      </c>
      <c r="U3" s="9" t="s">
        <v>29</v>
      </c>
      <c r="V3" s="51" t="str">
        <f t="shared" ref="V3:V535" si="3">IFS(H:H="Encerrado","Encerrado",COUNTBLANK(AD3:AO3)&gt;0,"Ativo",SUM(AD3:AO3)=0,"Inativo",SUM(AD3:AO3)&gt;0,"Ativo")</f>
        <v>Ativo</v>
      </c>
      <c r="W3" s="45"/>
      <c r="X3" s="52" t="s">
        <v>110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401775.4</v>
      </c>
    </row>
    <row r="4" ht="15.75" customHeight="1">
      <c r="A4" s="41" t="s">
        <v>43</v>
      </c>
      <c r="B4" s="55" t="s">
        <v>111</v>
      </c>
      <c r="C4" s="56" t="s">
        <v>112</v>
      </c>
      <c r="D4" s="9" t="s">
        <v>70</v>
      </c>
      <c r="E4" s="24" t="s">
        <v>29</v>
      </c>
      <c r="F4" s="9" t="s">
        <v>113</v>
      </c>
      <c r="G4" s="44" t="str">
        <f t="shared" si="1"/>
        <v>Augusto</v>
      </c>
      <c r="H4" s="51" t="s">
        <v>107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79</v>
      </c>
      <c r="N4" s="58">
        <v>0.012</v>
      </c>
      <c r="O4" s="9" t="s">
        <v>48</v>
      </c>
      <c r="P4" s="59">
        <v>0.1</v>
      </c>
      <c r="Q4" s="60" t="s">
        <v>114</v>
      </c>
      <c r="R4" s="50"/>
      <c r="S4" s="24" t="s">
        <v>108</v>
      </c>
      <c r="T4" s="24" t="s">
        <v>115</v>
      </c>
      <c r="U4" s="9" t="s">
        <v>29</v>
      </c>
      <c r="V4" s="51" t="str">
        <f t="shared" si="3"/>
        <v>Ativo</v>
      </c>
      <c r="W4" s="24" t="s">
        <v>75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122786</v>
      </c>
    </row>
    <row r="5" ht="15.75" customHeight="1">
      <c r="A5" s="41" t="s">
        <v>43</v>
      </c>
      <c r="B5" s="42" t="s">
        <v>116</v>
      </c>
      <c r="C5" s="43" t="s">
        <v>117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107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55</v>
      </c>
      <c r="N5" s="48">
        <v>0.012</v>
      </c>
      <c r="O5" s="44" t="s">
        <v>24</v>
      </c>
      <c r="P5" s="49">
        <v>0.0</v>
      </c>
      <c r="Q5" s="50"/>
      <c r="R5" s="50"/>
      <c r="S5" s="45" t="s">
        <v>108</v>
      </c>
      <c r="T5" s="24" t="s">
        <v>118</v>
      </c>
      <c r="U5" s="9" t="s">
        <v>19</v>
      </c>
      <c r="V5" s="51" t="str">
        <f t="shared" si="3"/>
        <v>Ativo</v>
      </c>
      <c r="W5" s="45"/>
      <c r="X5" s="52" t="s">
        <v>119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120</v>
      </c>
      <c r="C6" s="56" t="s">
        <v>121</v>
      </c>
      <c r="D6" s="9" t="s">
        <v>18</v>
      </c>
      <c r="E6" s="24" t="s">
        <v>19</v>
      </c>
      <c r="F6" s="9" t="s">
        <v>122</v>
      </c>
      <c r="G6" s="44" t="str">
        <f t="shared" si="1"/>
        <v>#N/A</v>
      </c>
      <c r="H6" s="51" t="s">
        <v>123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55</v>
      </c>
      <c r="N6" s="58">
        <v>0.012</v>
      </c>
      <c r="O6" s="9" t="s">
        <v>24</v>
      </c>
      <c r="P6" s="59">
        <v>0.0</v>
      </c>
      <c r="Q6" s="60" t="s">
        <v>124</v>
      </c>
      <c r="R6" s="50"/>
      <c r="S6" s="24" t="s">
        <v>108</v>
      </c>
      <c r="T6" s="24" t="s">
        <v>125</v>
      </c>
      <c r="U6" s="9" t="s">
        <v>19</v>
      </c>
      <c r="V6" s="51" t="str">
        <f t="shared" si="3"/>
        <v>Ativo</v>
      </c>
      <c r="W6" s="24" t="s">
        <v>67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126</v>
      </c>
      <c r="C7" s="56" t="s">
        <v>127</v>
      </c>
      <c r="D7" s="9" t="s">
        <v>18</v>
      </c>
      <c r="E7" s="24" t="s">
        <v>29</v>
      </c>
      <c r="F7" s="9" t="s">
        <v>128</v>
      </c>
      <c r="G7" s="44" t="str">
        <f t="shared" si="1"/>
        <v>Augusto</v>
      </c>
      <c r="H7" s="51" t="s">
        <v>107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129</v>
      </c>
      <c r="N7" s="58">
        <v>0.0</v>
      </c>
      <c r="O7" s="9" t="s">
        <v>24</v>
      </c>
      <c r="P7" s="59">
        <v>0.0</v>
      </c>
      <c r="Q7" s="50"/>
      <c r="R7" s="50"/>
      <c r="S7" s="24" t="s">
        <v>108</v>
      </c>
      <c r="T7" s="24" t="s">
        <v>130</v>
      </c>
      <c r="U7" s="9" t="s">
        <v>29</v>
      </c>
      <c r="V7" s="51" t="str">
        <f t="shared" si="3"/>
        <v>Ativo</v>
      </c>
      <c r="W7" s="45"/>
      <c r="X7" s="52" t="s">
        <v>119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3681.62</v>
      </c>
    </row>
    <row r="8" ht="15.75" customHeight="1">
      <c r="A8" s="41" t="s">
        <v>43</v>
      </c>
      <c r="B8" s="55" t="s">
        <v>131</v>
      </c>
      <c r="C8" s="43" t="s">
        <v>132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107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55</v>
      </c>
      <c r="N8" s="48">
        <v>0.012</v>
      </c>
      <c r="O8" s="44" t="s">
        <v>24</v>
      </c>
      <c r="P8" s="49">
        <v>0.0</v>
      </c>
      <c r="Q8" s="50"/>
      <c r="R8" s="50"/>
      <c r="S8" s="45" t="s">
        <v>108</v>
      </c>
      <c r="T8" s="24" t="s">
        <v>133</v>
      </c>
      <c r="U8" s="9" t="s">
        <v>19</v>
      </c>
      <c r="V8" s="51" t="str">
        <f t="shared" si="3"/>
        <v>Ativo</v>
      </c>
      <c r="W8" s="24"/>
      <c r="X8" s="52" t="s">
        <v>119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910751.1</v>
      </c>
    </row>
    <row r="9" ht="15.75" customHeight="1">
      <c r="A9" s="41" t="s">
        <v>43</v>
      </c>
      <c r="B9" s="55" t="s">
        <v>134</v>
      </c>
      <c r="C9" s="56" t="s">
        <v>135</v>
      </c>
      <c r="D9" s="9" t="s">
        <v>52</v>
      </c>
      <c r="E9" s="24" t="s">
        <v>19</v>
      </c>
      <c r="F9" s="9" t="s">
        <v>53</v>
      </c>
      <c r="G9" s="44" t="str">
        <f t="shared" si="1"/>
        <v>Breno</v>
      </c>
      <c r="H9" s="51" t="s">
        <v>107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55</v>
      </c>
      <c r="N9" s="58">
        <v>0.012</v>
      </c>
      <c r="O9" s="9" t="s">
        <v>24</v>
      </c>
      <c r="P9" s="59">
        <v>0.0</v>
      </c>
      <c r="Q9" s="50"/>
      <c r="R9" s="50"/>
      <c r="S9" s="24" t="s">
        <v>108</v>
      </c>
      <c r="T9" s="24" t="s">
        <v>136</v>
      </c>
      <c r="U9" s="9" t="s">
        <v>19</v>
      </c>
      <c r="V9" s="51" t="str">
        <f t="shared" si="3"/>
        <v>Ativo</v>
      </c>
      <c r="W9" s="24" t="s">
        <v>67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782129</v>
      </c>
    </row>
    <row r="10" ht="15.75" customHeight="1">
      <c r="A10" s="41" t="s">
        <v>43</v>
      </c>
      <c r="B10" s="6" t="s">
        <v>137</v>
      </c>
      <c r="C10" s="7" t="s">
        <v>138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107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139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108</v>
      </c>
      <c r="T10" s="5" t="s">
        <v>140</v>
      </c>
      <c r="U10" s="9" t="s">
        <v>19</v>
      </c>
      <c r="V10" s="51" t="str">
        <f t="shared" si="3"/>
        <v>Ativo</v>
      </c>
      <c r="W10" s="24"/>
      <c r="X10" s="52" t="s">
        <v>119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99981.06</v>
      </c>
    </row>
    <row r="11" ht="15.75" customHeight="1">
      <c r="A11" s="41" t="s">
        <v>43</v>
      </c>
      <c r="B11" s="42" t="s">
        <v>141</v>
      </c>
      <c r="C11" s="43" t="s">
        <v>142</v>
      </c>
      <c r="D11" s="44" t="s">
        <v>18</v>
      </c>
      <c r="E11" s="45" t="s">
        <v>29</v>
      </c>
      <c r="F11" s="44" t="s">
        <v>60</v>
      </c>
      <c r="G11" s="44" t="str">
        <f t="shared" si="1"/>
        <v>Breno</v>
      </c>
      <c r="H11" s="46" t="s">
        <v>107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108</v>
      </c>
      <c r="T11" s="24" t="s">
        <v>143</v>
      </c>
      <c r="U11" s="9" t="s">
        <v>29</v>
      </c>
      <c r="V11" s="51" t="str">
        <f t="shared" si="3"/>
        <v>Ativo</v>
      </c>
      <c r="W11" s="45"/>
      <c r="X11" s="52" t="s">
        <v>119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586584</v>
      </c>
    </row>
    <row r="12" ht="15.75" customHeight="1">
      <c r="A12" s="6" t="s">
        <v>43</v>
      </c>
      <c r="B12" s="42" t="s">
        <v>144</v>
      </c>
      <c r="C12" s="43" t="s">
        <v>145</v>
      </c>
      <c r="D12" s="9" t="s">
        <v>105</v>
      </c>
      <c r="E12" s="24" t="s">
        <v>29</v>
      </c>
      <c r="F12" s="45" t="s">
        <v>146</v>
      </c>
      <c r="G12" s="44" t="str">
        <f t="shared" si="1"/>
        <v>Augusto</v>
      </c>
      <c r="H12" s="51" t="s">
        <v>147</v>
      </c>
      <c r="I12" s="51" t="s">
        <v>148</v>
      </c>
      <c r="J12" s="44" t="str">
        <f t="shared" si="2"/>
        <v>Sim</v>
      </c>
      <c r="K12" s="57">
        <v>45279.0</v>
      </c>
      <c r="L12" s="45"/>
      <c r="M12" s="24" t="s">
        <v>149</v>
      </c>
      <c r="N12" s="58">
        <v>0.003</v>
      </c>
      <c r="O12" s="9" t="s">
        <v>24</v>
      </c>
      <c r="P12" s="59">
        <v>0.0</v>
      </c>
      <c r="Q12" s="15" t="s">
        <v>150</v>
      </c>
      <c r="R12" s="15"/>
      <c r="S12" s="24" t="s">
        <v>108</v>
      </c>
      <c r="T12" s="24" t="s">
        <v>151</v>
      </c>
      <c r="U12" s="9" t="s">
        <v>152</v>
      </c>
      <c r="V12" s="51" t="str">
        <f t="shared" si="3"/>
        <v>Ativo</v>
      </c>
      <c r="W12" s="45"/>
      <c r="X12" s="52" t="s">
        <v>119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557.5</v>
      </c>
    </row>
    <row r="13" ht="15.75" customHeight="1">
      <c r="A13" s="41" t="s">
        <v>43</v>
      </c>
      <c r="B13" s="42" t="s">
        <v>153</v>
      </c>
      <c r="C13" s="43" t="s">
        <v>154</v>
      </c>
      <c r="D13" s="44" t="s">
        <v>18</v>
      </c>
      <c r="E13" s="45" t="s">
        <v>29</v>
      </c>
      <c r="F13" s="44" t="s">
        <v>78</v>
      </c>
      <c r="G13" s="44" t="str">
        <f t="shared" si="1"/>
        <v>Augusto</v>
      </c>
      <c r="H13" s="46" t="s">
        <v>107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55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108</v>
      </c>
      <c r="T13" s="24" t="s">
        <v>155</v>
      </c>
      <c r="U13" s="9" t="s">
        <v>29</v>
      </c>
      <c r="V13" s="51" t="str">
        <f t="shared" si="3"/>
        <v>Ativo</v>
      </c>
      <c r="W13" s="45"/>
      <c r="X13" s="52" t="s">
        <v>119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10037.61</v>
      </c>
    </row>
    <row r="14" ht="15.75" customHeight="1">
      <c r="A14" s="41" t="s">
        <v>43</v>
      </c>
      <c r="B14" s="42" t="s">
        <v>156</v>
      </c>
      <c r="C14" s="43" t="s">
        <v>157</v>
      </c>
      <c r="D14" s="44" t="s">
        <v>18</v>
      </c>
      <c r="E14" s="45" t="s">
        <v>29</v>
      </c>
      <c r="F14" s="44" t="s">
        <v>78</v>
      </c>
      <c r="G14" s="44" t="str">
        <f t="shared" si="1"/>
        <v>Augusto</v>
      </c>
      <c r="H14" s="46" t="s">
        <v>107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55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108</v>
      </c>
      <c r="T14" s="24" t="s">
        <v>158</v>
      </c>
      <c r="U14" s="9" t="s">
        <v>29</v>
      </c>
      <c r="V14" s="51" t="str">
        <f t="shared" si="3"/>
        <v>Ativo</v>
      </c>
      <c r="W14" s="45"/>
      <c r="X14" s="52" t="s">
        <v>119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208330.2</v>
      </c>
    </row>
    <row r="15" ht="15.75" customHeight="1">
      <c r="A15" s="6" t="s">
        <v>43</v>
      </c>
      <c r="B15" s="6" t="s">
        <v>159</v>
      </c>
      <c r="C15" s="56" t="s">
        <v>160</v>
      </c>
      <c r="D15" s="9" t="s">
        <v>18</v>
      </c>
      <c r="E15" s="24" t="s">
        <v>29</v>
      </c>
      <c r="F15" s="44" t="s">
        <v>78</v>
      </c>
      <c r="G15" s="44" t="str">
        <f t="shared" si="1"/>
        <v>#N/A</v>
      </c>
      <c r="H15" s="51" t="s">
        <v>147</v>
      </c>
      <c r="I15" s="51" t="s">
        <v>161</v>
      </c>
      <c r="J15" s="44" t="str">
        <f t="shared" si="2"/>
        <v>Não</v>
      </c>
      <c r="K15" s="57">
        <v>45356.0</v>
      </c>
      <c r="L15" s="45"/>
      <c r="M15" s="24" t="s">
        <v>79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108</v>
      </c>
      <c r="T15" s="24" t="s">
        <v>158</v>
      </c>
      <c r="U15" s="9" t="s">
        <v>29</v>
      </c>
      <c r="V15" s="51" t="str">
        <f t="shared" si="3"/>
        <v>Ativo</v>
      </c>
      <c r="W15" s="45"/>
      <c r="X15" s="52" t="s">
        <v>119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162</v>
      </c>
      <c r="C16" s="43" t="s">
        <v>163</v>
      </c>
      <c r="D16" s="44" t="s">
        <v>105</v>
      </c>
      <c r="E16" s="45" t="s">
        <v>29</v>
      </c>
      <c r="F16" s="44" t="s">
        <v>106</v>
      </c>
      <c r="G16" s="44" t="str">
        <f t="shared" si="1"/>
        <v>Augusto</v>
      </c>
      <c r="H16" s="46" t="s">
        <v>107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164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108</v>
      </c>
      <c r="T16" s="24" t="s">
        <v>165</v>
      </c>
      <c r="U16" s="9" t="s">
        <v>29</v>
      </c>
      <c r="V16" s="51" t="str">
        <f t="shared" si="3"/>
        <v>Ativo</v>
      </c>
      <c r="W16" s="45"/>
      <c r="X16" s="52" t="s">
        <v>110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297995.6</v>
      </c>
    </row>
    <row r="17" ht="15.75" customHeight="1">
      <c r="A17" s="41" t="s">
        <v>43</v>
      </c>
      <c r="B17" s="61" t="s">
        <v>166</v>
      </c>
      <c r="C17" s="43" t="s">
        <v>167</v>
      </c>
      <c r="D17" s="44" t="s">
        <v>18</v>
      </c>
      <c r="E17" s="45" t="s">
        <v>29</v>
      </c>
      <c r="F17" s="44" t="s">
        <v>168</v>
      </c>
      <c r="G17" s="44" t="str">
        <f t="shared" si="1"/>
        <v>Breno</v>
      </c>
      <c r="H17" s="46" t="s">
        <v>107</v>
      </c>
      <c r="I17" s="46" t="s">
        <v>24</v>
      </c>
      <c r="J17" s="44" t="str">
        <f t="shared" si="2"/>
        <v>Sim</v>
      </c>
      <c r="K17" s="47">
        <v>45160.0</v>
      </c>
      <c r="L17" s="45"/>
      <c r="M17" s="45" t="s">
        <v>55</v>
      </c>
      <c r="N17" s="48">
        <v>0.012</v>
      </c>
      <c r="O17" s="44" t="s">
        <v>24</v>
      </c>
      <c r="P17" s="49">
        <v>0.0</v>
      </c>
      <c r="Q17" s="60" t="s">
        <v>169</v>
      </c>
      <c r="R17" s="50"/>
      <c r="S17" s="45" t="s">
        <v>108</v>
      </c>
      <c r="T17" s="24" t="s">
        <v>170</v>
      </c>
      <c r="U17" s="9" t="s">
        <v>29</v>
      </c>
      <c r="V17" s="51" t="str">
        <f t="shared" si="3"/>
        <v>Ativo</v>
      </c>
      <c r="W17" s="45"/>
      <c r="X17" s="52" t="s">
        <v>119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v>648288.5</v>
      </c>
      <c r="AU17" s="53">
        <f t="array" ref="AU17">XLOOKUP(C17,'PL TOTAL D0'!A:A,'PL TOTAL D0'!C:C,"")</f>
        <v>650314.2</v>
      </c>
    </row>
    <row r="18" ht="15.75" customHeight="1">
      <c r="A18" s="41" t="s">
        <v>43</v>
      </c>
      <c r="B18" s="42" t="s">
        <v>171</v>
      </c>
      <c r="C18" s="43" t="s">
        <v>172</v>
      </c>
      <c r="D18" s="9" t="s">
        <v>18</v>
      </c>
      <c r="E18" s="45" t="s">
        <v>29</v>
      </c>
      <c r="F18" s="9" t="s">
        <v>60</v>
      </c>
      <c r="G18" s="44" t="str">
        <f t="shared" si="1"/>
        <v>Augusto</v>
      </c>
      <c r="H18" s="46" t="s">
        <v>107</v>
      </c>
      <c r="I18" s="46" t="s">
        <v>24</v>
      </c>
      <c r="J18" s="44" t="str">
        <f t="shared" si="2"/>
        <v>Não</v>
      </c>
      <c r="K18" s="47">
        <v>44958.0</v>
      </c>
      <c r="L18" s="45"/>
      <c r="M18" s="45" t="s">
        <v>55</v>
      </c>
      <c r="N18" s="48">
        <v>0.012</v>
      </c>
      <c r="O18" s="44" t="s">
        <v>24</v>
      </c>
      <c r="P18" s="49">
        <v>0.0</v>
      </c>
      <c r="Q18" s="50"/>
      <c r="R18" s="60"/>
      <c r="S18" s="45" t="s">
        <v>108</v>
      </c>
      <c r="T18" s="24" t="s">
        <v>173</v>
      </c>
      <c r="U18" s="9" t="s">
        <v>29</v>
      </c>
      <c r="V18" s="51" t="str">
        <f t="shared" si="3"/>
        <v>Ativo</v>
      </c>
      <c r="W18" s="45"/>
      <c r="X18" s="52" t="s">
        <v>119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v>242844.8</v>
      </c>
      <c r="AU18" s="53">
        <f t="array" ref="AU18">XLOOKUP(C18,'PL TOTAL D0'!A:A,'PL TOTAL D0'!C:C,"")</f>
        <v>243588.4</v>
      </c>
    </row>
    <row r="19" ht="15.75" customHeight="1">
      <c r="A19" s="41" t="s">
        <v>43</v>
      </c>
      <c r="B19" s="42" t="s">
        <v>174</v>
      </c>
      <c r="C19" s="43" t="s">
        <v>175</v>
      </c>
      <c r="D19" s="44" t="s">
        <v>18</v>
      </c>
      <c r="E19" s="45" t="s">
        <v>176</v>
      </c>
      <c r="F19" s="44" t="s">
        <v>177</v>
      </c>
      <c r="G19" s="44" t="str">
        <f t="shared" si="1"/>
        <v>Augusto</v>
      </c>
      <c r="H19" s="46" t="s">
        <v>107</v>
      </c>
      <c r="I19" s="46" t="s">
        <v>24</v>
      </c>
      <c r="J19" s="44" t="str">
        <f t="shared" si="2"/>
        <v>Não</v>
      </c>
      <c r="K19" s="47">
        <v>45166.0</v>
      </c>
      <c r="L19" s="62"/>
      <c r="M19" s="45" t="s">
        <v>47</v>
      </c>
      <c r="N19" s="48">
        <v>0.015</v>
      </c>
      <c r="O19" s="44" t="s">
        <v>48</v>
      </c>
      <c r="P19" s="49">
        <v>0.1</v>
      </c>
      <c r="Q19" s="63"/>
      <c r="R19" s="60" t="s">
        <v>178</v>
      </c>
      <c r="S19" s="45" t="s">
        <v>108</v>
      </c>
      <c r="T19" s="24" t="s">
        <v>179</v>
      </c>
      <c r="U19" s="9" t="s">
        <v>180</v>
      </c>
      <c r="V19" s="51" t="str">
        <f t="shared" si="3"/>
        <v>Ativo</v>
      </c>
      <c r="W19" s="45"/>
      <c r="X19" s="52" t="s">
        <v>110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v>23007.81</v>
      </c>
      <c r="AU19" s="53">
        <f t="array" ref="AU19">XLOOKUP(C19,'PL TOTAL D0'!A:A,'PL TOTAL D0'!C:C,"")</f>
        <v>23069.76</v>
      </c>
    </row>
    <row r="20" ht="15.75" customHeight="1">
      <c r="A20" s="41" t="s">
        <v>43</v>
      </c>
      <c r="B20" s="64" t="s">
        <v>181</v>
      </c>
      <c r="C20" s="65" t="s">
        <v>182</v>
      </c>
      <c r="D20" s="9" t="s">
        <v>70</v>
      </c>
      <c r="E20" s="24" t="s">
        <v>176</v>
      </c>
      <c r="F20" s="9" t="s">
        <v>71</v>
      </c>
      <c r="G20" s="44" t="str">
        <f t="shared" si="1"/>
        <v>Augusto</v>
      </c>
      <c r="H20" s="51" t="s">
        <v>107</v>
      </c>
      <c r="I20" s="51" t="s">
        <v>24</v>
      </c>
      <c r="J20" s="44" t="str">
        <f t="shared" si="2"/>
        <v>Não</v>
      </c>
      <c r="K20" s="57">
        <v>45426.0</v>
      </c>
      <c r="L20" s="62"/>
      <c r="M20" s="24" t="s">
        <v>55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108</v>
      </c>
      <c r="T20" s="23" t="s">
        <v>183</v>
      </c>
      <c r="U20" s="9" t="s">
        <v>29</v>
      </c>
      <c r="V20" s="51" t="str">
        <f t="shared" si="3"/>
        <v>Ativo</v>
      </c>
      <c r="W20" s="24" t="s">
        <v>63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v>101325.3</v>
      </c>
      <c r="AU20" s="53">
        <f t="array" ref="AU20">XLOOKUP(C20,'PL TOTAL D0'!A:A,'PL TOTAL D0'!C:C,"")</f>
        <v>101672.1</v>
      </c>
    </row>
    <row r="21" ht="15.75" customHeight="1">
      <c r="A21" s="41" t="s">
        <v>43</v>
      </c>
      <c r="B21" s="66" t="s">
        <v>184</v>
      </c>
      <c r="C21" s="67" t="s">
        <v>185</v>
      </c>
      <c r="D21" s="44" t="s">
        <v>18</v>
      </c>
      <c r="E21" s="45" t="s">
        <v>29</v>
      </c>
      <c r="F21" s="9" t="s">
        <v>78</v>
      </c>
      <c r="G21" s="44" t="str">
        <f t="shared" si="1"/>
        <v>Augusto</v>
      </c>
      <c r="H21" s="51" t="s">
        <v>186</v>
      </c>
      <c r="I21" s="46" t="s">
        <v>24</v>
      </c>
      <c r="J21" s="44" t="str">
        <f t="shared" si="2"/>
        <v>Não</v>
      </c>
      <c r="K21" s="47">
        <v>45201.0</v>
      </c>
      <c r="L21" s="68">
        <v>45414.0</v>
      </c>
      <c r="M21" s="45" t="s">
        <v>55</v>
      </c>
      <c r="N21" s="48">
        <v>0.01</v>
      </c>
      <c r="O21" s="44" t="s">
        <v>24</v>
      </c>
      <c r="P21" s="49">
        <v>0.0</v>
      </c>
      <c r="Q21" s="50"/>
      <c r="R21" s="6" t="s">
        <v>187</v>
      </c>
      <c r="S21" s="45" t="s">
        <v>108</v>
      </c>
      <c r="T21" s="24" t="s">
        <v>188</v>
      </c>
      <c r="U21" s="9" t="s">
        <v>29</v>
      </c>
      <c r="V21" s="51" t="str">
        <f t="shared" si="3"/>
        <v>Encerrado</v>
      </c>
      <c r="W21" s="45"/>
      <c r="X21" s="52" t="s">
        <v>119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>
        <v>1.7</v>
      </c>
      <c r="AU21" s="53">
        <f t="array" ref="AU21">XLOOKUP(C21,'PL TOTAL D0'!A:A,'PL TOTAL D0'!C:C,"")</f>
        <v>1.7</v>
      </c>
    </row>
    <row r="22" ht="15.75" customHeight="1">
      <c r="A22" s="41" t="s">
        <v>43</v>
      </c>
      <c r="B22" s="66" t="s">
        <v>184</v>
      </c>
      <c r="C22" s="67" t="s">
        <v>189</v>
      </c>
      <c r="D22" s="44" t="s">
        <v>18</v>
      </c>
      <c r="E22" s="45" t="s">
        <v>29</v>
      </c>
      <c r="F22" s="9" t="s">
        <v>78</v>
      </c>
      <c r="G22" s="44" t="str">
        <f t="shared" si="1"/>
        <v>#N/A</v>
      </c>
      <c r="H22" s="51" t="s">
        <v>186</v>
      </c>
      <c r="I22" s="51" t="s">
        <v>24</v>
      </c>
      <c r="J22" s="44" t="str">
        <f t="shared" si="2"/>
        <v>Não</v>
      </c>
      <c r="K22" s="47">
        <v>45196.0</v>
      </c>
      <c r="L22" s="68">
        <v>45414.0</v>
      </c>
      <c r="M22" s="45" t="s">
        <v>190</v>
      </c>
      <c r="N22" s="48">
        <v>0.02</v>
      </c>
      <c r="O22" s="44" t="s">
        <v>191</v>
      </c>
      <c r="P22" s="49">
        <v>0.2</v>
      </c>
      <c r="Q22" s="50"/>
      <c r="R22" s="6" t="s">
        <v>192</v>
      </c>
      <c r="S22" s="45" t="s">
        <v>108</v>
      </c>
      <c r="T22" s="24" t="s">
        <v>188</v>
      </c>
      <c r="U22" s="9" t="s">
        <v>29</v>
      </c>
      <c r="V22" s="51" t="str">
        <f t="shared" si="3"/>
        <v>Encerrado</v>
      </c>
      <c r="W22" s="45"/>
      <c r="X22" s="52" t="s">
        <v>119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>
        <v>0.0</v>
      </c>
      <c r="AU22" s="53" t="str">
        <f t="array" ref="AU22">XLOOKUP(C22,'PL TOTAL D0'!A:A,'PL TOTAL D0'!C:C,"")</f>
        <v/>
      </c>
    </row>
    <row r="23" ht="15.75" customHeight="1">
      <c r="A23" s="41" t="s">
        <v>43</v>
      </c>
      <c r="B23" s="66" t="s">
        <v>184</v>
      </c>
      <c r="C23" s="69" t="s">
        <v>193</v>
      </c>
      <c r="D23" s="44" t="s">
        <v>18</v>
      </c>
      <c r="E23" s="45" t="s">
        <v>29</v>
      </c>
      <c r="F23" s="9" t="s">
        <v>78</v>
      </c>
      <c r="G23" s="44" t="str">
        <f t="shared" si="1"/>
        <v>#N/A</v>
      </c>
      <c r="H23" s="51" t="s">
        <v>186</v>
      </c>
      <c r="I23" s="51" t="s">
        <v>24</v>
      </c>
      <c r="J23" s="44" t="str">
        <f t="shared" si="2"/>
        <v>Não</v>
      </c>
      <c r="K23" s="47">
        <v>45202.0</v>
      </c>
      <c r="L23" s="68">
        <v>45414.0</v>
      </c>
      <c r="M23" s="45" t="s">
        <v>194</v>
      </c>
      <c r="N23" s="48">
        <v>0.008</v>
      </c>
      <c r="O23" s="44" t="s">
        <v>195</v>
      </c>
      <c r="P23" s="49">
        <v>0.1</v>
      </c>
      <c r="Q23" s="50"/>
      <c r="R23" s="70" t="s">
        <v>196</v>
      </c>
      <c r="S23" s="45" t="s">
        <v>108</v>
      </c>
      <c r="T23" s="24" t="s">
        <v>188</v>
      </c>
      <c r="U23" s="9" t="s">
        <v>29</v>
      </c>
      <c r="V23" s="51" t="str">
        <f t="shared" si="3"/>
        <v>Encerrado</v>
      </c>
      <c r="W23" s="45"/>
      <c r="X23" s="52" t="s">
        <v>119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42" t="s">
        <v>73</v>
      </c>
      <c r="C24" s="71" t="s">
        <v>74</v>
      </c>
      <c r="D24" s="44" t="s">
        <v>18</v>
      </c>
      <c r="E24" s="45" t="s">
        <v>176</v>
      </c>
      <c r="F24" s="44" t="s">
        <v>197</v>
      </c>
      <c r="G24" s="44" t="str">
        <f t="shared" si="1"/>
        <v>Augusto</v>
      </c>
      <c r="H24" s="51" t="s">
        <v>147</v>
      </c>
      <c r="I24" s="51" t="s">
        <v>198</v>
      </c>
      <c r="J24" s="44" t="str">
        <f t="shared" si="2"/>
        <v>Não</v>
      </c>
      <c r="K24" s="47">
        <v>45198.0</v>
      </c>
      <c r="L24" s="72"/>
      <c r="M24" s="45" t="s">
        <v>79</v>
      </c>
      <c r="N24" s="48">
        <v>0.012</v>
      </c>
      <c r="O24" s="44" t="s">
        <v>48</v>
      </c>
      <c r="P24" s="49">
        <v>0.1</v>
      </c>
      <c r="Q24" s="63"/>
      <c r="R24" s="73" t="s">
        <v>199</v>
      </c>
      <c r="S24" s="45" t="s">
        <v>108</v>
      </c>
      <c r="T24" s="24" t="s">
        <v>200</v>
      </c>
      <c r="U24" s="9" t="s">
        <v>180</v>
      </c>
      <c r="V24" s="51" t="str">
        <f t="shared" si="3"/>
        <v>Ativo</v>
      </c>
      <c r="W24" s="45"/>
      <c r="X24" s="52" t="s">
        <v>110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v>130473.4</v>
      </c>
      <c r="AU24" s="53">
        <f t="array" ref="AU24">XLOOKUP(C24,'PL TOTAL D0'!A:A,'PL TOTAL D0'!C:C,"")</f>
        <v>131676</v>
      </c>
    </row>
    <row r="25">
      <c r="A25" s="41" t="s">
        <v>43</v>
      </c>
      <c r="B25" s="42" t="s">
        <v>201</v>
      </c>
      <c r="C25" s="43" t="s">
        <v>202</v>
      </c>
      <c r="D25" s="44" t="s">
        <v>18</v>
      </c>
      <c r="E25" s="45" t="s">
        <v>176</v>
      </c>
      <c r="F25" s="44" t="s">
        <v>197</v>
      </c>
      <c r="G25" s="44" t="str">
        <f t="shared" si="1"/>
        <v>#N/A</v>
      </c>
      <c r="H25" s="46" t="s">
        <v>186</v>
      </c>
      <c r="I25" s="46" t="s">
        <v>24</v>
      </c>
      <c r="J25" s="44" t="str">
        <f t="shared" si="2"/>
        <v>Não</v>
      </c>
      <c r="K25" s="47">
        <v>45131.0</v>
      </c>
      <c r="L25" s="72">
        <v>45163.0</v>
      </c>
      <c r="M25" s="45" t="s">
        <v>55</v>
      </c>
      <c r="N25" s="48">
        <v>0.012</v>
      </c>
      <c r="O25" s="44" t="s">
        <v>24</v>
      </c>
      <c r="P25" s="49">
        <v>0.0</v>
      </c>
      <c r="Q25" s="74"/>
      <c r="R25" s="50"/>
      <c r="S25" s="45" t="s">
        <v>108</v>
      </c>
      <c r="T25" s="24" t="s">
        <v>200</v>
      </c>
      <c r="U25" s="9" t="s">
        <v>180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>
        <v>0.0</v>
      </c>
      <c r="AU25" s="53" t="str">
        <f t="array" ref="AU25">XLOOKUP(C25,'PL TOTAL D0'!A:A,'PL TOTAL D0'!C:C,"")</f>
        <v/>
      </c>
    </row>
    <row r="26">
      <c r="A26" s="41" t="s">
        <v>43</v>
      </c>
      <c r="B26" s="64" t="s">
        <v>203</v>
      </c>
      <c r="C26" s="65" t="s">
        <v>204</v>
      </c>
      <c r="D26" s="9" t="s">
        <v>18</v>
      </c>
      <c r="E26" s="24" t="s">
        <v>29</v>
      </c>
      <c r="F26" s="9" t="s">
        <v>205</v>
      </c>
      <c r="G26" s="44" t="str">
        <f t="shared" si="1"/>
        <v>#N/A</v>
      </c>
      <c r="H26" s="51" t="s">
        <v>123</v>
      </c>
      <c r="I26" s="51" t="s">
        <v>161</v>
      </c>
      <c r="J26" s="44" t="str">
        <f t="shared" si="2"/>
        <v>Não</v>
      </c>
      <c r="K26" s="57">
        <v>45421.0</v>
      </c>
      <c r="L26" s="72"/>
      <c r="M26" s="24" t="s">
        <v>55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108</v>
      </c>
      <c r="T26" s="23" t="s">
        <v>206</v>
      </c>
      <c r="U26" s="9" t="s">
        <v>34</v>
      </c>
      <c r="V26" s="51" t="str">
        <f t="shared" si="3"/>
        <v>Ativo</v>
      </c>
      <c r="W26" s="24" t="s">
        <v>75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 ht="15.75" customHeight="1">
      <c r="A27" s="41" t="s">
        <v>43</v>
      </c>
      <c r="B27" s="42" t="s">
        <v>207</v>
      </c>
      <c r="C27" s="75" t="s">
        <v>208</v>
      </c>
      <c r="D27" s="44" t="s">
        <v>105</v>
      </c>
      <c r="E27" s="45" t="s">
        <v>29</v>
      </c>
      <c r="F27" s="44" t="s">
        <v>209</v>
      </c>
      <c r="G27" s="44" t="str">
        <f t="shared" si="1"/>
        <v>Augusto</v>
      </c>
      <c r="H27" s="46" t="s">
        <v>107</v>
      </c>
      <c r="I27" s="46" t="s">
        <v>24</v>
      </c>
      <c r="J27" s="44" t="str">
        <f t="shared" si="2"/>
        <v>Não</v>
      </c>
      <c r="K27" s="47">
        <v>45208.0</v>
      </c>
      <c r="L27" s="72"/>
      <c r="M27" s="45" t="s">
        <v>190</v>
      </c>
      <c r="N27" s="48">
        <v>0.025</v>
      </c>
      <c r="O27" s="44" t="s">
        <v>191</v>
      </c>
      <c r="P27" s="49">
        <v>0.2</v>
      </c>
      <c r="Q27" s="74"/>
      <c r="R27" s="50"/>
      <c r="S27" s="45" t="s">
        <v>108</v>
      </c>
      <c r="T27" s="24" t="s">
        <v>210</v>
      </c>
      <c r="U27" s="9" t="s">
        <v>29</v>
      </c>
      <c r="V27" s="51" t="str">
        <f t="shared" si="3"/>
        <v>Ativo</v>
      </c>
      <c r="W27" s="45"/>
      <c r="X27" s="52" t="s">
        <v>119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v>346058.8</v>
      </c>
      <c r="AU27" s="53">
        <f t="array" ref="AU27">XLOOKUP(C27,'PL TOTAL D0'!A:A,'PL TOTAL D0'!C:C,"")</f>
        <v>360681.5</v>
      </c>
    </row>
    <row r="28" ht="15.75" customHeight="1">
      <c r="A28" s="41" t="s">
        <v>43</v>
      </c>
      <c r="B28" s="42" t="s">
        <v>211</v>
      </c>
      <c r="C28" s="43" t="s">
        <v>212</v>
      </c>
      <c r="D28" s="44" t="s">
        <v>18</v>
      </c>
      <c r="E28" s="45" t="s">
        <v>19</v>
      </c>
      <c r="F28" s="44" t="s">
        <v>213</v>
      </c>
      <c r="G28" s="44" t="str">
        <f t="shared" si="1"/>
        <v>Augusto</v>
      </c>
      <c r="H28" s="46" t="s">
        <v>107</v>
      </c>
      <c r="I28" s="46" t="s">
        <v>24</v>
      </c>
      <c r="J28" s="44" t="str">
        <f t="shared" si="2"/>
        <v>Sim</v>
      </c>
      <c r="K28" s="47">
        <v>45013.0</v>
      </c>
      <c r="L28" s="45"/>
      <c r="M28" s="45" t="s">
        <v>55</v>
      </c>
      <c r="N28" s="48">
        <v>0.012</v>
      </c>
      <c r="O28" s="44" t="s">
        <v>24</v>
      </c>
      <c r="P28" s="49">
        <v>0.0</v>
      </c>
      <c r="Q28" s="76" t="s">
        <v>214</v>
      </c>
      <c r="R28" s="50"/>
      <c r="S28" s="45" t="s">
        <v>108</v>
      </c>
      <c r="T28" s="24" t="s">
        <v>215</v>
      </c>
      <c r="U28" s="9" t="s">
        <v>29</v>
      </c>
      <c r="V28" s="51" t="str">
        <f t="shared" si="3"/>
        <v>Ativo</v>
      </c>
      <c r="W28" s="45"/>
      <c r="X28" s="52" t="s">
        <v>119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v>69800.56</v>
      </c>
      <c r="AU28" s="53">
        <f t="array" ref="AU28">XLOOKUP(C28,'PL TOTAL D0'!A:A,'PL TOTAL D0'!C:C,"")</f>
        <v>70025.08</v>
      </c>
    </row>
    <row r="29" ht="15.75" customHeight="1">
      <c r="A29" s="41" t="s">
        <v>43</v>
      </c>
      <c r="B29" s="42" t="s">
        <v>216</v>
      </c>
      <c r="C29" s="43" t="s">
        <v>217</v>
      </c>
      <c r="D29" s="44" t="s">
        <v>105</v>
      </c>
      <c r="E29" s="45" t="s">
        <v>29</v>
      </c>
      <c r="F29" s="44" t="s">
        <v>218</v>
      </c>
      <c r="G29" s="44" t="str">
        <f t="shared" si="1"/>
        <v>Augusto</v>
      </c>
      <c r="H29" s="46" t="s">
        <v>147</v>
      </c>
      <c r="I29" s="46" t="s">
        <v>219</v>
      </c>
      <c r="J29" s="44" t="str">
        <f t="shared" si="2"/>
        <v>Não</v>
      </c>
      <c r="K29" s="47">
        <v>44973.0</v>
      </c>
      <c r="L29" s="45"/>
      <c r="M29" s="45" t="s">
        <v>47</v>
      </c>
      <c r="N29" s="48">
        <v>0.02</v>
      </c>
      <c r="O29" s="44" t="s">
        <v>48</v>
      </c>
      <c r="P29" s="49">
        <v>0.2</v>
      </c>
      <c r="Q29" s="77"/>
      <c r="R29" s="77"/>
      <c r="S29" s="45" t="s">
        <v>108</v>
      </c>
      <c r="T29" s="24" t="s">
        <v>220</v>
      </c>
      <c r="U29" s="9" t="s">
        <v>29</v>
      </c>
      <c r="V29" s="51" t="str">
        <f t="shared" si="3"/>
        <v>Ativo</v>
      </c>
      <c r="W29" s="45"/>
      <c r="X29" s="52" t="s">
        <v>110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v>18.77</v>
      </c>
      <c r="AU29" s="53">
        <f t="array" ref="AU29">XLOOKUP(C29,'PL TOTAL D0'!A:A,'PL TOTAL D0'!C:C,"")</f>
        <v>18.77</v>
      </c>
    </row>
    <row r="30" ht="15.75" customHeight="1">
      <c r="A30" s="6" t="s">
        <v>43</v>
      </c>
      <c r="B30" s="55" t="s">
        <v>221</v>
      </c>
      <c r="C30" s="56" t="s">
        <v>222</v>
      </c>
      <c r="D30" s="9" t="s">
        <v>18</v>
      </c>
      <c r="E30" s="24" t="s">
        <v>29</v>
      </c>
      <c r="F30" s="9" t="s">
        <v>60</v>
      </c>
      <c r="G30" s="44" t="str">
        <f t="shared" si="1"/>
        <v>Breno</v>
      </c>
      <c r="H30" s="51" t="s">
        <v>107</v>
      </c>
      <c r="I30" s="51" t="s">
        <v>24</v>
      </c>
      <c r="J30" s="44" t="str">
        <f t="shared" si="2"/>
        <v>Não</v>
      </c>
      <c r="K30" s="57">
        <v>45301.0</v>
      </c>
      <c r="L30" s="45"/>
      <c r="M30" s="24" t="s">
        <v>47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108</v>
      </c>
      <c r="T30" s="24" t="s">
        <v>223</v>
      </c>
      <c r="U30" s="9" t="s">
        <v>224</v>
      </c>
      <c r="V30" s="51" t="str">
        <f t="shared" si="3"/>
        <v>Ativo</v>
      </c>
      <c r="W30" s="45"/>
      <c r="X30" s="52" t="s">
        <v>119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v>858755.8</v>
      </c>
      <c r="AU30" s="53">
        <f t="array" ref="AU30">XLOOKUP(C30,'PL TOTAL D0'!A:A,'PL TOTAL D0'!C:C,"")</f>
        <v>873051</v>
      </c>
    </row>
    <row r="31" ht="16.5" customHeight="1">
      <c r="A31" s="41" t="s">
        <v>43</v>
      </c>
      <c r="B31" s="42" t="s">
        <v>225</v>
      </c>
      <c r="C31" s="43" t="s">
        <v>226</v>
      </c>
      <c r="D31" s="44" t="s">
        <v>18</v>
      </c>
      <c r="E31" s="45" t="s">
        <v>19</v>
      </c>
      <c r="F31" s="44" t="s">
        <v>20</v>
      </c>
      <c r="G31" s="44" t="str">
        <f t="shared" si="1"/>
        <v>Augusto</v>
      </c>
      <c r="H31" s="46" t="s">
        <v>107</v>
      </c>
      <c r="I31" s="46" t="s">
        <v>24</v>
      </c>
      <c r="J31" s="44" t="str">
        <f t="shared" si="2"/>
        <v>Não</v>
      </c>
      <c r="K31" s="47">
        <v>44938.0</v>
      </c>
      <c r="L31" s="45"/>
      <c r="M31" s="45" t="s">
        <v>55</v>
      </c>
      <c r="N31" s="48">
        <v>0.012</v>
      </c>
      <c r="O31" s="44" t="s">
        <v>24</v>
      </c>
      <c r="P31" s="49">
        <v>0.0</v>
      </c>
      <c r="Q31" s="50"/>
      <c r="R31" s="50"/>
      <c r="S31" s="45" t="s">
        <v>108</v>
      </c>
      <c r="T31" s="24" t="s">
        <v>227</v>
      </c>
      <c r="U31" s="9" t="s">
        <v>19</v>
      </c>
      <c r="V31" s="51" t="str">
        <f t="shared" si="3"/>
        <v>Ativo</v>
      </c>
      <c r="W31" s="45"/>
      <c r="X31" s="52" t="s">
        <v>119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v>162558.9</v>
      </c>
      <c r="AU31" s="53">
        <f t="array" ref="AU31">XLOOKUP(C31,'PL TOTAL D0'!A:A,'PL TOTAL D0'!C:C,"")</f>
        <v>162636.9</v>
      </c>
    </row>
    <row r="32" ht="16.5" customHeight="1">
      <c r="A32" s="41" t="s">
        <v>43</v>
      </c>
      <c r="B32" s="42" t="s">
        <v>228</v>
      </c>
      <c r="C32" s="43" t="s">
        <v>229</v>
      </c>
      <c r="D32" s="44" t="s">
        <v>18</v>
      </c>
      <c r="E32" s="45" t="s">
        <v>19</v>
      </c>
      <c r="F32" s="44" t="s">
        <v>122</v>
      </c>
      <c r="G32" s="44" t="str">
        <f t="shared" si="1"/>
        <v>#N/A</v>
      </c>
      <c r="H32" s="51" t="s">
        <v>147</v>
      </c>
      <c r="I32" s="51" t="s">
        <v>161</v>
      </c>
      <c r="J32" s="44" t="str">
        <f t="shared" si="2"/>
        <v>Não</v>
      </c>
      <c r="K32" s="47">
        <v>45247.0</v>
      </c>
      <c r="L32" s="45"/>
      <c r="M32" s="45" t="s">
        <v>55</v>
      </c>
      <c r="N32" s="48">
        <v>0.012</v>
      </c>
      <c r="O32" s="44" t="s">
        <v>24</v>
      </c>
      <c r="P32" s="49">
        <v>0.0</v>
      </c>
      <c r="Q32" s="78"/>
      <c r="R32" s="50"/>
      <c r="S32" s="45" t="s">
        <v>108</v>
      </c>
      <c r="T32" s="24" t="s">
        <v>230</v>
      </c>
      <c r="U32" s="9" t="s">
        <v>19</v>
      </c>
      <c r="V32" s="51" t="str">
        <f t="shared" si="3"/>
        <v>Ativo</v>
      </c>
      <c r="W32" s="45"/>
      <c r="X32" s="52" t="s">
        <v>119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>
        <v>0.0</v>
      </c>
      <c r="AU32" s="53" t="str">
        <f t="array" ref="AU32">XLOOKUP(C32,'PL TOTAL D0'!A:A,'PL TOTAL D0'!C:C,"")</f>
        <v/>
      </c>
    </row>
    <row r="33" ht="16.5" customHeight="1">
      <c r="A33" s="41" t="s">
        <v>43</v>
      </c>
      <c r="B33" s="64" t="s">
        <v>231</v>
      </c>
      <c r="C33" s="65" t="s">
        <v>232</v>
      </c>
      <c r="D33" s="9" t="s">
        <v>105</v>
      </c>
      <c r="E33" s="24" t="s">
        <v>29</v>
      </c>
      <c r="F33" s="9" t="s">
        <v>106</v>
      </c>
      <c r="G33" s="44" t="str">
        <f t="shared" si="1"/>
        <v>Augusto</v>
      </c>
      <c r="H33" s="51" t="s">
        <v>147</v>
      </c>
      <c r="I33" s="51" t="s">
        <v>219</v>
      </c>
      <c r="J33" s="44" t="str">
        <f t="shared" si="2"/>
        <v>Não</v>
      </c>
      <c r="K33" s="57">
        <v>45383.0</v>
      </c>
      <c r="L33" s="45"/>
      <c r="M33" s="24" t="s">
        <v>149</v>
      </c>
      <c r="N33" s="58">
        <v>0.0</v>
      </c>
      <c r="O33" s="9" t="s">
        <v>24</v>
      </c>
      <c r="P33" s="59">
        <v>0.0</v>
      </c>
      <c r="Q33" s="79"/>
      <c r="R33" s="50"/>
      <c r="S33" s="24" t="s">
        <v>108</v>
      </c>
      <c r="T33" s="5" t="s">
        <v>233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v>460.58</v>
      </c>
      <c r="AU33" s="53">
        <f t="array" ref="AU33">XLOOKUP(C33,'PL TOTAL D0'!A:A,'PL TOTAL D0'!C:C,"")</f>
        <v>462.39</v>
      </c>
    </row>
    <row r="34" ht="16.5" customHeight="1">
      <c r="A34" s="41" t="s">
        <v>43</v>
      </c>
      <c r="B34" s="80" t="s">
        <v>234</v>
      </c>
      <c r="C34" s="67" t="s">
        <v>235</v>
      </c>
      <c r="D34" s="44" t="s">
        <v>18</v>
      </c>
      <c r="E34" s="45" t="s">
        <v>176</v>
      </c>
      <c r="F34" s="44" t="s">
        <v>197</v>
      </c>
      <c r="G34" s="44" t="str">
        <f t="shared" si="1"/>
        <v>Augusto</v>
      </c>
      <c r="H34" s="46" t="s">
        <v>107</v>
      </c>
      <c r="I34" s="46" t="s">
        <v>24</v>
      </c>
      <c r="J34" s="44" t="str">
        <f t="shared" si="2"/>
        <v>Não</v>
      </c>
      <c r="K34" s="47">
        <v>45203.0</v>
      </c>
      <c r="L34" s="45"/>
      <c r="M34" s="45" t="s">
        <v>55</v>
      </c>
      <c r="N34" s="48">
        <v>0.012</v>
      </c>
      <c r="O34" s="44" t="s">
        <v>24</v>
      </c>
      <c r="P34" s="49">
        <v>0.0</v>
      </c>
      <c r="Q34" s="50"/>
      <c r="R34" s="50"/>
      <c r="S34" s="45" t="s">
        <v>108</v>
      </c>
      <c r="T34" s="24" t="s">
        <v>236</v>
      </c>
      <c r="U34" s="9" t="s">
        <v>180</v>
      </c>
      <c r="V34" s="51" t="str">
        <f t="shared" si="3"/>
        <v>Ativo</v>
      </c>
      <c r="W34" s="45"/>
      <c r="X34" s="52" t="s">
        <v>110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v>21081.77</v>
      </c>
      <c r="AU34" s="53">
        <f t="array" ref="AU34">XLOOKUP(C34,'PL TOTAL D0'!A:A,'PL TOTAL D0'!C:C,"")</f>
        <v>21137.27</v>
      </c>
    </row>
    <row r="35" ht="15.75" customHeight="1">
      <c r="A35" s="41" t="s">
        <v>43</v>
      </c>
      <c r="B35" s="42" t="s">
        <v>237</v>
      </c>
      <c r="C35" s="81" t="s">
        <v>238</v>
      </c>
      <c r="D35" s="44" t="s">
        <v>18</v>
      </c>
      <c r="E35" s="45" t="s">
        <v>29</v>
      </c>
      <c r="F35" s="44" t="s">
        <v>78</v>
      </c>
      <c r="G35" s="44" t="str">
        <f t="shared" si="1"/>
        <v>#N/A</v>
      </c>
      <c r="H35" s="51" t="s">
        <v>186</v>
      </c>
      <c r="I35" s="51" t="s">
        <v>24</v>
      </c>
      <c r="J35" s="44" t="str">
        <f>IF(R35=0,"Não","Sim")</f>
        <v>Sim</v>
      </c>
      <c r="K35" s="47">
        <v>45042.0</v>
      </c>
      <c r="L35" s="82">
        <v>45449.0</v>
      </c>
      <c r="M35" s="45" t="s">
        <v>55</v>
      </c>
      <c r="N35" s="48">
        <v>0.01</v>
      </c>
      <c r="O35" s="44" t="s">
        <v>24</v>
      </c>
      <c r="P35" s="49">
        <v>0.0</v>
      </c>
      <c r="Q35" s="83"/>
      <c r="R35" s="73" t="s">
        <v>239</v>
      </c>
      <c r="S35" s="45" t="s">
        <v>108</v>
      </c>
      <c r="T35" s="24" t="s">
        <v>240</v>
      </c>
      <c r="U35" s="9" t="s">
        <v>29</v>
      </c>
      <c r="V35" s="51" t="str">
        <f t="shared" si="3"/>
        <v>Encerrado</v>
      </c>
      <c r="W35" s="45"/>
      <c r="X35" s="52" t="s">
        <v>110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>
        <v>0.0</v>
      </c>
      <c r="AU35" s="53" t="str">
        <f t="array" ref="AU35">XLOOKUP(C35,'PL TOTAL D0'!A:A,'PL TOTAL D0'!C:C,"")</f>
        <v/>
      </c>
    </row>
    <row r="36" ht="15.75" customHeight="1">
      <c r="A36" s="6" t="s">
        <v>43</v>
      </c>
      <c r="B36" s="84" t="s">
        <v>241</v>
      </c>
      <c r="C36" s="85" t="s">
        <v>242</v>
      </c>
      <c r="D36" s="9" t="s">
        <v>18</v>
      </c>
      <c r="E36" s="24" t="s">
        <v>176</v>
      </c>
      <c r="F36" s="44" t="s">
        <v>177</v>
      </c>
      <c r="G36" s="44" t="str">
        <f t="shared" si="1"/>
        <v>Augusto</v>
      </c>
      <c r="H36" s="51" t="s">
        <v>107</v>
      </c>
      <c r="I36" s="51" t="s">
        <v>24</v>
      </c>
      <c r="J36" s="44" t="str">
        <f t="shared" ref="J36:J152" si="4">IF(Q36=0,"Não","Sim")</f>
        <v>Não</v>
      </c>
      <c r="K36" s="57">
        <v>45279.0</v>
      </c>
      <c r="L36" s="45"/>
      <c r="M36" s="45" t="s">
        <v>55</v>
      </c>
      <c r="N36" s="86">
        <v>0.012</v>
      </c>
      <c r="O36" s="87" t="s">
        <v>48</v>
      </c>
      <c r="P36" s="88">
        <v>0.1</v>
      </c>
      <c r="Q36" s="63"/>
      <c r="R36" s="73" t="s">
        <v>243</v>
      </c>
      <c r="S36" s="24" t="s">
        <v>108</v>
      </c>
      <c r="T36" s="24" t="s">
        <v>244</v>
      </c>
      <c r="U36" s="9" t="s">
        <v>180</v>
      </c>
      <c r="V36" s="51" t="str">
        <f t="shared" si="3"/>
        <v>Ativo</v>
      </c>
      <c r="W36" s="45"/>
      <c r="X36" s="52" t="s">
        <v>110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v>162345.4</v>
      </c>
      <c r="AU36" s="53">
        <f t="array" ref="AU36">XLOOKUP(C36,'PL TOTAL D0'!A:A,'PL TOTAL D0'!C:C,"")</f>
        <v>162489.2</v>
      </c>
    </row>
    <row r="37" ht="15.75" customHeight="1">
      <c r="A37" s="41" t="s">
        <v>43</v>
      </c>
      <c r="B37" s="61" t="s">
        <v>245</v>
      </c>
      <c r="C37" s="43" t="s">
        <v>246</v>
      </c>
      <c r="D37" s="44" t="s">
        <v>18</v>
      </c>
      <c r="E37" s="45" t="s">
        <v>176</v>
      </c>
      <c r="F37" s="44" t="s">
        <v>177</v>
      </c>
      <c r="G37" s="44" t="str">
        <f t="shared" si="1"/>
        <v>Breno</v>
      </c>
      <c r="H37" s="46" t="s">
        <v>107</v>
      </c>
      <c r="I37" s="46" t="s">
        <v>24</v>
      </c>
      <c r="J37" s="44" t="str">
        <f t="shared" si="4"/>
        <v>Sim</v>
      </c>
      <c r="K37" s="47">
        <v>45027.0</v>
      </c>
      <c r="L37" s="45"/>
      <c r="M37" s="45" t="s">
        <v>47</v>
      </c>
      <c r="N37" s="48">
        <v>0.015</v>
      </c>
      <c r="O37" s="44" t="s">
        <v>48</v>
      </c>
      <c r="P37" s="49">
        <v>0.1</v>
      </c>
      <c r="Q37" s="60" t="s">
        <v>247</v>
      </c>
      <c r="R37" s="50"/>
      <c r="S37" s="45" t="s">
        <v>108</v>
      </c>
      <c r="T37" s="24" t="s">
        <v>248</v>
      </c>
      <c r="U37" s="9" t="s">
        <v>180</v>
      </c>
      <c r="V37" s="51" t="str">
        <f t="shared" si="3"/>
        <v>Ativo</v>
      </c>
      <c r="W37" s="45"/>
      <c r="X37" s="52" t="s">
        <v>110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v>708956.3</v>
      </c>
      <c r="AU37" s="53">
        <f t="array" ref="AU37">XLOOKUP(C37,'PL TOTAL D0'!A:A,'PL TOTAL D0'!C:C,"")</f>
        <v>716807.8</v>
      </c>
    </row>
    <row r="38" ht="15.75" customHeight="1">
      <c r="A38" s="41" t="s">
        <v>43</v>
      </c>
      <c r="B38" s="42" t="s">
        <v>245</v>
      </c>
      <c r="C38" s="43" t="s">
        <v>249</v>
      </c>
      <c r="D38" s="44" t="s">
        <v>18</v>
      </c>
      <c r="E38" s="45" t="s">
        <v>176</v>
      </c>
      <c r="F38" s="44" t="s">
        <v>177</v>
      </c>
      <c r="G38" s="44" t="str">
        <f t="shared" si="1"/>
        <v>Augusto</v>
      </c>
      <c r="H38" s="51" t="s">
        <v>147</v>
      </c>
      <c r="I38" s="51" t="s">
        <v>219</v>
      </c>
      <c r="J38" s="44" t="str">
        <f t="shared" si="4"/>
        <v>Não</v>
      </c>
      <c r="K38" s="47">
        <v>44998.0</v>
      </c>
      <c r="L38" s="45"/>
      <c r="M38" s="45" t="s">
        <v>55</v>
      </c>
      <c r="N38" s="48">
        <v>0.012</v>
      </c>
      <c r="O38" s="44" t="s">
        <v>24</v>
      </c>
      <c r="P38" s="49">
        <v>0.0</v>
      </c>
      <c r="Q38" s="60"/>
      <c r="R38" s="50"/>
      <c r="S38" s="45" t="s">
        <v>108</v>
      </c>
      <c r="T38" s="24" t="s">
        <v>248</v>
      </c>
      <c r="U38" s="9" t="s">
        <v>180</v>
      </c>
      <c r="V38" s="51" t="str">
        <f t="shared" si="3"/>
        <v>Ativo</v>
      </c>
      <c r="W38" s="45"/>
      <c r="X38" s="52" t="s">
        <v>110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>
        <v>1.61</v>
      </c>
      <c r="AU38" s="53">
        <f t="array" ref="AU38">XLOOKUP(C38,'PL TOTAL D0'!A:A,'PL TOTAL D0'!C:C,"")</f>
        <v>1.61</v>
      </c>
    </row>
    <row r="39" ht="15.75" customHeight="1">
      <c r="A39" s="41" t="s">
        <v>43</v>
      </c>
      <c r="B39" s="42" t="s">
        <v>250</v>
      </c>
      <c r="C39" s="43" t="s">
        <v>251</v>
      </c>
      <c r="D39" s="44" t="s">
        <v>18</v>
      </c>
      <c r="E39" s="45" t="s">
        <v>176</v>
      </c>
      <c r="F39" s="44" t="s">
        <v>177</v>
      </c>
      <c r="G39" s="44" t="str">
        <f t="shared" si="1"/>
        <v>Augusto</v>
      </c>
      <c r="H39" s="51" t="s">
        <v>107</v>
      </c>
      <c r="I39" s="46" t="s">
        <v>24</v>
      </c>
      <c r="J39" s="44" t="str">
        <f t="shared" si="4"/>
        <v>Não</v>
      </c>
      <c r="K39" s="47">
        <v>45020.0</v>
      </c>
      <c r="L39" s="45"/>
      <c r="M39" s="24" t="s">
        <v>79</v>
      </c>
      <c r="N39" s="48">
        <v>0.012</v>
      </c>
      <c r="O39" s="9" t="s">
        <v>48</v>
      </c>
      <c r="P39" s="59">
        <v>0.1</v>
      </c>
      <c r="Q39" s="60"/>
      <c r="R39" s="60" t="s">
        <v>252</v>
      </c>
      <c r="S39" s="45" t="s">
        <v>108</v>
      </c>
      <c r="T39" s="24" t="s">
        <v>253</v>
      </c>
      <c r="U39" s="9" t="s">
        <v>180</v>
      </c>
      <c r="V39" s="51" t="str">
        <f t="shared" si="3"/>
        <v>Ativo</v>
      </c>
      <c r="W39" s="45"/>
      <c r="X39" s="52" t="s">
        <v>110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v>162917.4</v>
      </c>
      <c r="AU39" s="53">
        <f t="array" ref="AU39">XLOOKUP(C39,'PL TOTAL D0'!A:A,'PL TOTAL D0'!C:C,"")</f>
        <v>164403.3</v>
      </c>
    </row>
    <row r="40" ht="15.75" customHeight="1">
      <c r="A40" s="41" t="s">
        <v>43</v>
      </c>
      <c r="B40" s="55" t="s">
        <v>254</v>
      </c>
      <c r="C40" s="43" t="s">
        <v>255</v>
      </c>
      <c r="D40" s="44" t="s">
        <v>18</v>
      </c>
      <c r="E40" s="45" t="s">
        <v>19</v>
      </c>
      <c r="F40" s="44" t="s">
        <v>256</v>
      </c>
      <c r="G40" s="44" t="str">
        <f t="shared" si="1"/>
        <v>#N/A</v>
      </c>
      <c r="H40" s="51" t="s">
        <v>147</v>
      </c>
      <c r="I40" s="46" t="s">
        <v>219</v>
      </c>
      <c r="J40" s="44" t="str">
        <f t="shared" si="4"/>
        <v>Não</v>
      </c>
      <c r="K40" s="47">
        <v>45166.0</v>
      </c>
      <c r="L40" s="62"/>
      <c r="M40" s="45" t="s">
        <v>55</v>
      </c>
      <c r="N40" s="48">
        <v>0.012</v>
      </c>
      <c r="O40" s="44" t="s">
        <v>24</v>
      </c>
      <c r="P40" s="49">
        <v>0.0</v>
      </c>
      <c r="Q40" s="50"/>
      <c r="R40" s="60" t="s">
        <v>257</v>
      </c>
      <c r="S40" s="45" t="s">
        <v>108</v>
      </c>
      <c r="T40" s="24" t="s">
        <v>258</v>
      </c>
      <c r="U40" s="9" t="s">
        <v>19</v>
      </c>
      <c r="V40" s="51" t="str">
        <f t="shared" si="3"/>
        <v>Inativo</v>
      </c>
      <c r="W40" s="45"/>
      <c r="X40" s="52" t="s">
        <v>119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>
        <v>0.0</v>
      </c>
      <c r="AU40" s="53" t="str">
        <f t="array" ref="AU40">XLOOKUP(C40,'PL TOTAL D0'!A:A,'PL TOTAL D0'!C:C,"")</f>
        <v/>
      </c>
    </row>
    <row r="41" ht="15.75" customHeight="1">
      <c r="A41" s="41" t="s">
        <v>43</v>
      </c>
      <c r="B41" s="66" t="s">
        <v>259</v>
      </c>
      <c r="C41" s="89" t="s">
        <v>260</v>
      </c>
      <c r="D41" s="44" t="s">
        <v>18</v>
      </c>
      <c r="E41" s="45" t="s">
        <v>176</v>
      </c>
      <c r="F41" s="44" t="s">
        <v>197</v>
      </c>
      <c r="G41" s="44" t="str">
        <f t="shared" si="1"/>
        <v>Augusto</v>
      </c>
      <c r="H41" s="46" t="s">
        <v>107</v>
      </c>
      <c r="I41" s="46" t="s">
        <v>24</v>
      </c>
      <c r="J41" s="44" t="str">
        <f t="shared" si="4"/>
        <v>Não</v>
      </c>
      <c r="K41" s="47">
        <v>45190.0</v>
      </c>
      <c r="L41" s="62"/>
      <c r="M41" s="45" t="s">
        <v>55</v>
      </c>
      <c r="N41" s="48">
        <v>0.012</v>
      </c>
      <c r="O41" s="44" t="s">
        <v>24</v>
      </c>
      <c r="P41" s="49">
        <v>0.0</v>
      </c>
      <c r="Q41" s="6"/>
      <c r="R41" s="73" t="s">
        <v>261</v>
      </c>
      <c r="S41" s="45" t="s">
        <v>108</v>
      </c>
      <c r="T41" s="24" t="s">
        <v>262</v>
      </c>
      <c r="U41" s="9" t="s">
        <v>180</v>
      </c>
      <c r="V41" s="51" t="str">
        <f t="shared" si="3"/>
        <v>Ativo</v>
      </c>
      <c r="W41" s="45"/>
      <c r="X41" s="52" t="s">
        <v>110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v>77386.57</v>
      </c>
      <c r="AU41" s="53">
        <f t="array" ref="AU41">XLOOKUP(C41,'PL TOTAL D0'!A:A,'PL TOTAL D0'!C:C,"")</f>
        <v>77655.67</v>
      </c>
    </row>
    <row r="42" ht="15.75" customHeight="1">
      <c r="A42" s="41" t="s">
        <v>43</v>
      </c>
      <c r="B42" s="61" t="s">
        <v>263</v>
      </c>
      <c r="C42" s="43" t="s">
        <v>264</v>
      </c>
      <c r="D42" s="44" t="s">
        <v>18</v>
      </c>
      <c r="E42" s="45" t="s">
        <v>176</v>
      </c>
      <c r="F42" s="44" t="s">
        <v>177</v>
      </c>
      <c r="G42" s="44" t="str">
        <f t="shared" si="1"/>
        <v>Bruno</v>
      </c>
      <c r="H42" s="46" t="s">
        <v>107</v>
      </c>
      <c r="I42" s="46" t="s">
        <v>24</v>
      </c>
      <c r="J42" s="44" t="str">
        <f t="shared" si="4"/>
        <v>Sim</v>
      </c>
      <c r="K42" s="47">
        <v>45034.0</v>
      </c>
      <c r="L42" s="45"/>
      <c r="M42" s="45" t="s">
        <v>55</v>
      </c>
      <c r="N42" s="48">
        <v>0.012</v>
      </c>
      <c r="O42" s="44" t="s">
        <v>24</v>
      </c>
      <c r="P42" s="49">
        <v>0.0</v>
      </c>
      <c r="Q42" s="90" t="s">
        <v>265</v>
      </c>
      <c r="R42" s="50"/>
      <c r="S42" s="45" t="s">
        <v>108</v>
      </c>
      <c r="T42" s="24" t="s">
        <v>266</v>
      </c>
      <c r="U42" s="9" t="s">
        <v>180</v>
      </c>
      <c r="V42" s="51" t="str">
        <f t="shared" si="3"/>
        <v>Ativo</v>
      </c>
      <c r="W42" s="45"/>
      <c r="X42" s="52" t="s">
        <v>110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v>1459640.0</v>
      </c>
      <c r="AU42" s="53">
        <f t="array" ref="AU42">XLOOKUP(C42,'PL TOTAL D0'!A:A,'PL TOTAL D0'!C:C,"")</f>
        <v>1464570</v>
      </c>
    </row>
    <row r="43" ht="15.75" customHeight="1">
      <c r="A43" s="41" t="s">
        <v>43</v>
      </c>
      <c r="B43" s="42" t="s">
        <v>267</v>
      </c>
      <c r="C43" s="43" t="s">
        <v>268</v>
      </c>
      <c r="D43" s="44" t="s">
        <v>105</v>
      </c>
      <c r="E43" s="45" t="s">
        <v>29</v>
      </c>
      <c r="F43" s="44" t="s">
        <v>106</v>
      </c>
      <c r="G43" s="44" t="str">
        <f t="shared" si="1"/>
        <v>Augusto</v>
      </c>
      <c r="H43" s="51" t="s">
        <v>147</v>
      </c>
      <c r="I43" s="51" t="s">
        <v>219</v>
      </c>
      <c r="J43" s="44" t="str">
        <f t="shared" si="4"/>
        <v>Não</v>
      </c>
      <c r="K43" s="47">
        <v>45098.0</v>
      </c>
      <c r="L43" s="45"/>
      <c r="M43" s="45" t="s">
        <v>269</v>
      </c>
      <c r="N43" s="48">
        <v>0.006</v>
      </c>
      <c r="O43" s="44" t="s">
        <v>24</v>
      </c>
      <c r="P43" s="49">
        <v>0.0</v>
      </c>
      <c r="Q43" s="91"/>
      <c r="R43" s="60" t="s">
        <v>270</v>
      </c>
      <c r="S43" s="45" t="s">
        <v>108</v>
      </c>
      <c r="T43" s="24" t="s">
        <v>271</v>
      </c>
      <c r="U43" s="9" t="s">
        <v>34</v>
      </c>
      <c r="V43" s="51" t="str">
        <f t="shared" si="3"/>
        <v>Ativo</v>
      </c>
      <c r="W43" s="45"/>
      <c r="X43" s="52" t="s">
        <v>110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v>171.31</v>
      </c>
      <c r="AU43" s="53">
        <f t="array" ref="AU43">XLOOKUP(C43,'PL TOTAL D0'!A:A,'PL TOTAL D0'!C:C,"")</f>
        <v>171.31</v>
      </c>
    </row>
    <row r="44" ht="15.75" customHeight="1">
      <c r="A44" s="41" t="s">
        <v>43</v>
      </c>
      <c r="B44" s="64" t="s">
        <v>272</v>
      </c>
      <c r="C44" s="65" t="s">
        <v>273</v>
      </c>
      <c r="D44" s="9" t="s">
        <v>70</v>
      </c>
      <c r="E44" s="24" t="s">
        <v>29</v>
      </c>
      <c r="F44" s="9" t="s">
        <v>71</v>
      </c>
      <c r="G44" s="44" t="str">
        <f t="shared" si="1"/>
        <v>Breno</v>
      </c>
      <c r="H44" s="51" t="s">
        <v>107</v>
      </c>
      <c r="I44" s="51" t="s">
        <v>24</v>
      </c>
      <c r="J44" s="44" t="str">
        <f t="shared" si="4"/>
        <v>Sim</v>
      </c>
      <c r="K44" s="92">
        <v>45383.0</v>
      </c>
      <c r="L44" s="45"/>
      <c r="M44" s="24" t="s">
        <v>55</v>
      </c>
      <c r="N44" s="58">
        <v>0.012</v>
      </c>
      <c r="O44" s="9" t="s">
        <v>24</v>
      </c>
      <c r="P44" s="59">
        <v>0.0</v>
      </c>
      <c r="Q44" s="15" t="s">
        <v>274</v>
      </c>
      <c r="R44" s="60"/>
      <c r="S44" s="24" t="s">
        <v>108</v>
      </c>
      <c r="T44" s="24" t="s">
        <v>275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v>742704.6</v>
      </c>
      <c r="AU44" s="53">
        <f t="array" ref="AU44">XLOOKUP(C44,'PL TOTAL D0'!A:A,'PL TOTAL D0'!C:C,"")</f>
        <v>854876</v>
      </c>
    </row>
    <row r="45" ht="15.75" customHeight="1">
      <c r="A45" s="6" t="s">
        <v>43</v>
      </c>
      <c r="B45" s="42" t="s">
        <v>276</v>
      </c>
      <c r="C45" s="56" t="s">
        <v>277</v>
      </c>
      <c r="D45" s="9" t="s">
        <v>18</v>
      </c>
      <c r="E45" s="24" t="s">
        <v>29</v>
      </c>
      <c r="F45" s="9" t="s">
        <v>78</v>
      </c>
      <c r="G45" s="44" t="str">
        <f t="shared" si="1"/>
        <v>#N/A</v>
      </c>
      <c r="H45" s="51" t="s">
        <v>147</v>
      </c>
      <c r="I45" s="51" t="s">
        <v>219</v>
      </c>
      <c r="J45" s="44" t="str">
        <f t="shared" si="4"/>
        <v>Não</v>
      </c>
      <c r="K45" s="57">
        <v>45296.0</v>
      </c>
      <c r="L45" s="45"/>
      <c r="M45" s="93" t="s">
        <v>278</v>
      </c>
      <c r="N45" s="94">
        <v>0.007</v>
      </c>
      <c r="O45" s="95" t="s">
        <v>24</v>
      </c>
      <c r="P45" s="96">
        <v>0.0</v>
      </c>
      <c r="Q45" s="60"/>
      <c r="R45" s="60"/>
      <c r="S45" s="24" t="s">
        <v>108</v>
      </c>
      <c r="T45" s="24" t="s">
        <v>279</v>
      </c>
      <c r="U45" s="9" t="s">
        <v>29</v>
      </c>
      <c r="V45" s="51" t="str">
        <f t="shared" si="3"/>
        <v>Ativo</v>
      </c>
      <c r="W45" s="45"/>
      <c r="X45" s="52" t="s">
        <v>119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>
        <v>0.0</v>
      </c>
      <c r="AU45" s="53" t="str">
        <f t="array" ref="AU45">XLOOKUP(C45,'PL TOTAL D0'!A:A,'PL TOTAL D0'!C:C,"")</f>
        <v/>
      </c>
    </row>
    <row r="46" ht="15.75" customHeight="1">
      <c r="A46" s="41" t="s">
        <v>43</v>
      </c>
      <c r="B46" s="97" t="s">
        <v>280</v>
      </c>
      <c r="C46" s="98" t="s">
        <v>281</v>
      </c>
      <c r="D46" s="44" t="s">
        <v>18</v>
      </c>
      <c r="E46" s="45" t="s">
        <v>19</v>
      </c>
      <c r="F46" s="44" t="s">
        <v>122</v>
      </c>
      <c r="G46" s="44" t="str">
        <f t="shared" si="1"/>
        <v>Augusto</v>
      </c>
      <c r="H46" s="46" t="s">
        <v>107</v>
      </c>
      <c r="I46" s="46" t="s">
        <v>24</v>
      </c>
      <c r="J46" s="44" t="str">
        <f t="shared" si="4"/>
        <v>Sim</v>
      </c>
      <c r="K46" s="47">
        <v>45208.0</v>
      </c>
      <c r="L46" s="45"/>
      <c r="M46" s="45" t="s">
        <v>55</v>
      </c>
      <c r="N46" s="48">
        <v>0.012</v>
      </c>
      <c r="O46" s="44" t="s">
        <v>24</v>
      </c>
      <c r="P46" s="49">
        <v>0.0</v>
      </c>
      <c r="Q46" s="99" t="s">
        <v>282</v>
      </c>
      <c r="R46" s="50"/>
      <c r="S46" s="45" t="s">
        <v>108</v>
      </c>
      <c r="T46" s="24" t="s">
        <v>283</v>
      </c>
      <c r="U46" s="9" t="s">
        <v>284</v>
      </c>
      <c r="V46" s="51" t="str">
        <f t="shared" si="3"/>
        <v>Ativo</v>
      </c>
      <c r="W46" s="45"/>
      <c r="X46" s="52" t="s">
        <v>119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v>81892.74</v>
      </c>
      <c r="AU46" s="53">
        <f t="array" ref="AU46">XLOOKUP(C46,'PL TOTAL D0'!A:A,'PL TOTAL D0'!C:C,"")</f>
        <v>82154.73</v>
      </c>
    </row>
    <row r="47" ht="15.75" customHeight="1">
      <c r="A47" s="41" t="s">
        <v>43</v>
      </c>
      <c r="B47" s="55" t="s">
        <v>285</v>
      </c>
      <c r="C47" s="100" t="s">
        <v>286</v>
      </c>
      <c r="D47" s="44" t="s">
        <v>18</v>
      </c>
      <c r="E47" s="45" t="s">
        <v>176</v>
      </c>
      <c r="F47" s="44" t="s">
        <v>177</v>
      </c>
      <c r="G47" s="44" t="str">
        <f t="shared" si="1"/>
        <v>Bruno</v>
      </c>
      <c r="H47" s="51" t="s">
        <v>107</v>
      </c>
      <c r="I47" s="51" t="s">
        <v>24</v>
      </c>
      <c r="J47" s="44" t="str">
        <f t="shared" si="4"/>
        <v>Não</v>
      </c>
      <c r="K47" s="47">
        <v>44970.0</v>
      </c>
      <c r="L47" s="45"/>
      <c r="M47" s="24" t="s">
        <v>47</v>
      </c>
      <c r="N47" s="58">
        <v>0.009</v>
      </c>
      <c r="O47" s="44" t="s">
        <v>24</v>
      </c>
      <c r="P47" s="49">
        <v>0.0</v>
      </c>
      <c r="Q47" s="50"/>
      <c r="R47" s="50" t="s">
        <v>287</v>
      </c>
      <c r="S47" s="45" t="s">
        <v>108</v>
      </c>
      <c r="T47" s="24" t="s">
        <v>288</v>
      </c>
      <c r="U47" s="9" t="s">
        <v>180</v>
      </c>
      <c r="V47" s="51" t="str">
        <f t="shared" si="3"/>
        <v>Ativo</v>
      </c>
      <c r="W47" s="45"/>
      <c r="X47" s="52" t="s">
        <v>110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v>1613280.0</v>
      </c>
      <c r="AU47" s="53">
        <f t="array" ref="AU47">XLOOKUP(C47,'PL TOTAL D0'!A:A,'PL TOTAL D0'!C:C,"")</f>
        <v>1638110</v>
      </c>
    </row>
    <row r="48" ht="15.75" customHeight="1">
      <c r="A48" s="41" t="s">
        <v>43</v>
      </c>
      <c r="B48" s="42" t="s">
        <v>285</v>
      </c>
      <c r="C48" s="43" t="s">
        <v>289</v>
      </c>
      <c r="D48" s="44" t="s">
        <v>18</v>
      </c>
      <c r="E48" s="45" t="s">
        <v>176</v>
      </c>
      <c r="F48" s="44" t="s">
        <v>177</v>
      </c>
      <c r="G48" s="44" t="str">
        <f t="shared" si="1"/>
        <v>#N/A</v>
      </c>
      <c r="H48" s="46" t="s">
        <v>186</v>
      </c>
      <c r="I48" s="46" t="s">
        <v>24</v>
      </c>
      <c r="J48" s="44" t="str">
        <f t="shared" si="4"/>
        <v>Não</v>
      </c>
      <c r="K48" s="47">
        <v>44970.0</v>
      </c>
      <c r="L48" s="72">
        <v>44661.0</v>
      </c>
      <c r="M48" s="45" t="s">
        <v>194</v>
      </c>
      <c r="N48" s="48">
        <v>0.008</v>
      </c>
      <c r="O48" s="44" t="s">
        <v>195</v>
      </c>
      <c r="P48" s="49">
        <v>0.1</v>
      </c>
      <c r="Q48" s="50"/>
      <c r="R48" s="50"/>
      <c r="S48" s="45" t="s">
        <v>108</v>
      </c>
      <c r="T48" s="24" t="s">
        <v>288</v>
      </c>
      <c r="U48" s="9" t="s">
        <v>180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>
        <v>0.0</v>
      </c>
      <c r="AU48" s="53" t="str">
        <f t="array" ref="AU48">XLOOKUP(C48,'PL TOTAL D0'!A:A,'PL TOTAL D0'!C:C,"")</f>
        <v/>
      </c>
    </row>
    <row r="49" ht="15.75" customHeight="1">
      <c r="A49" s="41" t="s">
        <v>43</v>
      </c>
      <c r="B49" s="42" t="s">
        <v>290</v>
      </c>
      <c r="C49" s="100" t="s">
        <v>291</v>
      </c>
      <c r="D49" s="44" t="s">
        <v>18</v>
      </c>
      <c r="E49" s="45" t="s">
        <v>176</v>
      </c>
      <c r="F49" s="44" t="s">
        <v>177</v>
      </c>
      <c r="G49" s="44" t="str">
        <f t="shared" si="1"/>
        <v>Augusto</v>
      </c>
      <c r="H49" s="51" t="s">
        <v>147</v>
      </c>
      <c r="I49" s="51" t="s">
        <v>219</v>
      </c>
      <c r="J49" s="44" t="str">
        <f t="shared" si="4"/>
        <v>Não</v>
      </c>
      <c r="K49" s="47">
        <v>45020.0</v>
      </c>
      <c r="L49" s="45"/>
      <c r="M49" s="45" t="s">
        <v>190</v>
      </c>
      <c r="N49" s="48">
        <v>0.025</v>
      </c>
      <c r="O49" s="44" t="s">
        <v>191</v>
      </c>
      <c r="P49" s="49">
        <v>0.2</v>
      </c>
      <c r="Q49" s="50"/>
      <c r="R49" s="50" t="s">
        <v>287</v>
      </c>
      <c r="S49" s="45" t="s">
        <v>108</v>
      </c>
      <c r="T49" s="24" t="s">
        <v>288</v>
      </c>
      <c r="U49" s="9" t="s">
        <v>180</v>
      </c>
      <c r="V49" s="51" t="str">
        <f t="shared" si="3"/>
        <v>Ativo</v>
      </c>
      <c r="W49" s="45"/>
      <c r="X49" s="52" t="s">
        <v>110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v>910.15</v>
      </c>
      <c r="AU49" s="53">
        <f t="array" ref="AU49">XLOOKUP(C49,'PL TOTAL D0'!A:A,'PL TOTAL D0'!C:C,"")</f>
        <v>910.15</v>
      </c>
    </row>
    <row r="50" ht="15.75" customHeight="1">
      <c r="A50" s="41" t="s">
        <v>43</v>
      </c>
      <c r="B50" s="55" t="s">
        <v>292</v>
      </c>
      <c r="C50" s="101" t="s">
        <v>293</v>
      </c>
      <c r="D50" s="9" t="s">
        <v>18</v>
      </c>
      <c r="E50" s="24" t="s">
        <v>29</v>
      </c>
      <c r="F50" s="9" t="s">
        <v>294</v>
      </c>
      <c r="G50" s="44" t="str">
        <f t="shared" si="1"/>
        <v>Augusto</v>
      </c>
      <c r="H50" s="51" t="s">
        <v>107</v>
      </c>
      <c r="I50" s="51" t="s">
        <v>24</v>
      </c>
      <c r="J50" s="44" t="str">
        <f t="shared" si="4"/>
        <v>Sim</v>
      </c>
      <c r="K50" s="57">
        <v>45447.0</v>
      </c>
      <c r="L50" s="45"/>
      <c r="M50" s="24" t="s">
        <v>55</v>
      </c>
      <c r="N50" s="58">
        <v>0.011</v>
      </c>
      <c r="O50" s="9" t="s">
        <v>24</v>
      </c>
      <c r="P50" s="59">
        <v>0.0</v>
      </c>
      <c r="Q50" s="60" t="s">
        <v>295</v>
      </c>
      <c r="R50" s="50"/>
      <c r="S50" s="24" t="s">
        <v>108</v>
      </c>
      <c r="T50" s="24" t="s">
        <v>296</v>
      </c>
      <c r="U50" s="9" t="s">
        <v>29</v>
      </c>
      <c r="V50" s="51" t="str">
        <f t="shared" si="3"/>
        <v>Ativo</v>
      </c>
      <c r="W50" s="24" t="s">
        <v>75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>
        <v>334241.8</v>
      </c>
      <c r="AU50" s="53">
        <f t="array" ref="AU50">XLOOKUP(C50,'PL TOTAL D0'!A:A,'PL TOTAL D0'!C:C,"")</f>
        <v>335833.2</v>
      </c>
    </row>
    <row r="51" ht="15.75" customHeight="1">
      <c r="A51" s="41" t="s">
        <v>43</v>
      </c>
      <c r="B51" s="42" t="s">
        <v>297</v>
      </c>
      <c r="C51" s="43" t="s">
        <v>298</v>
      </c>
      <c r="D51" s="44" t="s">
        <v>18</v>
      </c>
      <c r="E51" s="45" t="s">
        <v>176</v>
      </c>
      <c r="F51" s="44" t="s">
        <v>197</v>
      </c>
      <c r="G51" s="44" t="str">
        <f t="shared" si="1"/>
        <v>Augusto</v>
      </c>
      <c r="H51" s="46" t="s">
        <v>107</v>
      </c>
      <c r="I51" s="46" t="s">
        <v>24</v>
      </c>
      <c r="J51" s="44" t="str">
        <f t="shared" si="4"/>
        <v>Não</v>
      </c>
      <c r="K51" s="47">
        <v>45166.0</v>
      </c>
      <c r="L51" s="62"/>
      <c r="M51" s="45" t="s">
        <v>47</v>
      </c>
      <c r="N51" s="48">
        <v>0.015</v>
      </c>
      <c r="O51" s="44" t="s">
        <v>48</v>
      </c>
      <c r="P51" s="49">
        <v>0.1</v>
      </c>
      <c r="Q51" s="63"/>
      <c r="R51" s="60" t="s">
        <v>299</v>
      </c>
      <c r="S51" s="45" t="s">
        <v>108</v>
      </c>
      <c r="T51" s="24" t="s">
        <v>300</v>
      </c>
      <c r="U51" s="9" t="s">
        <v>180</v>
      </c>
      <c r="V51" s="51" t="str">
        <f t="shared" si="3"/>
        <v>Ativo</v>
      </c>
      <c r="W51" s="45"/>
      <c r="X51" s="52" t="s">
        <v>110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v>107674.0</v>
      </c>
      <c r="AU51" s="53">
        <f t="array" ref="AU51">XLOOKUP(C51,'PL TOTAL D0'!A:A,'PL TOTAL D0'!C:C,"")</f>
        <v>109269.8</v>
      </c>
    </row>
    <row r="52" ht="15.75" customHeight="1">
      <c r="A52" s="41" t="s">
        <v>43</v>
      </c>
      <c r="B52" s="97" t="s">
        <v>301</v>
      </c>
      <c r="C52" s="71" t="s">
        <v>302</v>
      </c>
      <c r="D52" s="44" t="s">
        <v>18</v>
      </c>
      <c r="E52" s="45" t="s">
        <v>29</v>
      </c>
      <c r="F52" s="93" t="s">
        <v>128</v>
      </c>
      <c r="G52" s="44" t="str">
        <f t="shared" si="1"/>
        <v>Augusto</v>
      </c>
      <c r="H52" s="46" t="s">
        <v>107</v>
      </c>
      <c r="I52" s="46" t="s">
        <v>24</v>
      </c>
      <c r="J52" s="44" t="str">
        <f t="shared" si="4"/>
        <v>Não</v>
      </c>
      <c r="K52" s="47">
        <v>45222.0</v>
      </c>
      <c r="L52" s="45"/>
      <c r="M52" s="45" t="s">
        <v>55</v>
      </c>
      <c r="N52" s="48">
        <v>0.007</v>
      </c>
      <c r="O52" s="44" t="s">
        <v>24</v>
      </c>
      <c r="P52" s="49">
        <v>0.0</v>
      </c>
      <c r="Q52" s="102"/>
      <c r="R52" s="60" t="s">
        <v>303</v>
      </c>
      <c r="S52" s="45" t="s">
        <v>108</v>
      </c>
      <c r="T52" s="24" t="s">
        <v>304</v>
      </c>
      <c r="U52" s="9" t="s">
        <v>29</v>
      </c>
      <c r="V52" s="51" t="str">
        <f t="shared" si="3"/>
        <v>Ativo</v>
      </c>
      <c r="W52" s="45"/>
      <c r="X52" s="52" t="s">
        <v>110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v>4165.21</v>
      </c>
      <c r="AU52" s="53">
        <f t="array" ref="AU52">XLOOKUP(C52,'PL TOTAL D0'!A:A,'PL TOTAL D0'!C:C,"")</f>
        <v>4176.48</v>
      </c>
    </row>
    <row r="53" ht="15.75" customHeight="1">
      <c r="A53" s="6" t="s">
        <v>43</v>
      </c>
      <c r="B53" s="55" t="s">
        <v>301</v>
      </c>
      <c r="C53" s="56" t="s">
        <v>305</v>
      </c>
      <c r="D53" s="9" t="s">
        <v>18</v>
      </c>
      <c r="E53" s="24" t="s">
        <v>29</v>
      </c>
      <c r="F53" s="93" t="s">
        <v>128</v>
      </c>
      <c r="G53" s="44" t="str">
        <f t="shared" si="1"/>
        <v>Augusto</v>
      </c>
      <c r="H53" s="51" t="s">
        <v>147</v>
      </c>
      <c r="I53" s="51" t="s">
        <v>148</v>
      </c>
      <c r="J53" s="44" t="str">
        <f t="shared" si="4"/>
        <v>Não</v>
      </c>
      <c r="K53" s="57">
        <v>45293.0</v>
      </c>
      <c r="L53" s="45"/>
      <c r="M53" s="24" t="s">
        <v>149</v>
      </c>
      <c r="N53" s="58">
        <v>0.0</v>
      </c>
      <c r="O53" s="9" t="s">
        <v>24</v>
      </c>
      <c r="P53" s="59">
        <v>0.0</v>
      </c>
      <c r="Q53" s="63"/>
      <c r="R53" s="99" t="s">
        <v>306</v>
      </c>
      <c r="S53" s="24" t="s">
        <v>108</v>
      </c>
      <c r="T53" s="24" t="s">
        <v>304</v>
      </c>
      <c r="U53" s="9" t="s">
        <v>29</v>
      </c>
      <c r="V53" s="51" t="str">
        <f t="shared" si="3"/>
        <v>Ativo</v>
      </c>
      <c r="W53" s="45"/>
      <c r="X53" s="52" t="s">
        <v>110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v>27090.56</v>
      </c>
      <c r="AU53" s="53">
        <f t="array" ref="AU53">XLOOKUP(C53,'PL TOTAL D0'!A:A,'PL TOTAL D0'!C:C,"")</f>
        <v>28007.68</v>
      </c>
    </row>
    <row r="54" ht="15.75" customHeight="1">
      <c r="A54" s="6" t="s">
        <v>43</v>
      </c>
      <c r="B54" s="55" t="s">
        <v>307</v>
      </c>
      <c r="C54" s="103" t="s">
        <v>308</v>
      </c>
      <c r="D54" s="9" t="s">
        <v>70</v>
      </c>
      <c r="E54" s="24" t="s">
        <v>29</v>
      </c>
      <c r="F54" s="11" t="s">
        <v>309</v>
      </c>
      <c r="G54" s="44" t="str">
        <f t="shared" si="1"/>
        <v>#N/A</v>
      </c>
      <c r="H54" s="51" t="s">
        <v>123</v>
      </c>
      <c r="I54" s="51" t="s">
        <v>24</v>
      </c>
      <c r="J54" s="44" t="str">
        <f t="shared" si="4"/>
        <v>Sim</v>
      </c>
      <c r="K54" s="57">
        <v>45475.0</v>
      </c>
      <c r="L54" s="45"/>
      <c r="M54" s="24" t="s">
        <v>55</v>
      </c>
      <c r="N54" s="58">
        <v>0.012</v>
      </c>
      <c r="O54" s="9" t="s">
        <v>24</v>
      </c>
      <c r="P54" s="59">
        <v>0.0</v>
      </c>
      <c r="Q54" s="6" t="s">
        <v>310</v>
      </c>
      <c r="R54" s="99"/>
      <c r="S54" s="24" t="s">
        <v>108</v>
      </c>
      <c r="T54" s="24" t="s">
        <v>311</v>
      </c>
      <c r="U54" s="9" t="s">
        <v>29</v>
      </c>
      <c r="V54" s="51" t="str">
        <f t="shared" si="3"/>
        <v>Ativo</v>
      </c>
      <c r="W54" s="24" t="s">
        <v>63</v>
      </c>
      <c r="X54" s="52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3"/>
      <c r="AQ54" s="53"/>
      <c r="AR54" s="53"/>
      <c r="AS54" s="53"/>
      <c r="AT54" s="53"/>
      <c r="AU54" s="53" t="str">
        <f t="array" ref="AU54">XLOOKUP(C54,'PL TOTAL D0'!A:A,'PL TOTAL D0'!C:C,"")</f>
        <v/>
      </c>
    </row>
    <row r="55" ht="15.75" customHeight="1">
      <c r="A55" s="41" t="s">
        <v>43</v>
      </c>
      <c r="B55" s="42" t="s">
        <v>312</v>
      </c>
      <c r="C55" s="104" t="s">
        <v>313</v>
      </c>
      <c r="D55" s="44" t="s">
        <v>18</v>
      </c>
      <c r="E55" s="45" t="s">
        <v>29</v>
      </c>
      <c r="F55" s="44" t="s">
        <v>60</v>
      </c>
      <c r="G55" s="44" t="str">
        <f t="shared" si="1"/>
        <v>Breno</v>
      </c>
      <c r="H55" s="46" t="s">
        <v>107</v>
      </c>
      <c r="I55" s="46" t="s">
        <v>24</v>
      </c>
      <c r="J55" s="44" t="str">
        <f t="shared" si="4"/>
        <v>Não</v>
      </c>
      <c r="K55" s="47">
        <v>45202.0</v>
      </c>
      <c r="L55" s="62"/>
      <c r="M55" s="45" t="s">
        <v>55</v>
      </c>
      <c r="N55" s="48">
        <v>0.0</v>
      </c>
      <c r="O55" s="44" t="s">
        <v>24</v>
      </c>
      <c r="P55" s="49">
        <v>0.0</v>
      </c>
      <c r="Q55" s="50"/>
      <c r="R55" s="41"/>
      <c r="S55" s="45" t="s">
        <v>108</v>
      </c>
      <c r="T55" s="24" t="s">
        <v>314</v>
      </c>
      <c r="U55" s="9" t="s">
        <v>29</v>
      </c>
      <c r="V55" s="51" t="str">
        <f t="shared" si="3"/>
        <v>Ativo</v>
      </c>
      <c r="W55" s="45"/>
      <c r="X55" s="52" t="s">
        <v>119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>
        <v>0.0</v>
      </c>
      <c r="AL55" s="54">
        <v>194378.52</v>
      </c>
      <c r="AM55" s="54">
        <v>674378.81</v>
      </c>
      <c r="AN55" s="54">
        <v>681890.11</v>
      </c>
      <c r="AO55" s="54">
        <v>677840.76</v>
      </c>
      <c r="AP55" s="53">
        <v>682786.1</v>
      </c>
      <c r="AQ55" s="53">
        <v>688196.81</v>
      </c>
      <c r="AR55" s="53">
        <v>682735.49</v>
      </c>
      <c r="AS55" s="53">
        <v>682566.4</v>
      </c>
      <c r="AT55" s="53">
        <v>687302.1</v>
      </c>
      <c r="AU55" s="53">
        <f t="array" ref="AU55">XLOOKUP(C55,'PL TOTAL D0'!A:A,'PL TOTAL D0'!C:C,"")</f>
        <v>691140.9</v>
      </c>
    </row>
    <row r="56" ht="15.75" customHeight="1">
      <c r="A56" s="41" t="s">
        <v>43</v>
      </c>
      <c r="B56" s="42" t="s">
        <v>315</v>
      </c>
      <c r="C56" s="43" t="s">
        <v>316</v>
      </c>
      <c r="D56" s="44" t="s">
        <v>18</v>
      </c>
      <c r="E56" s="45" t="s">
        <v>29</v>
      </c>
      <c r="F56" s="44" t="s">
        <v>294</v>
      </c>
      <c r="G56" s="44" t="str">
        <f t="shared" si="1"/>
        <v>Augusto</v>
      </c>
      <c r="H56" s="51" t="s">
        <v>147</v>
      </c>
      <c r="I56" s="51" t="s">
        <v>219</v>
      </c>
      <c r="J56" s="44" t="str">
        <f t="shared" si="4"/>
        <v>Não</v>
      </c>
      <c r="K56" s="47">
        <v>44973.0</v>
      </c>
      <c r="L56" s="45"/>
      <c r="M56" s="45" t="s">
        <v>55</v>
      </c>
      <c r="N56" s="48">
        <v>0.012</v>
      </c>
      <c r="O56" s="44" t="s">
        <v>24</v>
      </c>
      <c r="P56" s="49">
        <v>0.0</v>
      </c>
      <c r="Q56" s="60"/>
      <c r="R56" s="50"/>
      <c r="S56" s="45" t="s">
        <v>108</v>
      </c>
      <c r="T56" s="24" t="s">
        <v>317</v>
      </c>
      <c r="U56" s="9" t="s">
        <v>29</v>
      </c>
      <c r="V56" s="51" t="str">
        <f t="shared" si="3"/>
        <v>Ativo</v>
      </c>
      <c r="W56" s="45"/>
      <c r="X56" s="52" t="s">
        <v>119</v>
      </c>
      <c r="Y56" s="54"/>
      <c r="Z56" s="54"/>
      <c r="AA56" s="54"/>
      <c r="AB56" s="54"/>
      <c r="AC56" s="54">
        <v>0.0</v>
      </c>
      <c r="AD56" s="54">
        <v>205400.96</v>
      </c>
      <c r="AE56" s="54">
        <v>207992.18</v>
      </c>
      <c r="AF56" s="54">
        <v>191564.02</v>
      </c>
      <c r="AG56" s="54">
        <v>178117.61</v>
      </c>
      <c r="AH56" s="54">
        <v>179706.97</v>
      </c>
      <c r="AI56" s="54">
        <v>161227.33</v>
      </c>
      <c r="AJ56" s="54">
        <v>139805.06</v>
      </c>
      <c r="AK56" s="54">
        <v>114175.85</v>
      </c>
      <c r="AL56" s="54">
        <v>114006.86</v>
      </c>
      <c r="AM56" s="54">
        <v>97661.65</v>
      </c>
      <c r="AN56" s="54">
        <v>98971.16</v>
      </c>
      <c r="AO56" s="54">
        <v>84112.58</v>
      </c>
      <c r="AP56" s="53">
        <v>69883.43</v>
      </c>
      <c r="AQ56" s="53">
        <v>0.0</v>
      </c>
      <c r="AR56" s="53">
        <v>26.37</v>
      </c>
      <c r="AS56" s="53">
        <v>26.37</v>
      </c>
      <c r="AT56" s="53">
        <v>28.73</v>
      </c>
      <c r="AU56" s="53">
        <f t="array" ref="AU56">XLOOKUP(C56,'PL TOTAL D0'!A:A,'PL TOTAL D0'!C:C,"")</f>
        <v>28.73</v>
      </c>
    </row>
    <row r="57" ht="15.75" customHeight="1">
      <c r="A57" s="41" t="s">
        <v>43</v>
      </c>
      <c r="B57" s="42" t="s">
        <v>318</v>
      </c>
      <c r="C57" s="43" t="s">
        <v>319</v>
      </c>
      <c r="D57" s="44" t="s">
        <v>18</v>
      </c>
      <c r="E57" s="45" t="s">
        <v>19</v>
      </c>
      <c r="F57" s="44" t="s">
        <v>213</v>
      </c>
      <c r="G57" s="44" t="str">
        <f t="shared" si="1"/>
        <v>Augusto</v>
      </c>
      <c r="H57" s="51" t="s">
        <v>107</v>
      </c>
      <c r="I57" s="51" t="s">
        <v>24</v>
      </c>
      <c r="J57" s="44" t="str">
        <f t="shared" si="4"/>
        <v>Não</v>
      </c>
      <c r="K57" s="47">
        <v>44949.0</v>
      </c>
      <c r="L57" s="45"/>
      <c r="M57" s="45" t="s">
        <v>55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108</v>
      </c>
      <c r="T57" s="24" t="s">
        <v>320</v>
      </c>
      <c r="U57" s="9" t="s">
        <v>19</v>
      </c>
      <c r="V57" s="51" t="str">
        <f t="shared" si="3"/>
        <v>Ativo</v>
      </c>
      <c r="W57" s="45"/>
      <c r="X57" s="52" t="s">
        <v>119</v>
      </c>
      <c r="Y57" s="54"/>
      <c r="Z57" s="54"/>
      <c r="AA57" s="54"/>
      <c r="AB57" s="54"/>
      <c r="AC57" s="54">
        <v>488327.59</v>
      </c>
      <c r="AD57" s="54">
        <v>497674.32</v>
      </c>
      <c r="AE57" s="54">
        <v>487428.52</v>
      </c>
      <c r="AF57" s="54">
        <v>490845.49</v>
      </c>
      <c r="AG57" s="54">
        <v>414552.97</v>
      </c>
      <c r="AH57" s="54">
        <v>417043.39</v>
      </c>
      <c r="AI57" s="54">
        <v>419792.77</v>
      </c>
      <c r="AJ57" s="54">
        <v>391724.01</v>
      </c>
      <c r="AK57" s="54">
        <v>394426.75</v>
      </c>
      <c r="AL57" s="54">
        <v>384393.43</v>
      </c>
      <c r="AM57" s="54">
        <v>880468.69</v>
      </c>
      <c r="AN57" s="54">
        <v>481718.89</v>
      </c>
      <c r="AO57" s="54">
        <v>56915.16</v>
      </c>
      <c r="AP57" s="53">
        <v>50642.57</v>
      </c>
      <c r="AQ57" s="53">
        <v>51013.45</v>
      </c>
      <c r="AR57" s="53">
        <v>85.13</v>
      </c>
      <c r="AS57" s="53">
        <v>72.95</v>
      </c>
      <c r="AT57" s="53">
        <v>80306.81</v>
      </c>
      <c r="AU57" s="53">
        <f t="array" ref="AU57">XLOOKUP(C57,'PL TOTAL D0'!A:A,'PL TOTAL D0'!C:C,"")</f>
        <v>80611.77</v>
      </c>
    </row>
    <row r="58" ht="15.75" customHeight="1">
      <c r="A58" s="41" t="s">
        <v>43</v>
      </c>
      <c r="B58" s="42" t="s">
        <v>321</v>
      </c>
      <c r="C58" s="43" t="s">
        <v>322</v>
      </c>
      <c r="D58" s="44" t="s">
        <v>18</v>
      </c>
      <c r="E58" s="45" t="s">
        <v>19</v>
      </c>
      <c r="F58" s="44" t="s">
        <v>20</v>
      </c>
      <c r="G58" s="44" t="str">
        <f t="shared" si="1"/>
        <v>#N/A</v>
      </c>
      <c r="H58" s="46" t="s">
        <v>186</v>
      </c>
      <c r="I58" s="46" t="s">
        <v>24</v>
      </c>
      <c r="J58" s="44" t="str">
        <f t="shared" si="4"/>
        <v>Não</v>
      </c>
      <c r="K58" s="47">
        <v>44988.0</v>
      </c>
      <c r="L58" s="72">
        <v>45174.0</v>
      </c>
      <c r="M58" s="45" t="s">
        <v>55</v>
      </c>
      <c r="N58" s="48">
        <v>0.002</v>
      </c>
      <c r="O58" s="44" t="s">
        <v>24</v>
      </c>
      <c r="P58" s="49">
        <v>0.0</v>
      </c>
      <c r="Q58" s="74"/>
      <c r="R58" s="105" t="s">
        <v>323</v>
      </c>
      <c r="S58" s="45" t="s">
        <v>108</v>
      </c>
      <c r="T58" s="24" t="s">
        <v>324</v>
      </c>
      <c r="U58" s="9" t="s">
        <v>19</v>
      </c>
      <c r="V58" s="51" t="str">
        <f t="shared" si="3"/>
        <v>Encerrado</v>
      </c>
      <c r="W58" s="45"/>
      <c r="X58" s="52"/>
      <c r="Y58" s="54"/>
      <c r="Z58" s="54"/>
      <c r="AA58" s="54"/>
      <c r="AB58" s="54"/>
      <c r="AC58" s="54">
        <v>0.0</v>
      </c>
      <c r="AD58" s="54">
        <v>0.0</v>
      </c>
      <c r="AE58" s="54">
        <v>100841.03</v>
      </c>
      <c r="AF58" s="54">
        <v>101642.93</v>
      </c>
      <c r="AG58" s="54">
        <v>102937.17</v>
      </c>
      <c r="AH58" s="54">
        <v>104060.87</v>
      </c>
      <c r="AI58" s="54">
        <v>105138.59</v>
      </c>
      <c r="AJ58" s="54">
        <v>0.0</v>
      </c>
      <c r="AK58" s="54">
        <v>0.0</v>
      </c>
      <c r="AL58" s="54">
        <v>0.0</v>
      </c>
      <c r="AM58" s="54">
        <v>0.0</v>
      </c>
      <c r="AN58" s="54">
        <v>0.0</v>
      </c>
      <c r="AO58" s="54">
        <v>0.0</v>
      </c>
      <c r="AP58" s="53">
        <v>0.0</v>
      </c>
      <c r="AQ58" s="53">
        <v>0.0</v>
      </c>
      <c r="AR58" s="53">
        <v>0.0</v>
      </c>
      <c r="AS58" s="53">
        <v>0.0</v>
      </c>
      <c r="AT58" s="53">
        <v>0.0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325</v>
      </c>
      <c r="C59" s="43" t="s">
        <v>326</v>
      </c>
      <c r="D59" s="44" t="s">
        <v>18</v>
      </c>
      <c r="E59" s="45" t="s">
        <v>19</v>
      </c>
      <c r="F59" s="44" t="s">
        <v>20</v>
      </c>
      <c r="G59" s="44" t="str">
        <f t="shared" si="1"/>
        <v>Breno</v>
      </c>
      <c r="H59" s="46" t="s">
        <v>107</v>
      </c>
      <c r="I59" s="46" t="s">
        <v>24</v>
      </c>
      <c r="J59" s="44" t="str">
        <f t="shared" si="4"/>
        <v>Sim</v>
      </c>
      <c r="K59" s="47">
        <v>44973.0</v>
      </c>
      <c r="L59" s="45"/>
      <c r="M59" s="45" t="s">
        <v>47</v>
      </c>
      <c r="N59" s="48">
        <v>0.015</v>
      </c>
      <c r="O59" s="44" t="s">
        <v>48</v>
      </c>
      <c r="P59" s="49">
        <v>0.1</v>
      </c>
      <c r="Q59" s="60" t="s">
        <v>327</v>
      </c>
      <c r="R59" s="50"/>
      <c r="S59" s="45" t="s">
        <v>108</v>
      </c>
      <c r="T59" s="24" t="s">
        <v>328</v>
      </c>
      <c r="U59" s="9" t="s">
        <v>19</v>
      </c>
      <c r="V59" s="51" t="str">
        <f t="shared" si="3"/>
        <v>Ativo</v>
      </c>
      <c r="W59" s="45"/>
      <c r="X59" s="52" t="s">
        <v>119</v>
      </c>
      <c r="Y59" s="54"/>
      <c r="Z59" s="54"/>
      <c r="AA59" s="54"/>
      <c r="AB59" s="54"/>
      <c r="AC59" s="54"/>
      <c r="AD59" s="54">
        <v>378063.59</v>
      </c>
      <c r="AE59" s="54">
        <v>412014.46</v>
      </c>
      <c r="AF59" s="54">
        <v>415110.81</v>
      </c>
      <c r="AG59" s="54">
        <v>627525.17</v>
      </c>
      <c r="AH59" s="54">
        <v>640821.67</v>
      </c>
      <c r="AI59" s="54">
        <v>648299.81</v>
      </c>
      <c r="AJ59" s="54">
        <v>645446.74</v>
      </c>
      <c r="AK59" s="54">
        <v>647232.4</v>
      </c>
      <c r="AL59" s="54">
        <v>648936.31</v>
      </c>
      <c r="AM59" s="54">
        <v>658994.24</v>
      </c>
      <c r="AN59" s="54">
        <v>668204.47</v>
      </c>
      <c r="AO59" s="54">
        <v>670288.78</v>
      </c>
      <c r="AP59" s="53">
        <v>673873.7</v>
      </c>
      <c r="AQ59" s="53">
        <v>680459.13</v>
      </c>
      <c r="AR59" s="53">
        <v>670476.35</v>
      </c>
      <c r="AS59" s="53">
        <v>671584.1</v>
      </c>
      <c r="AT59" s="53">
        <v>573746.1</v>
      </c>
      <c r="AU59" s="53">
        <f t="array" ref="AU59">XLOOKUP(C59,'PL TOTAL D0'!A:A,'PL TOTAL D0'!C:C,"")</f>
        <v>583473.3</v>
      </c>
    </row>
    <row r="60" ht="15.75" customHeight="1">
      <c r="A60" s="41" t="s">
        <v>43</v>
      </c>
      <c r="B60" s="42" t="s">
        <v>329</v>
      </c>
      <c r="C60" s="43" t="s">
        <v>330</v>
      </c>
      <c r="D60" s="44" t="s">
        <v>18</v>
      </c>
      <c r="E60" s="45" t="s">
        <v>19</v>
      </c>
      <c r="F60" s="44" t="s">
        <v>122</v>
      </c>
      <c r="G60" s="44" t="str">
        <f t="shared" si="1"/>
        <v>Augusto</v>
      </c>
      <c r="H60" s="46" t="s">
        <v>107</v>
      </c>
      <c r="I60" s="46" t="s">
        <v>24</v>
      </c>
      <c r="J60" s="44" t="str">
        <f t="shared" si="4"/>
        <v>Não</v>
      </c>
      <c r="K60" s="47">
        <v>45086.0</v>
      </c>
      <c r="L60" s="62"/>
      <c r="M60" s="45" t="s">
        <v>55</v>
      </c>
      <c r="N60" s="48">
        <v>0.012</v>
      </c>
      <c r="O60" s="44" t="s">
        <v>24</v>
      </c>
      <c r="P60" s="49">
        <v>0.0</v>
      </c>
      <c r="Q60" s="50"/>
      <c r="R60" s="50"/>
      <c r="S60" s="45" t="s">
        <v>108</v>
      </c>
      <c r="T60" s="24" t="s">
        <v>331</v>
      </c>
      <c r="U60" s="9" t="s">
        <v>29</v>
      </c>
      <c r="V60" s="51" t="str">
        <f t="shared" si="3"/>
        <v>Ativo</v>
      </c>
      <c r="W60" s="45"/>
      <c r="X60" s="52" t="s">
        <v>119</v>
      </c>
      <c r="Y60" s="54"/>
      <c r="Z60" s="54"/>
      <c r="AA60" s="54"/>
      <c r="AB60" s="54"/>
      <c r="AC60" s="54"/>
      <c r="AD60" s="54"/>
      <c r="AE60" s="54"/>
      <c r="AF60" s="54"/>
      <c r="AG60" s="54"/>
      <c r="AH60" s="54">
        <v>100410.67</v>
      </c>
      <c r="AI60" s="54">
        <v>101431.94</v>
      </c>
      <c r="AJ60" s="54">
        <v>102078.59</v>
      </c>
      <c r="AK60" s="54">
        <v>97069.76</v>
      </c>
      <c r="AL60" s="54">
        <v>97860.25</v>
      </c>
      <c r="AM60" s="54">
        <v>98666.32</v>
      </c>
      <c r="AN60" s="54">
        <v>99541.39</v>
      </c>
      <c r="AO60" s="54">
        <v>90200.82</v>
      </c>
      <c r="AP60" s="53">
        <v>90926.93</v>
      </c>
      <c r="AQ60" s="53">
        <v>43467.77</v>
      </c>
      <c r="AR60" s="53">
        <v>43687.14</v>
      </c>
      <c r="AS60" s="53">
        <v>44032.35</v>
      </c>
      <c r="AT60" s="53">
        <v>36453.73</v>
      </c>
      <c r="AU60" s="53">
        <f t="array" ref="AU60">XLOOKUP(C60,'PL TOTAL D0'!A:A,'PL TOTAL D0'!C:C,"")</f>
        <v>36623.36</v>
      </c>
    </row>
    <row r="61" ht="15.75" customHeight="1">
      <c r="A61" s="41" t="s">
        <v>43</v>
      </c>
      <c r="B61" s="55" t="s">
        <v>332</v>
      </c>
      <c r="C61" s="56" t="s">
        <v>333</v>
      </c>
      <c r="D61" s="9" t="s">
        <v>18</v>
      </c>
      <c r="E61" s="24" t="s">
        <v>29</v>
      </c>
      <c r="F61" s="9" t="s">
        <v>334</v>
      </c>
      <c r="G61" s="44" t="str">
        <f t="shared" si="1"/>
        <v>#N/A</v>
      </c>
      <c r="H61" s="51" t="s">
        <v>123</v>
      </c>
      <c r="I61" s="51" t="s">
        <v>24</v>
      </c>
      <c r="J61" s="44" t="str">
        <f t="shared" si="4"/>
        <v>Não</v>
      </c>
      <c r="K61" s="57">
        <v>45454.0</v>
      </c>
      <c r="L61" s="62"/>
      <c r="M61" s="24" t="s">
        <v>55</v>
      </c>
      <c r="N61" s="58">
        <v>0.012</v>
      </c>
      <c r="O61" s="9" t="s">
        <v>24</v>
      </c>
      <c r="P61" s="59">
        <v>0.0</v>
      </c>
      <c r="Q61" s="50"/>
      <c r="R61" s="50"/>
      <c r="S61" s="24" t="s">
        <v>108</v>
      </c>
      <c r="T61" s="24" t="s">
        <v>335</v>
      </c>
      <c r="U61" s="9" t="s">
        <v>29</v>
      </c>
      <c r="V61" s="51" t="str">
        <f t="shared" si="3"/>
        <v>Ativo</v>
      </c>
      <c r="W61" s="24" t="s">
        <v>75</v>
      </c>
      <c r="X61" s="52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3"/>
      <c r="AQ61" s="53"/>
      <c r="AR61" s="53"/>
      <c r="AS61" s="53"/>
      <c r="AT61" s="53">
        <v>0.0</v>
      </c>
      <c r="AU61" s="53" t="str">
        <f t="array" ref="AU61">XLOOKUP(C61,'PL TOTAL D0'!A:A,'PL TOTAL D0'!C:C,"")</f>
        <v/>
      </c>
    </row>
    <row r="62" ht="15.75" customHeight="1">
      <c r="A62" s="41" t="s">
        <v>43</v>
      </c>
      <c r="B62" s="42" t="s">
        <v>336</v>
      </c>
      <c r="C62" s="43" t="s">
        <v>337</v>
      </c>
      <c r="D62" s="44" t="s">
        <v>18</v>
      </c>
      <c r="E62" s="45" t="s">
        <v>19</v>
      </c>
      <c r="F62" s="44" t="s">
        <v>122</v>
      </c>
      <c r="G62" s="44" t="str">
        <f t="shared" si="1"/>
        <v>#N/A</v>
      </c>
      <c r="H62" s="51" t="s">
        <v>147</v>
      </c>
      <c r="I62" s="46" t="s">
        <v>219</v>
      </c>
      <c r="J62" s="44" t="str">
        <f t="shared" si="4"/>
        <v>Não</v>
      </c>
      <c r="K62" s="47">
        <v>45012.0</v>
      </c>
      <c r="L62" s="45"/>
      <c r="M62" s="45" t="s">
        <v>55</v>
      </c>
      <c r="N62" s="48">
        <v>0.012</v>
      </c>
      <c r="O62" s="44" t="s">
        <v>24</v>
      </c>
      <c r="P62" s="49">
        <v>0.0</v>
      </c>
      <c r="Q62" s="50"/>
      <c r="R62" s="50"/>
      <c r="S62" s="45" t="s">
        <v>108</v>
      </c>
      <c r="T62" s="24" t="s">
        <v>338</v>
      </c>
      <c r="U62" s="9" t="s">
        <v>19</v>
      </c>
      <c r="V62" s="51" t="str">
        <f t="shared" si="3"/>
        <v>Ativo</v>
      </c>
      <c r="W62" s="45"/>
      <c r="X62" s="52" t="s">
        <v>119</v>
      </c>
      <c r="Y62" s="54"/>
      <c r="Z62" s="54"/>
      <c r="AA62" s="54"/>
      <c r="AB62" s="54"/>
      <c r="AC62" s="54"/>
      <c r="AD62" s="54">
        <v>0.0</v>
      </c>
      <c r="AE62" s="54">
        <v>1348.85</v>
      </c>
      <c r="AF62" s="54">
        <v>0.0</v>
      </c>
      <c r="AG62" s="54">
        <v>0.0</v>
      </c>
      <c r="AH62" s="54">
        <v>0.0</v>
      </c>
      <c r="AI62" s="54">
        <v>0.0</v>
      </c>
      <c r="AJ62" s="54">
        <v>0.0</v>
      </c>
      <c r="AK62" s="54">
        <v>0.0</v>
      </c>
      <c r="AL62" s="54">
        <v>0.0</v>
      </c>
      <c r="AM62" s="54">
        <v>0.0</v>
      </c>
      <c r="AN62" s="54">
        <v>0.0</v>
      </c>
      <c r="AO62" s="54">
        <v>0.0</v>
      </c>
      <c r="AP62" s="53">
        <v>0.0</v>
      </c>
      <c r="AQ62" s="53">
        <v>0.0</v>
      </c>
      <c r="AR62" s="53">
        <v>0.0</v>
      </c>
      <c r="AS62" s="53">
        <v>0.0</v>
      </c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6" t="s">
        <v>43</v>
      </c>
      <c r="B63" s="55" t="s">
        <v>339</v>
      </c>
      <c r="C63" s="56" t="s">
        <v>340</v>
      </c>
      <c r="D63" s="9" t="s">
        <v>70</v>
      </c>
      <c r="E63" s="24" t="s">
        <v>29</v>
      </c>
      <c r="F63" s="9" t="s">
        <v>309</v>
      </c>
      <c r="G63" s="44" t="str">
        <f t="shared" si="1"/>
        <v>Breno</v>
      </c>
      <c r="H63" s="51" t="s">
        <v>107</v>
      </c>
      <c r="I63" s="51" t="s">
        <v>24</v>
      </c>
      <c r="J63" s="44" t="str">
        <f t="shared" si="4"/>
        <v>Sim</v>
      </c>
      <c r="K63" s="57">
        <v>45323.0</v>
      </c>
      <c r="L63" s="45"/>
      <c r="M63" s="24" t="s">
        <v>55</v>
      </c>
      <c r="N63" s="58">
        <v>0.012</v>
      </c>
      <c r="O63" s="9" t="s">
        <v>24</v>
      </c>
      <c r="P63" s="59">
        <v>0.0</v>
      </c>
      <c r="Q63" s="15" t="s">
        <v>341</v>
      </c>
      <c r="R63" s="50"/>
      <c r="S63" s="24" t="s">
        <v>108</v>
      </c>
      <c r="T63" s="24" t="s">
        <v>342</v>
      </c>
      <c r="U63" s="9" t="s">
        <v>29</v>
      </c>
      <c r="V63" s="51" t="str">
        <f t="shared" si="3"/>
        <v>Ativo</v>
      </c>
      <c r="W63" s="45"/>
      <c r="X63" s="52" t="s">
        <v>110</v>
      </c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>
        <v>428703.97</v>
      </c>
      <c r="AP63" s="53">
        <v>603129.69</v>
      </c>
      <c r="AQ63" s="53">
        <v>607761.38</v>
      </c>
      <c r="AR63" s="53">
        <v>611000.0</v>
      </c>
      <c r="AS63" s="53">
        <v>615584.5</v>
      </c>
      <c r="AT63" s="53">
        <v>619982.2</v>
      </c>
      <c r="AU63" s="53">
        <f t="array" ref="AU63">XLOOKUP(C63,'PL TOTAL D0'!A:A,'PL TOTAL D0'!C:C,"")</f>
        <v>622069.6</v>
      </c>
    </row>
    <row r="64" ht="15.75" customHeight="1">
      <c r="A64" s="41" t="s">
        <v>43</v>
      </c>
      <c r="B64" s="61" t="s">
        <v>343</v>
      </c>
      <c r="C64" s="43" t="s">
        <v>344</v>
      </c>
      <c r="D64" s="44" t="s">
        <v>18</v>
      </c>
      <c r="E64" s="45" t="s">
        <v>176</v>
      </c>
      <c r="F64" s="44" t="s">
        <v>177</v>
      </c>
      <c r="G64" s="44" t="str">
        <f t="shared" si="1"/>
        <v>Bruno</v>
      </c>
      <c r="H64" s="46" t="s">
        <v>107</v>
      </c>
      <c r="I64" s="46" t="s">
        <v>24</v>
      </c>
      <c r="J64" s="44" t="str">
        <f t="shared" si="4"/>
        <v>Não</v>
      </c>
      <c r="K64" s="47">
        <v>45035.0</v>
      </c>
      <c r="L64" s="45"/>
      <c r="M64" s="45" t="s">
        <v>79</v>
      </c>
      <c r="N64" s="48">
        <v>0.012</v>
      </c>
      <c r="O64" s="44" t="s">
        <v>24</v>
      </c>
      <c r="P64" s="49">
        <v>0.0</v>
      </c>
      <c r="Q64" s="50"/>
      <c r="R64" s="60" t="s">
        <v>345</v>
      </c>
      <c r="S64" s="45" t="s">
        <v>108</v>
      </c>
      <c r="T64" s="24" t="s">
        <v>346</v>
      </c>
      <c r="U64" s="9" t="s">
        <v>152</v>
      </c>
      <c r="V64" s="51" t="str">
        <f t="shared" si="3"/>
        <v>Ativo</v>
      </c>
      <c r="W64" s="45"/>
      <c r="X64" s="52" t="s">
        <v>119</v>
      </c>
      <c r="Y64" s="54"/>
      <c r="Z64" s="54"/>
      <c r="AA64" s="54"/>
      <c r="AB64" s="54"/>
      <c r="AC64" s="54"/>
      <c r="AD64" s="54"/>
      <c r="AE64" s="54">
        <v>0.0</v>
      </c>
      <c r="AF64" s="54">
        <v>2338313.82</v>
      </c>
      <c r="AG64" s="54">
        <v>2484801.55</v>
      </c>
      <c r="AH64" s="54">
        <v>2522741.14</v>
      </c>
      <c r="AI64" s="54">
        <v>5935459.35</v>
      </c>
      <c r="AJ64" s="54">
        <v>5957345.32</v>
      </c>
      <c r="AK64" s="54">
        <v>6005596.18</v>
      </c>
      <c r="AL64" s="54">
        <v>6026667.02</v>
      </c>
      <c r="AM64" s="54">
        <v>6098388.92</v>
      </c>
      <c r="AN64" s="54">
        <v>6183506.47</v>
      </c>
      <c r="AO64" s="54">
        <v>6198048.03</v>
      </c>
      <c r="AP64" s="53">
        <v>6242860.74</v>
      </c>
      <c r="AQ64" s="53">
        <v>6273001.62</v>
      </c>
      <c r="AR64" s="53">
        <v>6221345.06</v>
      </c>
      <c r="AS64" s="53">
        <v>6244633.0</v>
      </c>
      <c r="AT64" s="53">
        <v>6274035.0</v>
      </c>
      <c r="AU64" s="53">
        <f t="array" ref="AU64">XLOOKUP(C64,'PL TOTAL D0'!A:A,'PL TOTAL D0'!C:C,"")</f>
        <v>6321927</v>
      </c>
    </row>
    <row r="65" ht="15.75" customHeight="1">
      <c r="A65" s="41" t="s">
        <v>43</v>
      </c>
      <c r="B65" s="42" t="s">
        <v>347</v>
      </c>
      <c r="C65" s="43" t="s">
        <v>348</v>
      </c>
      <c r="D65" s="44" t="s">
        <v>18</v>
      </c>
      <c r="E65" s="45" t="s">
        <v>29</v>
      </c>
      <c r="F65" s="44" t="s">
        <v>168</v>
      </c>
      <c r="G65" s="44" t="str">
        <f t="shared" si="1"/>
        <v>Breno</v>
      </c>
      <c r="H65" s="46" t="s">
        <v>107</v>
      </c>
      <c r="I65" s="46" t="s">
        <v>24</v>
      </c>
      <c r="J65" s="44" t="str">
        <f t="shared" si="4"/>
        <v>Sim</v>
      </c>
      <c r="K65" s="47">
        <v>44985.0</v>
      </c>
      <c r="L65" s="45"/>
      <c r="M65" s="45" t="s">
        <v>55</v>
      </c>
      <c r="N65" s="48">
        <v>0.012</v>
      </c>
      <c r="O65" s="44" t="s">
        <v>24</v>
      </c>
      <c r="P65" s="49">
        <v>0.0</v>
      </c>
      <c r="Q65" s="76" t="s">
        <v>349</v>
      </c>
      <c r="R65" s="50"/>
      <c r="S65" s="45" t="s">
        <v>108</v>
      </c>
      <c r="T65" s="24" t="s">
        <v>350</v>
      </c>
      <c r="U65" s="9" t="s">
        <v>29</v>
      </c>
      <c r="V65" s="51" t="str">
        <f t="shared" si="3"/>
        <v>Ativo</v>
      </c>
      <c r="W65" s="45"/>
      <c r="X65" s="52" t="s">
        <v>119</v>
      </c>
      <c r="Y65" s="54"/>
      <c r="Z65" s="54"/>
      <c r="AA65" s="54"/>
      <c r="AB65" s="54"/>
      <c r="AC65" s="54"/>
      <c r="AD65" s="54">
        <v>560421.19</v>
      </c>
      <c r="AE65" s="54">
        <v>916687.06</v>
      </c>
      <c r="AF65" s="54">
        <v>922926.96</v>
      </c>
      <c r="AG65" s="54">
        <v>930674.54</v>
      </c>
      <c r="AH65" s="54">
        <v>939224.97</v>
      </c>
      <c r="AI65" s="54">
        <v>946529.43</v>
      </c>
      <c r="AJ65" s="54">
        <v>678596.76</v>
      </c>
      <c r="AK65" s="54">
        <v>684079.55</v>
      </c>
      <c r="AL65" s="54">
        <v>690269.86</v>
      </c>
      <c r="AM65" s="54">
        <v>694735.41</v>
      </c>
      <c r="AN65" s="54">
        <v>700472.95</v>
      </c>
      <c r="AO65" s="54">
        <v>706805.5</v>
      </c>
      <c r="AP65" s="53">
        <v>712203.48</v>
      </c>
      <c r="AQ65" s="53">
        <v>718812.51</v>
      </c>
      <c r="AR65" s="53">
        <v>724821.85</v>
      </c>
      <c r="AS65" s="53">
        <v>729942.1</v>
      </c>
      <c r="AT65" s="53">
        <v>730139.3</v>
      </c>
      <c r="AU65" s="53">
        <f t="array" ref="AU65">XLOOKUP(C65,'PL TOTAL D0'!A:A,'PL TOTAL D0'!C:C,"")</f>
        <v>580260.7</v>
      </c>
    </row>
    <row r="66" ht="15.75" customHeight="1">
      <c r="A66" s="41" t="s">
        <v>43</v>
      </c>
      <c r="B66" s="42" t="s">
        <v>351</v>
      </c>
      <c r="C66" s="43" t="s">
        <v>352</v>
      </c>
      <c r="D66" s="44" t="s">
        <v>18</v>
      </c>
      <c r="E66" s="45" t="s">
        <v>176</v>
      </c>
      <c r="F66" s="44" t="s">
        <v>197</v>
      </c>
      <c r="G66" s="44" t="str">
        <f t="shared" si="1"/>
        <v>Bruno</v>
      </c>
      <c r="H66" s="46" t="s">
        <v>107</v>
      </c>
      <c r="I66" s="46" t="s">
        <v>24</v>
      </c>
      <c r="J66" s="44" t="str">
        <f t="shared" si="4"/>
        <v>Não</v>
      </c>
      <c r="K66" s="47">
        <v>45096.0</v>
      </c>
      <c r="L66" s="45"/>
      <c r="M66" s="45" t="s">
        <v>47</v>
      </c>
      <c r="N66" s="48">
        <v>0.015</v>
      </c>
      <c r="O66" s="44" t="s">
        <v>48</v>
      </c>
      <c r="P66" s="49">
        <v>0.1</v>
      </c>
      <c r="Q66" s="50"/>
      <c r="R66" s="50"/>
      <c r="S66" s="45" t="s">
        <v>108</v>
      </c>
      <c r="T66" s="24" t="s">
        <v>353</v>
      </c>
      <c r="U66" s="9" t="s">
        <v>180</v>
      </c>
      <c r="V66" s="51" t="str">
        <f t="shared" si="3"/>
        <v>Ativo</v>
      </c>
      <c r="W66" s="45"/>
      <c r="X66" s="52" t="s">
        <v>110</v>
      </c>
      <c r="Y66" s="54"/>
      <c r="Z66" s="54"/>
      <c r="AA66" s="54"/>
      <c r="AB66" s="54"/>
      <c r="AC66" s="54"/>
      <c r="AD66" s="54"/>
      <c r="AE66" s="54"/>
      <c r="AF66" s="54">
        <v>0.0</v>
      </c>
      <c r="AG66" s="54">
        <v>0.0</v>
      </c>
      <c r="AH66" s="54">
        <v>1903309.48</v>
      </c>
      <c r="AI66" s="54">
        <v>1910989.17</v>
      </c>
      <c r="AJ66" s="54">
        <v>1904031.27</v>
      </c>
      <c r="AK66" s="54">
        <v>1911128.37</v>
      </c>
      <c r="AL66" s="54">
        <v>1905968.81</v>
      </c>
      <c r="AM66" s="54">
        <v>1953970.63</v>
      </c>
      <c r="AN66" s="54">
        <v>1991456.49</v>
      </c>
      <c r="AO66" s="54">
        <v>1962597.82</v>
      </c>
      <c r="AP66" s="53">
        <v>1976819.21</v>
      </c>
      <c r="AQ66" s="53">
        <v>1998699.75</v>
      </c>
      <c r="AR66" s="53">
        <v>1962590.62</v>
      </c>
      <c r="AS66" s="53">
        <v>1954476.0</v>
      </c>
      <c r="AT66" s="53">
        <v>1967081.0</v>
      </c>
      <c r="AU66" s="53">
        <f t="array" ref="AU66">XLOOKUP(C66,'PL TOTAL D0'!A:A,'PL TOTAL D0'!C:C,"")</f>
        <v>1996613</v>
      </c>
    </row>
    <row r="67" ht="15.75" customHeight="1">
      <c r="A67" s="41" t="s">
        <v>43</v>
      </c>
      <c r="B67" s="106" t="s">
        <v>354</v>
      </c>
      <c r="C67" s="107" t="s">
        <v>355</v>
      </c>
      <c r="D67" s="9" t="s">
        <v>105</v>
      </c>
      <c r="E67" s="24" t="s">
        <v>29</v>
      </c>
      <c r="F67" s="9" t="s">
        <v>356</v>
      </c>
      <c r="G67" s="44" t="str">
        <f t="shared" si="1"/>
        <v>Augusto</v>
      </c>
      <c r="H67" s="51" t="s">
        <v>107</v>
      </c>
      <c r="I67" s="51" t="s">
        <v>24</v>
      </c>
      <c r="J67" s="44" t="str">
        <f t="shared" si="4"/>
        <v>Sim</v>
      </c>
      <c r="K67" s="57">
        <v>45432.0</v>
      </c>
      <c r="L67" s="45"/>
      <c r="M67" s="24" t="s">
        <v>79</v>
      </c>
      <c r="N67" s="58">
        <v>0.014</v>
      </c>
      <c r="O67" s="9" t="s">
        <v>48</v>
      </c>
      <c r="P67" s="59">
        <v>0.1</v>
      </c>
      <c r="Q67" s="25" t="s">
        <v>357</v>
      </c>
      <c r="R67" s="50"/>
      <c r="S67" s="24" t="s">
        <v>108</v>
      </c>
      <c r="T67" s="23" t="s">
        <v>358</v>
      </c>
      <c r="U67" s="9" t="s">
        <v>29</v>
      </c>
      <c r="V67" s="51" t="str">
        <f t="shared" si="3"/>
        <v>Ativo</v>
      </c>
      <c r="W67" s="24" t="s">
        <v>67</v>
      </c>
      <c r="X67" s="5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3"/>
      <c r="AQ67" s="53"/>
      <c r="AR67" s="53"/>
      <c r="AS67" s="53">
        <v>169168.6</v>
      </c>
      <c r="AT67" s="53">
        <v>170497.2</v>
      </c>
      <c r="AU67" s="53">
        <f t="array" ref="AU67">XLOOKUP(C67,'PL TOTAL D0'!A:A,'PL TOTAL D0'!C:C,"")</f>
        <v>302478</v>
      </c>
    </row>
    <row r="68" ht="15.75" customHeight="1">
      <c r="A68" s="41" t="s">
        <v>43</v>
      </c>
      <c r="B68" s="42" t="s">
        <v>359</v>
      </c>
      <c r="C68" s="43" t="s">
        <v>360</v>
      </c>
      <c r="D68" s="44" t="s">
        <v>18</v>
      </c>
      <c r="E68" s="45" t="s">
        <v>176</v>
      </c>
      <c r="F68" s="44" t="s">
        <v>177</v>
      </c>
      <c r="G68" s="44" t="str">
        <f t="shared" si="1"/>
        <v>Breno</v>
      </c>
      <c r="H68" s="46" t="s">
        <v>107</v>
      </c>
      <c r="I68" s="46" t="s">
        <v>24</v>
      </c>
      <c r="J68" s="44" t="str">
        <f t="shared" si="4"/>
        <v>Não</v>
      </c>
      <c r="K68" s="47">
        <v>45139.0</v>
      </c>
      <c r="L68" s="45"/>
      <c r="M68" s="45" t="s">
        <v>190</v>
      </c>
      <c r="N68" s="48">
        <v>0.0065</v>
      </c>
      <c r="O68" s="44" t="s">
        <v>191</v>
      </c>
      <c r="P68" s="49">
        <v>0.2</v>
      </c>
      <c r="Q68" s="50"/>
      <c r="R68" s="50"/>
      <c r="S68" s="45" t="s">
        <v>108</v>
      </c>
      <c r="T68" s="24" t="s">
        <v>361</v>
      </c>
      <c r="U68" s="9" t="s">
        <v>180</v>
      </c>
      <c r="V68" s="51" t="str">
        <f t="shared" si="3"/>
        <v>Ativo</v>
      </c>
      <c r="W68" s="45"/>
      <c r="X68" s="52" t="s">
        <v>110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>
        <v>0.0</v>
      </c>
      <c r="AJ68" s="54">
        <v>773124.25</v>
      </c>
      <c r="AK68" s="54">
        <v>771807.13</v>
      </c>
      <c r="AL68" s="54">
        <v>738799.22</v>
      </c>
      <c r="AM68" s="54">
        <v>795165.85</v>
      </c>
      <c r="AN68" s="54">
        <v>835269.28</v>
      </c>
      <c r="AO68" s="54">
        <v>777749.68</v>
      </c>
      <c r="AP68" s="53">
        <v>789707.18</v>
      </c>
      <c r="AQ68" s="53">
        <v>803507.43</v>
      </c>
      <c r="AR68" s="53">
        <v>771158.64</v>
      </c>
      <c r="AS68" s="53">
        <v>746237.7</v>
      </c>
      <c r="AT68" s="53">
        <v>748438.8</v>
      </c>
      <c r="AU68" s="53">
        <f t="array" ref="AU68">XLOOKUP(C68,'PL TOTAL D0'!A:A,'PL TOTAL D0'!C:C,"")</f>
        <v>782135.3</v>
      </c>
    </row>
    <row r="69" ht="15.75" customHeight="1">
      <c r="A69" s="41" t="s">
        <v>43</v>
      </c>
      <c r="B69" s="61" t="s">
        <v>359</v>
      </c>
      <c r="C69" s="43" t="s">
        <v>362</v>
      </c>
      <c r="D69" s="44" t="s">
        <v>18</v>
      </c>
      <c r="E69" s="45" t="s">
        <v>176</v>
      </c>
      <c r="F69" s="44" t="s">
        <v>177</v>
      </c>
      <c r="G69" s="44" t="str">
        <f t="shared" si="1"/>
        <v>Bruno</v>
      </c>
      <c r="H69" s="46" t="s">
        <v>107</v>
      </c>
      <c r="I69" s="46" t="s">
        <v>24</v>
      </c>
      <c r="J69" s="44" t="str">
        <f t="shared" si="4"/>
        <v>Não</v>
      </c>
      <c r="K69" s="47">
        <v>45012.0</v>
      </c>
      <c r="L69" s="45"/>
      <c r="M69" s="45" t="s">
        <v>55</v>
      </c>
      <c r="N69" s="48">
        <v>0.0065</v>
      </c>
      <c r="O69" s="44" t="s">
        <v>24</v>
      </c>
      <c r="P69" s="49">
        <v>0.0</v>
      </c>
      <c r="Q69" s="74"/>
      <c r="R69" s="60" t="s">
        <v>363</v>
      </c>
      <c r="S69" s="45" t="s">
        <v>108</v>
      </c>
      <c r="T69" s="24" t="s">
        <v>361</v>
      </c>
      <c r="U69" s="9" t="s">
        <v>180</v>
      </c>
      <c r="V69" s="51" t="str">
        <f t="shared" si="3"/>
        <v>Ativo</v>
      </c>
      <c r="W69" s="45"/>
      <c r="X69" s="52" t="s">
        <v>110</v>
      </c>
      <c r="Y69" s="54"/>
      <c r="Z69" s="54"/>
      <c r="AA69" s="54"/>
      <c r="AB69" s="54"/>
      <c r="AC69" s="54"/>
      <c r="AD69" s="54"/>
      <c r="AE69" s="54">
        <v>7449482.68</v>
      </c>
      <c r="AF69" s="54">
        <v>7434949.61</v>
      </c>
      <c r="AG69" s="54">
        <v>8788058.62</v>
      </c>
      <c r="AH69" s="54">
        <v>8874098.43</v>
      </c>
      <c r="AI69" s="54">
        <v>8956806.0</v>
      </c>
      <c r="AJ69" s="54">
        <v>8235068.8</v>
      </c>
      <c r="AK69" s="54">
        <v>8286387.7</v>
      </c>
      <c r="AL69" s="54">
        <v>8338874.47</v>
      </c>
      <c r="AM69" s="54">
        <v>8101725.94</v>
      </c>
      <c r="AN69" s="54">
        <v>8169228.5</v>
      </c>
      <c r="AO69" s="54">
        <v>8236926.36</v>
      </c>
      <c r="AP69" s="53">
        <v>8294948.26</v>
      </c>
      <c r="AQ69" s="53">
        <v>8080494.59</v>
      </c>
      <c r="AR69" s="53">
        <v>8140955.26</v>
      </c>
      <c r="AS69" s="53">
        <v>8199969.0</v>
      </c>
      <c r="AT69" s="53">
        <v>8268411.0</v>
      </c>
      <c r="AU69" s="53">
        <f t="array" ref="AU69">XLOOKUP(C69,'PL TOTAL D0'!A:A,'PL TOTAL D0'!C:C,"")</f>
        <v>8296573</v>
      </c>
    </row>
    <row r="70" ht="15.75" customHeight="1">
      <c r="A70" s="41" t="s">
        <v>43</v>
      </c>
      <c r="B70" s="42" t="s">
        <v>359</v>
      </c>
      <c r="C70" s="43" t="s">
        <v>364</v>
      </c>
      <c r="D70" s="44" t="s">
        <v>18</v>
      </c>
      <c r="E70" s="45" t="s">
        <v>176</v>
      </c>
      <c r="F70" s="44" t="s">
        <v>177</v>
      </c>
      <c r="G70" s="44" t="str">
        <f t="shared" si="1"/>
        <v>Augusto</v>
      </c>
      <c r="H70" s="46" t="s">
        <v>147</v>
      </c>
      <c r="I70" s="51" t="s">
        <v>148</v>
      </c>
      <c r="J70" s="44" t="str">
        <f t="shared" si="4"/>
        <v>Sim</v>
      </c>
      <c r="K70" s="47">
        <v>45163.0</v>
      </c>
      <c r="L70" s="45"/>
      <c r="M70" s="45" t="s">
        <v>190</v>
      </c>
      <c r="N70" s="48">
        <v>0.0</v>
      </c>
      <c r="O70" s="44" t="s">
        <v>24</v>
      </c>
      <c r="P70" s="49">
        <v>0.0</v>
      </c>
      <c r="Q70" s="108" t="s">
        <v>365</v>
      </c>
      <c r="R70" s="60" t="s">
        <v>366</v>
      </c>
      <c r="S70" s="45" t="s">
        <v>108</v>
      </c>
      <c r="T70" s="24" t="s">
        <v>361</v>
      </c>
      <c r="U70" s="9" t="s">
        <v>180</v>
      </c>
      <c r="V70" s="51" t="str">
        <f t="shared" si="3"/>
        <v>Ativo</v>
      </c>
      <c r="W70" s="45"/>
      <c r="X70" s="52" t="s">
        <v>110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>
        <v>0.0</v>
      </c>
      <c r="AK70" s="54">
        <v>6102.0</v>
      </c>
      <c r="AL70" s="54">
        <v>7514.41</v>
      </c>
      <c r="AM70" s="54">
        <v>9904.51</v>
      </c>
      <c r="AN70" s="54">
        <v>12040.4</v>
      </c>
      <c r="AO70" s="54">
        <v>12904.64</v>
      </c>
      <c r="AP70" s="53">
        <v>14539.84</v>
      </c>
      <c r="AQ70" s="53">
        <v>15935.1</v>
      </c>
      <c r="AR70" s="53">
        <v>17176.7</v>
      </c>
      <c r="AS70" s="53">
        <v>18069.89</v>
      </c>
      <c r="AT70" s="53">
        <v>19852.56</v>
      </c>
      <c r="AU70" s="53">
        <f t="array" ref="AU70">XLOOKUP(C70,'PL TOTAL D0'!A:A,'PL TOTAL D0'!C:C,"")</f>
        <v>22213.14</v>
      </c>
    </row>
    <row r="71" ht="15.75" customHeight="1">
      <c r="A71" s="41" t="s">
        <v>43</v>
      </c>
      <c r="B71" s="42" t="s">
        <v>367</v>
      </c>
      <c r="C71" s="43" t="s">
        <v>368</v>
      </c>
      <c r="D71" s="44" t="s">
        <v>18</v>
      </c>
      <c r="E71" s="45" t="s">
        <v>19</v>
      </c>
      <c r="F71" s="44" t="s">
        <v>20</v>
      </c>
      <c r="G71" s="44" t="str">
        <f t="shared" si="1"/>
        <v>Augusto</v>
      </c>
      <c r="H71" s="46" t="s">
        <v>107</v>
      </c>
      <c r="I71" s="46" t="s">
        <v>24</v>
      </c>
      <c r="J71" s="44" t="str">
        <f t="shared" si="4"/>
        <v>Não</v>
      </c>
      <c r="K71" s="47">
        <v>45006.0</v>
      </c>
      <c r="L71" s="45"/>
      <c r="M71" s="45" t="s">
        <v>55</v>
      </c>
      <c r="N71" s="48">
        <v>0.012</v>
      </c>
      <c r="O71" s="44" t="s">
        <v>24</v>
      </c>
      <c r="P71" s="49">
        <v>0.0</v>
      </c>
      <c r="Q71" s="50"/>
      <c r="R71" s="50"/>
      <c r="S71" s="45" t="s">
        <v>369</v>
      </c>
      <c r="T71" s="24" t="s">
        <v>370</v>
      </c>
      <c r="U71" s="9" t="s">
        <v>19</v>
      </c>
      <c r="V71" s="51" t="str">
        <f t="shared" si="3"/>
        <v>Ativo</v>
      </c>
      <c r="W71" s="45"/>
      <c r="X71" s="52" t="s">
        <v>119</v>
      </c>
      <c r="Y71" s="54"/>
      <c r="Z71" s="54"/>
      <c r="AA71" s="54"/>
      <c r="AB71" s="54"/>
      <c r="AC71" s="54"/>
      <c r="AD71" s="54"/>
      <c r="AE71" s="54">
        <v>140275.53</v>
      </c>
      <c r="AF71" s="54">
        <v>142994.83</v>
      </c>
      <c r="AG71" s="54">
        <v>146491.67</v>
      </c>
      <c r="AH71" s="54">
        <v>149699.12</v>
      </c>
      <c r="AI71" s="54">
        <v>151065.74</v>
      </c>
      <c r="AJ71" s="54">
        <v>151119.77</v>
      </c>
      <c r="AK71" s="54">
        <v>149512.97</v>
      </c>
      <c r="AL71" s="54">
        <v>239681.0</v>
      </c>
      <c r="AM71" s="54">
        <v>242849.11</v>
      </c>
      <c r="AN71" s="54">
        <v>246542.64</v>
      </c>
      <c r="AO71" s="54">
        <v>248220.18</v>
      </c>
      <c r="AP71" s="53">
        <v>251027.22</v>
      </c>
      <c r="AQ71" s="53">
        <v>252228.48</v>
      </c>
      <c r="AR71" s="53">
        <v>250223.77</v>
      </c>
      <c r="AS71" s="53">
        <v>252643.0</v>
      </c>
      <c r="AT71" s="53">
        <v>252054.2</v>
      </c>
      <c r="AU71" s="53">
        <f t="array" ref="AU71">XLOOKUP(C71,'PL TOTAL D0'!A:A,'PL TOTAL D0'!C:C,"")</f>
        <v>255378.6</v>
      </c>
    </row>
    <row r="72" ht="15.75" customHeight="1">
      <c r="A72" s="41" t="s">
        <v>43</v>
      </c>
      <c r="B72" s="42" t="s">
        <v>371</v>
      </c>
      <c r="C72" s="43" t="s">
        <v>372</v>
      </c>
      <c r="D72" s="44" t="s">
        <v>18</v>
      </c>
      <c r="E72" s="45" t="s">
        <v>29</v>
      </c>
      <c r="F72" s="44" t="s">
        <v>373</v>
      </c>
      <c r="G72" s="44" t="str">
        <f t="shared" si="1"/>
        <v>#N/A</v>
      </c>
      <c r="H72" s="46" t="s">
        <v>147</v>
      </c>
      <c r="I72" s="51" t="s">
        <v>148</v>
      </c>
      <c r="J72" s="44" t="str">
        <f t="shared" si="4"/>
        <v>Sim</v>
      </c>
      <c r="K72" s="47">
        <v>44988.0</v>
      </c>
      <c r="L72" s="45"/>
      <c r="M72" s="45" t="s">
        <v>149</v>
      </c>
      <c r="N72" s="48">
        <v>0.0</v>
      </c>
      <c r="O72" s="44" t="s">
        <v>24</v>
      </c>
      <c r="P72" s="49">
        <v>0.0</v>
      </c>
      <c r="Q72" s="60" t="s">
        <v>374</v>
      </c>
      <c r="R72" s="50"/>
      <c r="S72" s="45" t="s">
        <v>369</v>
      </c>
      <c r="T72" s="24" t="s">
        <v>375</v>
      </c>
      <c r="U72" s="9" t="s">
        <v>34</v>
      </c>
      <c r="V72" s="51" t="str">
        <f t="shared" si="3"/>
        <v>Ativo</v>
      </c>
      <c r="W72" s="45"/>
      <c r="X72" s="52" t="s">
        <v>119</v>
      </c>
      <c r="Y72" s="54"/>
      <c r="Z72" s="54"/>
      <c r="AA72" s="54"/>
      <c r="AB72" s="54"/>
      <c r="AC72" s="54"/>
      <c r="AD72" s="54"/>
      <c r="AE72" s="54">
        <v>1.006735542E7</v>
      </c>
      <c r="AF72" s="54">
        <v>1.018181238E7</v>
      </c>
      <c r="AG72" s="54">
        <v>3332193.62</v>
      </c>
      <c r="AH72" s="54">
        <v>3378633.61</v>
      </c>
      <c r="AI72" s="54">
        <v>3417528.18</v>
      </c>
      <c r="AJ72" s="54">
        <v>3461095.04</v>
      </c>
      <c r="AK72" s="54">
        <v>3449103.61</v>
      </c>
      <c r="AL72" s="54">
        <v>3468512.14</v>
      </c>
      <c r="AM72" s="54">
        <v>3513893.33</v>
      </c>
      <c r="AN72" s="54">
        <v>3558685.77</v>
      </c>
      <c r="AO72" s="54">
        <v>3589657.17</v>
      </c>
      <c r="AP72" s="53">
        <v>3609855.72</v>
      </c>
      <c r="AQ72" s="53">
        <v>2277301.51</v>
      </c>
      <c r="AR72" s="53">
        <v>2297292.34</v>
      </c>
      <c r="AS72" s="53">
        <v>2319695.0</v>
      </c>
      <c r="AT72" s="53">
        <v>0.0</v>
      </c>
      <c r="AU72" s="53" t="str">
        <f t="array" ref="AU72">XLOOKUP(C72,'PL TOTAL D0'!A:A,'PL TOTAL D0'!C:C,"")</f>
        <v/>
      </c>
    </row>
    <row r="73" ht="15.75" customHeight="1">
      <c r="A73" s="41" t="s">
        <v>43</v>
      </c>
      <c r="B73" s="42" t="s">
        <v>376</v>
      </c>
      <c r="C73" s="43" t="s">
        <v>377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107</v>
      </c>
      <c r="I73" s="46" t="s">
        <v>24</v>
      </c>
      <c r="J73" s="44" t="str">
        <f t="shared" si="4"/>
        <v>Não</v>
      </c>
      <c r="K73" s="47">
        <v>44960.0</v>
      </c>
      <c r="L73" s="45"/>
      <c r="M73" s="45" t="s">
        <v>47</v>
      </c>
      <c r="N73" s="48">
        <v>0.015</v>
      </c>
      <c r="O73" s="44" t="s">
        <v>48</v>
      </c>
      <c r="P73" s="49">
        <v>0.1</v>
      </c>
      <c r="Q73" s="50"/>
      <c r="R73" s="50"/>
      <c r="S73" s="45" t="s">
        <v>108</v>
      </c>
      <c r="T73" s="24" t="s">
        <v>378</v>
      </c>
      <c r="U73" s="9" t="s">
        <v>19</v>
      </c>
      <c r="V73" s="51" t="str">
        <f t="shared" si="3"/>
        <v>Ativo</v>
      </c>
      <c r="W73" s="45"/>
      <c r="X73" s="52" t="s">
        <v>119</v>
      </c>
      <c r="Y73" s="54"/>
      <c r="Z73" s="54"/>
      <c r="AA73" s="54"/>
      <c r="AB73" s="54"/>
      <c r="AC73" s="54">
        <v>80004.47</v>
      </c>
      <c r="AD73" s="54">
        <v>80773.53</v>
      </c>
      <c r="AE73" s="54">
        <v>81445.48</v>
      </c>
      <c r="AF73" s="54">
        <v>81833.22</v>
      </c>
      <c r="AG73" s="54">
        <v>83333.43</v>
      </c>
      <c r="AH73" s="54">
        <v>84647.01</v>
      </c>
      <c r="AI73" s="54">
        <v>86692.7</v>
      </c>
      <c r="AJ73" s="54">
        <v>115422.5</v>
      </c>
      <c r="AK73" s="54">
        <v>115882.48</v>
      </c>
      <c r="AL73" s="54">
        <v>114698.6</v>
      </c>
      <c r="AM73" s="54">
        <v>118054.86</v>
      </c>
      <c r="AN73" s="54">
        <v>120387.71</v>
      </c>
      <c r="AO73" s="54">
        <v>117585.39</v>
      </c>
      <c r="AP73" s="53">
        <v>118751.93</v>
      </c>
      <c r="AQ73" s="53">
        <v>119901.52</v>
      </c>
      <c r="AR73" s="53">
        <v>118975.26</v>
      </c>
      <c r="AS73" s="53">
        <v>118480.1</v>
      </c>
      <c r="AT73" s="53">
        <v>119193.5</v>
      </c>
      <c r="AU73" s="53">
        <f t="array" ref="AU73">XLOOKUP(C73,'PL TOTAL D0'!A:A,'PL TOTAL D0'!C:C,"")</f>
        <v>120996</v>
      </c>
    </row>
    <row r="74" ht="15.75" customHeight="1">
      <c r="A74" s="41" t="s">
        <v>43</v>
      </c>
      <c r="B74" s="42" t="s">
        <v>379</v>
      </c>
      <c r="C74" s="43" t="s">
        <v>380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107</v>
      </c>
      <c r="I74" s="46" t="s">
        <v>24</v>
      </c>
      <c r="J74" s="44" t="str">
        <f t="shared" si="4"/>
        <v>Não</v>
      </c>
      <c r="K74" s="47">
        <v>45001.0</v>
      </c>
      <c r="L74" s="45"/>
      <c r="M74" s="45" t="s">
        <v>55</v>
      </c>
      <c r="N74" s="48">
        <v>0.01</v>
      </c>
      <c r="O74" s="44" t="s">
        <v>24</v>
      </c>
      <c r="P74" s="49">
        <v>0.0</v>
      </c>
      <c r="Q74" s="50"/>
      <c r="R74" s="50"/>
      <c r="S74" s="45" t="s">
        <v>108</v>
      </c>
      <c r="T74" s="24" t="s">
        <v>381</v>
      </c>
      <c r="U74" s="9" t="s">
        <v>19</v>
      </c>
      <c r="V74" s="51" t="str">
        <f t="shared" si="3"/>
        <v>Ativo</v>
      </c>
      <c r="W74" s="45"/>
      <c r="X74" s="52" t="s">
        <v>119</v>
      </c>
      <c r="Y74" s="54"/>
      <c r="Z74" s="54"/>
      <c r="AA74" s="54"/>
      <c r="AB74" s="54"/>
      <c r="AC74" s="54">
        <v>0.0</v>
      </c>
      <c r="AD74" s="54">
        <v>0.0</v>
      </c>
      <c r="AE74" s="54">
        <v>48822.54</v>
      </c>
      <c r="AF74" s="54">
        <v>84549.19</v>
      </c>
      <c r="AG74" s="54">
        <v>107103.66</v>
      </c>
      <c r="AH74" s="54">
        <v>108032.27</v>
      </c>
      <c r="AI74" s="54">
        <v>224043.27</v>
      </c>
      <c r="AJ74" s="54">
        <v>238446.53</v>
      </c>
      <c r="AK74" s="54">
        <v>243260.86</v>
      </c>
      <c r="AL74" s="54">
        <v>258437.49</v>
      </c>
      <c r="AM74" s="54">
        <v>260336.98</v>
      </c>
      <c r="AN74" s="54">
        <v>265381.57</v>
      </c>
      <c r="AO74" s="54">
        <v>274443.32</v>
      </c>
      <c r="AP74" s="53">
        <v>278310.59</v>
      </c>
      <c r="AQ74" s="53">
        <v>282668.5</v>
      </c>
      <c r="AR74" s="53">
        <v>287205.11</v>
      </c>
      <c r="AS74" s="53">
        <v>291116.2</v>
      </c>
      <c r="AT74" s="53">
        <v>296289.3</v>
      </c>
      <c r="AU74" s="53">
        <f t="array" ref="AU74">XLOOKUP(C74,'PL TOTAL D0'!A:A,'PL TOTAL D0'!C:C,"")</f>
        <v>298546.9</v>
      </c>
    </row>
    <row r="75" ht="15.75" customHeight="1">
      <c r="A75" s="41" t="s">
        <v>43</v>
      </c>
      <c r="B75" s="42" t="s">
        <v>382</v>
      </c>
      <c r="C75" s="67" t="s">
        <v>383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107</v>
      </c>
      <c r="I75" s="46" t="s">
        <v>24</v>
      </c>
      <c r="J75" s="44" t="str">
        <f t="shared" si="4"/>
        <v>Sim</v>
      </c>
      <c r="K75" s="47">
        <v>45183.0</v>
      </c>
      <c r="L75" s="45"/>
      <c r="M75" s="45" t="s">
        <v>55</v>
      </c>
      <c r="N75" s="48">
        <v>0.012</v>
      </c>
      <c r="O75" s="44" t="s">
        <v>24</v>
      </c>
      <c r="P75" s="49">
        <v>0.0</v>
      </c>
      <c r="Q75" s="109" t="s">
        <v>384</v>
      </c>
      <c r="R75" s="50"/>
      <c r="S75" s="45" t="s">
        <v>108</v>
      </c>
      <c r="T75" s="24" t="s">
        <v>385</v>
      </c>
      <c r="U75" s="9" t="s">
        <v>19</v>
      </c>
      <c r="V75" s="51" t="str">
        <f t="shared" si="3"/>
        <v>Ativo</v>
      </c>
      <c r="W75" s="45"/>
      <c r="X75" s="52" t="s">
        <v>119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>
        <v>70254.3</v>
      </c>
      <c r="AL75" s="54">
        <v>71890.2</v>
      </c>
      <c r="AM75" s="54">
        <v>72434.01</v>
      </c>
      <c r="AN75" s="54">
        <v>72968.67</v>
      </c>
      <c r="AO75" s="54">
        <v>73597.21</v>
      </c>
      <c r="AP75" s="53">
        <v>74171.41</v>
      </c>
      <c r="AQ75" s="53">
        <v>74734.14</v>
      </c>
      <c r="AR75" s="53">
        <v>75319.83</v>
      </c>
      <c r="AS75" s="53">
        <v>75857.87</v>
      </c>
      <c r="AT75" s="53">
        <v>76423.1</v>
      </c>
      <c r="AU75" s="53">
        <f t="array" ref="AU75">XLOOKUP(C75,'PL TOTAL D0'!A:A,'PL TOTAL D0'!C:C,"")</f>
        <v>76661.89</v>
      </c>
    </row>
    <row r="76" ht="15.75" customHeight="1">
      <c r="A76" s="41" t="s">
        <v>43</v>
      </c>
      <c r="B76" s="66" t="s">
        <v>386</v>
      </c>
      <c r="C76" s="67" t="s">
        <v>387</v>
      </c>
      <c r="D76" s="44" t="s">
        <v>18</v>
      </c>
      <c r="E76" s="45" t="s">
        <v>19</v>
      </c>
      <c r="F76" s="110" t="s">
        <v>388</v>
      </c>
      <c r="G76" s="44" t="str">
        <f t="shared" si="1"/>
        <v>Augusto</v>
      </c>
      <c r="H76" s="51" t="s">
        <v>147</v>
      </c>
      <c r="I76" s="51" t="s">
        <v>219</v>
      </c>
      <c r="J76" s="44" t="str">
        <f t="shared" si="4"/>
        <v>Não</v>
      </c>
      <c r="K76" s="47">
        <v>45191.0</v>
      </c>
      <c r="L76" s="45"/>
      <c r="M76" s="45" t="s">
        <v>389</v>
      </c>
      <c r="N76" s="48">
        <v>0.007</v>
      </c>
      <c r="O76" s="44" t="s">
        <v>24</v>
      </c>
      <c r="P76" s="49">
        <v>0.0</v>
      </c>
      <c r="Q76" s="111"/>
      <c r="R76" s="50"/>
      <c r="S76" s="45" t="s">
        <v>369</v>
      </c>
      <c r="T76" s="24" t="s">
        <v>390</v>
      </c>
      <c r="U76" s="9" t="s">
        <v>19</v>
      </c>
      <c r="V76" s="51" t="str">
        <f t="shared" si="3"/>
        <v>Ativo</v>
      </c>
      <c r="W76" s="45"/>
      <c r="X76" s="52" t="s">
        <v>119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3001534.49</v>
      </c>
      <c r="AL76" s="54">
        <v>3031897.57</v>
      </c>
      <c r="AM76" s="54">
        <v>3052799.55</v>
      </c>
      <c r="AN76" s="54">
        <v>3079102.94</v>
      </c>
      <c r="AO76" s="54">
        <v>3103296.77</v>
      </c>
      <c r="AP76" s="53">
        <v>3124030.29</v>
      </c>
      <c r="AQ76" s="53">
        <v>2130656.17</v>
      </c>
      <c r="AR76" s="53">
        <v>0.0</v>
      </c>
      <c r="AS76" s="53">
        <v>0.0</v>
      </c>
      <c r="AT76" s="53">
        <v>300.28</v>
      </c>
      <c r="AU76" s="53">
        <f t="array" ref="AU76">XLOOKUP(C76,'PL TOTAL D0'!A:A,'PL TOTAL D0'!C:C,"")</f>
        <v>300.87</v>
      </c>
    </row>
    <row r="77" ht="15.75" customHeight="1">
      <c r="A77" s="41" t="s">
        <v>43</v>
      </c>
      <c r="B77" s="42" t="s">
        <v>391</v>
      </c>
      <c r="C77" s="43" t="s">
        <v>392</v>
      </c>
      <c r="D77" s="44" t="s">
        <v>18</v>
      </c>
      <c r="E77" s="45" t="s">
        <v>176</v>
      </c>
      <c r="F77" s="44" t="s">
        <v>177</v>
      </c>
      <c r="G77" s="44" t="str">
        <f t="shared" si="1"/>
        <v>#N/A</v>
      </c>
      <c r="H77" s="51" t="s">
        <v>186</v>
      </c>
      <c r="I77" s="46" t="s">
        <v>24</v>
      </c>
      <c r="J77" s="44" t="str">
        <f t="shared" si="4"/>
        <v>Não</v>
      </c>
      <c r="K77" s="47">
        <v>45163.0</v>
      </c>
      <c r="L77" s="82">
        <v>45383.0</v>
      </c>
      <c r="M77" s="45" t="s">
        <v>190</v>
      </c>
      <c r="N77" s="48">
        <v>0.025</v>
      </c>
      <c r="O77" s="44" t="s">
        <v>191</v>
      </c>
      <c r="P77" s="49">
        <v>0.2</v>
      </c>
      <c r="Q77" s="63"/>
      <c r="R77" s="60" t="s">
        <v>393</v>
      </c>
      <c r="S77" s="45" t="s">
        <v>108</v>
      </c>
      <c r="T77" s="24" t="s">
        <v>394</v>
      </c>
      <c r="U77" s="9" t="s">
        <v>180</v>
      </c>
      <c r="V77" s="51" t="str">
        <f t="shared" si="3"/>
        <v>Encerrado</v>
      </c>
      <c r="W77" s="45"/>
      <c r="X77" s="52" t="s">
        <v>110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>
        <v>639942.68</v>
      </c>
      <c r="AK77" s="54">
        <v>670430.24</v>
      </c>
      <c r="AL77" s="54">
        <v>420511.08</v>
      </c>
      <c r="AM77" s="54">
        <v>425435.34</v>
      </c>
      <c r="AN77" s="54">
        <v>446569.35</v>
      </c>
      <c r="AO77" s="54">
        <v>409645.1</v>
      </c>
      <c r="AP77" s="53">
        <v>414810.38</v>
      </c>
      <c r="AQ77" s="53">
        <v>0.0</v>
      </c>
      <c r="AR77" s="53">
        <v>0.0</v>
      </c>
      <c r="AS77" s="53">
        <v>0.0</v>
      </c>
      <c r="AT77" s="53">
        <v>0.0</v>
      </c>
      <c r="AU77" s="53" t="str">
        <f t="array" ref="AU77">XLOOKUP(C77,'PL TOTAL D0'!A:A,'PL TOTAL D0'!C:C,"")</f>
        <v/>
      </c>
    </row>
    <row r="78" ht="15.75" customHeight="1">
      <c r="A78" s="41" t="s">
        <v>43</v>
      </c>
      <c r="B78" s="42" t="s">
        <v>391</v>
      </c>
      <c r="C78" s="43" t="s">
        <v>395</v>
      </c>
      <c r="D78" s="44" t="s">
        <v>18</v>
      </c>
      <c r="E78" s="45" t="s">
        <v>176</v>
      </c>
      <c r="F78" s="44" t="s">
        <v>177</v>
      </c>
      <c r="G78" s="44" t="str">
        <f t="shared" si="1"/>
        <v>#N/A</v>
      </c>
      <c r="H78" s="51" t="s">
        <v>186</v>
      </c>
      <c r="I78" s="51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55</v>
      </c>
      <c r="N78" s="48">
        <v>0.012</v>
      </c>
      <c r="O78" s="44" t="s">
        <v>24</v>
      </c>
      <c r="P78" s="49">
        <v>0.0</v>
      </c>
      <c r="Q78" s="50"/>
      <c r="R78" s="60" t="s">
        <v>393</v>
      </c>
      <c r="S78" s="45" t="s">
        <v>108</v>
      </c>
      <c r="T78" s="24" t="s">
        <v>394</v>
      </c>
      <c r="U78" s="9" t="s">
        <v>180</v>
      </c>
      <c r="V78" s="51" t="str">
        <f t="shared" si="3"/>
        <v>Encerrado</v>
      </c>
      <c r="W78" s="45"/>
      <c r="X78" s="52" t="s">
        <v>110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1155551.7</v>
      </c>
      <c r="AK78" s="54">
        <v>1186917.76</v>
      </c>
      <c r="AL78" s="54">
        <v>437400.25</v>
      </c>
      <c r="AM78" s="54">
        <v>440335.02</v>
      </c>
      <c r="AN78" s="54">
        <v>443817.26</v>
      </c>
      <c r="AO78" s="54">
        <v>447861.32</v>
      </c>
      <c r="AP78" s="53">
        <v>91645.86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66" t="s">
        <v>391</v>
      </c>
      <c r="C79" s="67" t="s">
        <v>396</v>
      </c>
      <c r="D79" s="44" t="s">
        <v>18</v>
      </c>
      <c r="E79" s="45" t="s">
        <v>176</v>
      </c>
      <c r="F79" s="44" t="s">
        <v>177</v>
      </c>
      <c r="G79" s="44" t="str">
        <f t="shared" si="1"/>
        <v>#N/A</v>
      </c>
      <c r="H79" s="51" t="s">
        <v>186</v>
      </c>
      <c r="I79" s="51" t="s">
        <v>24</v>
      </c>
      <c r="J79" s="44" t="str">
        <f t="shared" si="4"/>
        <v>Não</v>
      </c>
      <c r="K79" s="47">
        <v>45197.0</v>
      </c>
      <c r="L79" s="82">
        <v>45383.0</v>
      </c>
      <c r="M79" s="45" t="s">
        <v>149</v>
      </c>
      <c r="N79" s="48">
        <v>0.0</v>
      </c>
      <c r="O79" s="44" t="s">
        <v>24</v>
      </c>
      <c r="P79" s="49">
        <v>0.0</v>
      </c>
      <c r="Q79" s="50"/>
      <c r="R79" s="50"/>
      <c r="S79" s="45" t="s">
        <v>108</v>
      </c>
      <c r="T79" s="24" t="s">
        <v>394</v>
      </c>
      <c r="U79" s="9" t="s">
        <v>180</v>
      </c>
      <c r="V79" s="51" t="str">
        <f t="shared" si="3"/>
        <v>Encerrado</v>
      </c>
      <c r="W79" s="45"/>
      <c r="X79" s="52" t="s">
        <v>110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>
        <v>0.0</v>
      </c>
      <c r="AL79" s="54">
        <v>994268.77</v>
      </c>
      <c r="AM79" s="54">
        <v>1018728.75</v>
      </c>
      <c r="AN79" s="54">
        <v>1051464.13</v>
      </c>
      <c r="AO79" s="54">
        <v>1074749.39</v>
      </c>
      <c r="AP79" s="53">
        <v>290707.79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6" t="s">
        <v>43</v>
      </c>
      <c r="B80" s="112" t="s">
        <v>397</v>
      </c>
      <c r="C80" s="113" t="s">
        <v>398</v>
      </c>
      <c r="D80" s="9" t="s">
        <v>18</v>
      </c>
      <c r="E80" s="24" t="s">
        <v>29</v>
      </c>
      <c r="F80" s="9" t="s">
        <v>60</v>
      </c>
      <c r="G80" s="44" t="str">
        <f t="shared" si="1"/>
        <v>Augusto</v>
      </c>
      <c r="H80" s="51" t="s">
        <v>107</v>
      </c>
      <c r="I80" s="51" t="s">
        <v>24</v>
      </c>
      <c r="J80" s="44" t="str">
        <f t="shared" si="4"/>
        <v>Não</v>
      </c>
      <c r="K80" s="57">
        <v>45364.0</v>
      </c>
      <c r="L80" s="45"/>
      <c r="M80" s="24" t="s">
        <v>129</v>
      </c>
      <c r="N80" s="58">
        <v>0.0</v>
      </c>
      <c r="O80" s="9" t="s">
        <v>24</v>
      </c>
      <c r="P80" s="59">
        <v>0.0</v>
      </c>
      <c r="Q80" s="50"/>
      <c r="R80" s="50"/>
      <c r="S80" s="24" t="s">
        <v>108</v>
      </c>
      <c r="T80" s="5" t="s">
        <v>399</v>
      </c>
      <c r="U80" s="9" t="s">
        <v>29</v>
      </c>
      <c r="V80" s="51" t="str">
        <f t="shared" si="3"/>
        <v>Ativo</v>
      </c>
      <c r="W80" s="45"/>
      <c r="X80" s="52" t="s">
        <v>119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3"/>
      <c r="AQ80" s="53">
        <v>6000.0</v>
      </c>
      <c r="AR80" s="53">
        <v>12048.81</v>
      </c>
      <c r="AS80" s="53">
        <v>12143.78</v>
      </c>
      <c r="AT80" s="53">
        <v>12219.3</v>
      </c>
      <c r="AU80" s="53">
        <f t="array" ref="AU80">XLOOKUP(C80,'PL TOTAL D0'!A:A,'PL TOTAL D0'!C:C,"")</f>
        <v>12278.53</v>
      </c>
    </row>
    <row r="81" ht="15.75" customHeight="1">
      <c r="A81" s="6" t="s">
        <v>43</v>
      </c>
      <c r="B81" s="114" t="s">
        <v>400</v>
      </c>
      <c r="C81" s="65" t="s">
        <v>401</v>
      </c>
      <c r="D81" s="9" t="s">
        <v>105</v>
      </c>
      <c r="E81" s="24" t="s">
        <v>29</v>
      </c>
      <c r="F81" s="9" t="s">
        <v>146</v>
      </c>
      <c r="G81" s="44" t="str">
        <f t="shared" si="1"/>
        <v>#N/A</v>
      </c>
      <c r="H81" s="51" t="s">
        <v>147</v>
      </c>
      <c r="I81" s="51" t="s">
        <v>148</v>
      </c>
      <c r="J81" s="44" t="str">
        <f t="shared" si="4"/>
        <v>Não</v>
      </c>
      <c r="K81" s="57">
        <v>45414.0</v>
      </c>
      <c r="L81" s="45"/>
      <c r="M81" s="24" t="s">
        <v>149</v>
      </c>
      <c r="N81" s="58">
        <v>0.003</v>
      </c>
      <c r="O81" s="9" t="s">
        <v>24</v>
      </c>
      <c r="P81" s="59">
        <v>0.0</v>
      </c>
      <c r="Q81" s="50"/>
      <c r="R81" s="50"/>
      <c r="S81" s="24" t="s">
        <v>108</v>
      </c>
      <c r="T81" s="23" t="s">
        <v>402</v>
      </c>
      <c r="U81" s="9" t="s">
        <v>34</v>
      </c>
      <c r="V81" s="51" t="str">
        <f t="shared" si="3"/>
        <v>Ativo</v>
      </c>
      <c r="W81" s="24" t="s">
        <v>75</v>
      </c>
      <c r="X81" s="5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/>
      <c r="AR81" s="53"/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41" t="s">
        <v>43</v>
      </c>
      <c r="B82" s="55" t="s">
        <v>403</v>
      </c>
      <c r="C82" s="56" t="s">
        <v>404</v>
      </c>
      <c r="D82" s="9" t="s">
        <v>18</v>
      </c>
      <c r="E82" s="24" t="s">
        <v>176</v>
      </c>
      <c r="F82" s="44" t="s">
        <v>177</v>
      </c>
      <c r="G82" s="44" t="str">
        <f t="shared" si="1"/>
        <v>Augusto</v>
      </c>
      <c r="H82" s="51" t="s">
        <v>107</v>
      </c>
      <c r="I82" s="51" t="s">
        <v>24</v>
      </c>
      <c r="J82" s="44" t="str">
        <f t="shared" si="4"/>
        <v>Não</v>
      </c>
      <c r="K82" s="57">
        <v>45315.0</v>
      </c>
      <c r="L82" s="45"/>
      <c r="M82" s="24" t="s">
        <v>129</v>
      </c>
      <c r="N82" s="58">
        <v>0.0</v>
      </c>
      <c r="O82" s="9" t="s">
        <v>24</v>
      </c>
      <c r="P82" s="59">
        <v>0.0</v>
      </c>
      <c r="Q82" s="50"/>
      <c r="R82" s="50"/>
      <c r="S82" s="24" t="s">
        <v>108</v>
      </c>
      <c r="T82" s="24" t="s">
        <v>405</v>
      </c>
      <c r="U82" s="9" t="s">
        <v>180</v>
      </c>
      <c r="V82" s="51" t="str">
        <f t="shared" si="3"/>
        <v>Ativo</v>
      </c>
      <c r="W82" s="45"/>
      <c r="X82" s="52" t="s">
        <v>110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>
        <v>0.0</v>
      </c>
      <c r="AP82" s="53">
        <v>0.0</v>
      </c>
      <c r="AQ82" s="53">
        <v>7188.3</v>
      </c>
      <c r="AR82" s="53">
        <v>7220.99</v>
      </c>
      <c r="AS82" s="53">
        <v>7277.91</v>
      </c>
      <c r="AT82" s="53">
        <v>7321.3</v>
      </c>
      <c r="AU82" s="53">
        <f t="array" ref="AU82">XLOOKUP(C82,'PL TOTAL D0'!A:A,'PL TOTAL D0'!C:C,"")</f>
        <v>7356.79</v>
      </c>
    </row>
    <row r="83" ht="15.75" customHeight="1">
      <c r="A83" s="41" t="s">
        <v>43</v>
      </c>
      <c r="B83" s="80" t="s">
        <v>406</v>
      </c>
      <c r="C83" s="98" t="s">
        <v>407</v>
      </c>
      <c r="D83" s="44" t="s">
        <v>18</v>
      </c>
      <c r="E83" s="45" t="s">
        <v>176</v>
      </c>
      <c r="F83" s="44" t="s">
        <v>197</v>
      </c>
      <c r="G83" s="44" t="str">
        <f t="shared" si="1"/>
        <v>Augusto</v>
      </c>
      <c r="H83" s="46" t="s">
        <v>107</v>
      </c>
      <c r="I83" s="46" t="s">
        <v>24</v>
      </c>
      <c r="J83" s="44" t="str">
        <f t="shared" si="4"/>
        <v>Não</v>
      </c>
      <c r="K83" s="47">
        <v>45212.0</v>
      </c>
      <c r="L83" s="45"/>
      <c r="M83" s="45" t="s">
        <v>79</v>
      </c>
      <c r="N83" s="48">
        <v>0.012</v>
      </c>
      <c r="O83" s="44" t="s">
        <v>48</v>
      </c>
      <c r="P83" s="49">
        <v>0.1</v>
      </c>
      <c r="Q83" s="63"/>
      <c r="R83" s="60" t="s">
        <v>408</v>
      </c>
      <c r="S83" s="45" t="s">
        <v>108</v>
      </c>
      <c r="T83" s="24" t="s">
        <v>409</v>
      </c>
      <c r="U83" s="9" t="s">
        <v>180</v>
      </c>
      <c r="V83" s="51" t="str">
        <f t="shared" si="3"/>
        <v>Ativo</v>
      </c>
      <c r="W83" s="45"/>
      <c r="X83" s="52" t="s">
        <v>110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>
        <v>100266.31</v>
      </c>
      <c r="AM83" s="54">
        <v>142155.29</v>
      </c>
      <c r="AN83" s="54">
        <v>164016.57</v>
      </c>
      <c r="AO83" s="54">
        <v>183966.57</v>
      </c>
      <c r="AP83" s="53">
        <v>205524.11</v>
      </c>
      <c r="AQ83" s="53">
        <v>227436.61</v>
      </c>
      <c r="AR83" s="53">
        <v>227492.11</v>
      </c>
      <c r="AS83" s="53">
        <v>248080.3</v>
      </c>
      <c r="AT83" s="53">
        <v>249776.6</v>
      </c>
      <c r="AU83" s="53">
        <f t="array" ref="AU83">XLOOKUP(C83,'PL TOTAL D0'!A:A,'PL TOTAL D0'!C:C,"")</f>
        <v>271994.7</v>
      </c>
    </row>
    <row r="84" ht="15.75" customHeight="1">
      <c r="A84" s="41" t="s">
        <v>43</v>
      </c>
      <c r="B84" s="42" t="s">
        <v>410</v>
      </c>
      <c r="C84" s="43" t="s">
        <v>411</v>
      </c>
      <c r="D84" s="44" t="s">
        <v>105</v>
      </c>
      <c r="E84" s="45" t="s">
        <v>29</v>
      </c>
      <c r="F84" s="44" t="s">
        <v>412</v>
      </c>
      <c r="G84" s="44" t="str">
        <f t="shared" si="1"/>
        <v>Bruno</v>
      </c>
      <c r="H84" s="46" t="s">
        <v>107</v>
      </c>
      <c r="I84" s="46" t="s">
        <v>24</v>
      </c>
      <c r="J84" s="44" t="str">
        <f t="shared" si="4"/>
        <v>Sim</v>
      </c>
      <c r="K84" s="47">
        <v>45083.0</v>
      </c>
      <c r="L84" s="45"/>
      <c r="M84" s="45" t="s">
        <v>55</v>
      </c>
      <c r="N84" s="48">
        <v>0.007</v>
      </c>
      <c r="O84" s="44" t="s">
        <v>24</v>
      </c>
      <c r="P84" s="49">
        <v>0.0</v>
      </c>
      <c r="Q84" s="60" t="s">
        <v>413</v>
      </c>
      <c r="R84" s="50"/>
      <c r="S84" s="45" t="s">
        <v>108</v>
      </c>
      <c r="T84" s="24" t="s">
        <v>414</v>
      </c>
      <c r="U84" s="9" t="s">
        <v>29</v>
      </c>
      <c r="V84" s="51" t="str">
        <f t="shared" si="3"/>
        <v>Ativo</v>
      </c>
      <c r="W84" s="45"/>
      <c r="X84" s="52" t="s">
        <v>110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>
        <v>3553838.57</v>
      </c>
      <c r="AI84" s="54">
        <v>3583128.63</v>
      </c>
      <c r="AJ84" s="54">
        <v>3606773.39</v>
      </c>
      <c r="AK84" s="54">
        <v>3627523.86</v>
      </c>
      <c r="AL84" s="54">
        <v>3653413.64</v>
      </c>
      <c r="AM84" s="54">
        <v>3688194.04</v>
      </c>
      <c r="AN84" s="54">
        <v>3717376.72</v>
      </c>
      <c r="AO84" s="54">
        <v>3749944.01</v>
      </c>
      <c r="AP84" s="53">
        <v>3780231.62</v>
      </c>
      <c r="AQ84" s="53">
        <v>3819221.34</v>
      </c>
      <c r="AR84" s="53">
        <v>3828588.27</v>
      </c>
      <c r="AS84" s="53">
        <v>3822686.0</v>
      </c>
      <c r="AT84" s="53">
        <v>3850951.0</v>
      </c>
      <c r="AU84" s="53">
        <f t="array" ref="AU84">XLOOKUP(C84,'PL TOTAL D0'!A:A,'PL TOTAL D0'!C:C,"")</f>
        <v>3869530</v>
      </c>
    </row>
    <row r="85" ht="15.75" customHeight="1">
      <c r="A85" s="41" t="s">
        <v>43</v>
      </c>
      <c r="B85" s="42" t="s">
        <v>415</v>
      </c>
      <c r="C85" s="43" t="s">
        <v>416</v>
      </c>
      <c r="D85" s="44" t="s">
        <v>18</v>
      </c>
      <c r="E85" s="45" t="s">
        <v>29</v>
      </c>
      <c r="F85" s="44" t="s">
        <v>294</v>
      </c>
      <c r="G85" s="44" t="str">
        <f t="shared" si="1"/>
        <v>Breno</v>
      </c>
      <c r="H85" s="46" t="s">
        <v>107</v>
      </c>
      <c r="I85" s="46" t="s">
        <v>24</v>
      </c>
      <c r="J85" s="44" t="str">
        <f t="shared" si="4"/>
        <v>Não</v>
      </c>
      <c r="K85" s="47">
        <v>44909.0</v>
      </c>
      <c r="L85" s="45"/>
      <c r="M85" s="45" t="s">
        <v>190</v>
      </c>
      <c r="N85" s="48">
        <v>0.025</v>
      </c>
      <c r="O85" s="44" t="s">
        <v>191</v>
      </c>
      <c r="P85" s="49">
        <v>0.2</v>
      </c>
      <c r="Q85" s="50"/>
      <c r="R85" s="50"/>
      <c r="S85" s="45" t="s">
        <v>108</v>
      </c>
      <c r="T85" s="24" t="s">
        <v>417</v>
      </c>
      <c r="U85" s="9" t="s">
        <v>29</v>
      </c>
      <c r="V85" s="51" t="str">
        <f t="shared" si="3"/>
        <v>Ativo</v>
      </c>
      <c r="W85" s="45"/>
      <c r="X85" s="52" t="s">
        <v>119</v>
      </c>
      <c r="Y85" s="54"/>
      <c r="Z85" s="54"/>
      <c r="AA85" s="54"/>
      <c r="AB85" s="54">
        <v>208225.34</v>
      </c>
      <c r="AC85" s="54">
        <v>199132.11</v>
      </c>
      <c r="AD85" s="54">
        <v>445715.68</v>
      </c>
      <c r="AE85" s="54">
        <v>484136.36</v>
      </c>
      <c r="AF85" s="54">
        <v>292820.86</v>
      </c>
      <c r="AG85" s="54">
        <v>430183.62</v>
      </c>
      <c r="AH85" s="54">
        <v>458436.4</v>
      </c>
      <c r="AI85" s="54">
        <v>480581.05</v>
      </c>
      <c r="AJ85" s="54">
        <v>460141.61</v>
      </c>
      <c r="AK85" s="54">
        <v>454523.52</v>
      </c>
      <c r="AL85" s="54">
        <v>432464.51</v>
      </c>
      <c r="AM85" s="54">
        <v>464777.09</v>
      </c>
      <c r="AN85" s="54">
        <v>486661.08</v>
      </c>
      <c r="AO85" s="54">
        <v>452304.01</v>
      </c>
      <c r="AP85" s="53">
        <v>458425.63</v>
      </c>
      <c r="AQ85" s="53">
        <v>466830.27</v>
      </c>
      <c r="AR85" s="53">
        <v>448658.28</v>
      </c>
      <c r="AS85" s="53">
        <v>434181.2</v>
      </c>
      <c r="AT85" s="53">
        <v>435247.7</v>
      </c>
      <c r="AU85" s="53">
        <f t="array" ref="AU85">XLOOKUP(C85,'PL TOTAL D0'!A:A,'PL TOTAL D0'!C:C,"")</f>
        <v>453725.4</v>
      </c>
    </row>
    <row r="86" ht="15.75" customHeight="1">
      <c r="A86" s="41" t="s">
        <v>43</v>
      </c>
      <c r="B86" s="42" t="s">
        <v>415</v>
      </c>
      <c r="C86" s="43" t="s">
        <v>418</v>
      </c>
      <c r="D86" s="44" t="s">
        <v>18</v>
      </c>
      <c r="E86" s="45" t="s">
        <v>29</v>
      </c>
      <c r="F86" s="44" t="s">
        <v>294</v>
      </c>
      <c r="G86" s="44" t="str">
        <f t="shared" si="1"/>
        <v>Augusto</v>
      </c>
      <c r="H86" s="46" t="s">
        <v>107</v>
      </c>
      <c r="I86" s="46" t="s">
        <v>24</v>
      </c>
      <c r="J86" s="44" t="str">
        <f t="shared" si="4"/>
        <v>Não</v>
      </c>
      <c r="K86" s="47">
        <v>45000.0</v>
      </c>
      <c r="L86" s="45"/>
      <c r="M86" s="45" t="s">
        <v>419</v>
      </c>
      <c r="N86" s="48">
        <v>0.02</v>
      </c>
      <c r="O86" s="44" t="s">
        <v>191</v>
      </c>
      <c r="P86" s="49">
        <v>0.2</v>
      </c>
      <c r="Q86" s="50"/>
      <c r="R86" s="50"/>
      <c r="S86" s="45" t="s">
        <v>108</v>
      </c>
      <c r="T86" s="24" t="s">
        <v>417</v>
      </c>
      <c r="U86" s="9" t="s">
        <v>29</v>
      </c>
      <c r="V86" s="51" t="str">
        <f t="shared" si="3"/>
        <v>Ativo</v>
      </c>
      <c r="W86" s="45"/>
      <c r="X86" s="52" t="s">
        <v>119</v>
      </c>
      <c r="Y86" s="54"/>
      <c r="Z86" s="54"/>
      <c r="AA86" s="54"/>
      <c r="AB86" s="54"/>
      <c r="AC86" s="54">
        <v>0.0</v>
      </c>
      <c r="AD86" s="54">
        <v>0.0</v>
      </c>
      <c r="AE86" s="54">
        <v>38619.74</v>
      </c>
      <c r="AF86" s="54">
        <v>39585.71</v>
      </c>
      <c r="AG86" s="54">
        <v>43353.84</v>
      </c>
      <c r="AH86" s="54">
        <v>46351.99</v>
      </c>
      <c r="AI86" s="54">
        <v>50159.6</v>
      </c>
      <c r="AJ86" s="54">
        <v>51186.8</v>
      </c>
      <c r="AK86" s="54">
        <v>50747.86</v>
      </c>
      <c r="AL86" s="54">
        <v>46192.47</v>
      </c>
      <c r="AM86" s="54">
        <v>49495.0</v>
      </c>
      <c r="AN86" s="54">
        <v>52418.97</v>
      </c>
      <c r="AO86" s="54">
        <v>49646.1</v>
      </c>
      <c r="AP86" s="53">
        <v>49063.18</v>
      </c>
      <c r="AQ86" s="53">
        <v>51054.53</v>
      </c>
      <c r="AR86" s="53">
        <v>47973.39</v>
      </c>
      <c r="AS86" s="53">
        <v>44787.31</v>
      </c>
      <c r="AT86" s="53">
        <v>44765.22</v>
      </c>
      <c r="AU86" s="53">
        <f t="array" ref="AU86">XLOOKUP(C86,'PL TOTAL D0'!A:A,'PL TOTAL D0'!C:C,"")</f>
        <v>47320.13</v>
      </c>
    </row>
    <row r="87" ht="15.75" customHeight="1">
      <c r="A87" s="41" t="s">
        <v>43</v>
      </c>
      <c r="B87" s="42" t="s">
        <v>415</v>
      </c>
      <c r="C87" s="43" t="s">
        <v>420</v>
      </c>
      <c r="D87" s="44" t="s">
        <v>18</v>
      </c>
      <c r="E87" s="45" t="s">
        <v>29</v>
      </c>
      <c r="F87" s="44" t="s">
        <v>294</v>
      </c>
      <c r="G87" s="44" t="str">
        <f t="shared" si="1"/>
        <v>Augusto</v>
      </c>
      <c r="H87" s="46" t="s">
        <v>107</v>
      </c>
      <c r="I87" s="46" t="s">
        <v>24</v>
      </c>
      <c r="J87" s="44" t="str">
        <f t="shared" si="4"/>
        <v>Não</v>
      </c>
      <c r="K87" s="47">
        <v>44914.0</v>
      </c>
      <c r="L87" s="45"/>
      <c r="M87" s="45" t="s">
        <v>421</v>
      </c>
      <c r="N87" s="48">
        <v>0.007</v>
      </c>
      <c r="O87" s="44" t="s">
        <v>24</v>
      </c>
      <c r="P87" s="49">
        <v>0.0</v>
      </c>
      <c r="Q87" s="50"/>
      <c r="R87" s="50"/>
      <c r="S87" s="45" t="s">
        <v>108</v>
      </c>
      <c r="T87" s="24" t="s">
        <v>417</v>
      </c>
      <c r="U87" s="9" t="s">
        <v>29</v>
      </c>
      <c r="V87" s="51" t="str">
        <f t="shared" si="3"/>
        <v>Ativo</v>
      </c>
      <c r="W87" s="45"/>
      <c r="X87" s="52" t="s">
        <v>119</v>
      </c>
      <c r="Y87" s="54"/>
      <c r="Z87" s="54"/>
      <c r="AA87" s="54"/>
      <c r="AB87" s="54">
        <v>251665.93</v>
      </c>
      <c r="AC87" s="54">
        <v>253101.08</v>
      </c>
      <c r="AD87" s="54">
        <v>253309.58</v>
      </c>
      <c r="AE87" s="54">
        <v>254947.94</v>
      </c>
      <c r="AF87" s="54">
        <v>256691.1</v>
      </c>
      <c r="AG87" s="54">
        <v>259544.42</v>
      </c>
      <c r="AH87" s="54">
        <v>262967.65</v>
      </c>
      <c r="AI87" s="54">
        <v>266291.47</v>
      </c>
      <c r="AJ87" s="54">
        <v>267662.59</v>
      </c>
      <c r="AK87" s="54">
        <v>268625.62</v>
      </c>
      <c r="AL87" s="54">
        <v>269955.31</v>
      </c>
      <c r="AM87" s="54">
        <v>275516.03</v>
      </c>
      <c r="AN87" s="54">
        <v>281427.46</v>
      </c>
      <c r="AO87" s="54">
        <v>282605.19</v>
      </c>
      <c r="AP87" s="53">
        <v>284292.04</v>
      </c>
      <c r="AQ87" s="53">
        <v>286943.12</v>
      </c>
      <c r="AR87" s="53">
        <v>287652.28</v>
      </c>
      <c r="AS87" s="53">
        <v>289949.1</v>
      </c>
      <c r="AT87" s="53">
        <v>292522.6</v>
      </c>
      <c r="AU87" s="53">
        <f t="array" ref="AU87">XLOOKUP(C87,'PL TOTAL D0'!A:A,'PL TOTAL D0'!C:C,"")</f>
        <v>294197.7</v>
      </c>
    </row>
    <row r="88" ht="15.75" customHeight="1">
      <c r="A88" s="41" t="s">
        <v>43</v>
      </c>
      <c r="B88" s="42" t="s">
        <v>415</v>
      </c>
      <c r="C88" s="43" t="s">
        <v>422</v>
      </c>
      <c r="D88" s="44" t="s">
        <v>18</v>
      </c>
      <c r="E88" s="45" t="s">
        <v>29</v>
      </c>
      <c r="F88" s="44" t="s">
        <v>294</v>
      </c>
      <c r="G88" s="44" t="str">
        <f t="shared" si="1"/>
        <v>Augusto</v>
      </c>
      <c r="H88" s="46" t="s">
        <v>107</v>
      </c>
      <c r="I88" s="46" t="s">
        <v>24</v>
      </c>
      <c r="J88" s="44" t="str">
        <f t="shared" si="4"/>
        <v>Não</v>
      </c>
      <c r="K88" s="62">
        <v>45026.0</v>
      </c>
      <c r="L88" s="45"/>
      <c r="M88" s="45" t="s">
        <v>55</v>
      </c>
      <c r="N88" s="48">
        <v>0.012</v>
      </c>
      <c r="O88" s="44" t="s">
        <v>24</v>
      </c>
      <c r="P88" s="49">
        <v>0.0</v>
      </c>
      <c r="Q88" s="50"/>
      <c r="R88" s="50"/>
      <c r="S88" s="45" t="s">
        <v>108</v>
      </c>
      <c r="T88" s="24" t="s">
        <v>417</v>
      </c>
      <c r="U88" s="9" t="s">
        <v>29</v>
      </c>
      <c r="V88" s="51" t="str">
        <f t="shared" si="3"/>
        <v>Ativo</v>
      </c>
      <c r="W88" s="45"/>
      <c r="X88" s="52" t="s">
        <v>119</v>
      </c>
      <c r="Y88" s="54"/>
      <c r="Z88" s="54"/>
      <c r="AA88" s="54"/>
      <c r="AB88" s="54"/>
      <c r="AC88" s="54">
        <v>0.0</v>
      </c>
      <c r="AD88" s="54">
        <v>0.0</v>
      </c>
      <c r="AE88" s="54">
        <v>0.0</v>
      </c>
      <c r="AF88" s="54">
        <v>180408.94</v>
      </c>
      <c r="AG88" s="54">
        <v>182350.83</v>
      </c>
      <c r="AH88" s="54">
        <v>184021.08</v>
      </c>
      <c r="AI88" s="54">
        <v>185673.7</v>
      </c>
      <c r="AJ88" s="54">
        <v>187477.34</v>
      </c>
      <c r="AK88" s="54">
        <v>189009.11</v>
      </c>
      <c r="AL88" s="54">
        <v>190678.08</v>
      </c>
      <c r="AM88" s="54">
        <v>192060.09</v>
      </c>
      <c r="AN88" s="54">
        <v>193515.77</v>
      </c>
      <c r="AO88" s="54">
        <v>192079.67</v>
      </c>
      <c r="AP88" s="53">
        <v>193429.54</v>
      </c>
      <c r="AQ88" s="53">
        <v>194882.55</v>
      </c>
      <c r="AR88" s="53">
        <v>195978.42</v>
      </c>
      <c r="AS88" s="53">
        <v>197386.4</v>
      </c>
      <c r="AT88" s="53">
        <v>198823.4</v>
      </c>
      <c r="AU88" s="53">
        <f t="array" ref="AU88">XLOOKUP(C88,'PL TOTAL D0'!A:A,'PL TOTAL D0'!C:C,"")</f>
        <v>199036.3</v>
      </c>
    </row>
    <row r="89" ht="15.75" customHeight="1">
      <c r="A89" s="41" t="s">
        <v>43</v>
      </c>
      <c r="B89" s="42" t="s">
        <v>415</v>
      </c>
      <c r="C89" s="43" t="s">
        <v>423</v>
      </c>
      <c r="D89" s="44" t="s">
        <v>18</v>
      </c>
      <c r="E89" s="45" t="s">
        <v>29</v>
      </c>
      <c r="F89" s="44" t="s">
        <v>294</v>
      </c>
      <c r="G89" s="44" t="str">
        <f t="shared" si="1"/>
        <v>#N/A</v>
      </c>
      <c r="H89" s="46" t="s">
        <v>147</v>
      </c>
      <c r="I89" s="46" t="s">
        <v>219</v>
      </c>
      <c r="J89" s="44" t="str">
        <f t="shared" si="4"/>
        <v>Não</v>
      </c>
      <c r="K89" s="47">
        <v>45166.0</v>
      </c>
      <c r="L89" s="62"/>
      <c r="M89" s="45" t="s">
        <v>194</v>
      </c>
      <c r="N89" s="48">
        <v>0.008</v>
      </c>
      <c r="O89" s="44" t="s">
        <v>195</v>
      </c>
      <c r="P89" s="49">
        <v>0.1</v>
      </c>
      <c r="Q89" s="74"/>
      <c r="R89" s="60" t="s">
        <v>424</v>
      </c>
      <c r="S89" s="45" t="s">
        <v>108</v>
      </c>
      <c r="T89" s="24" t="s">
        <v>417</v>
      </c>
      <c r="U89" s="9" t="s">
        <v>29</v>
      </c>
      <c r="V89" s="51" t="str">
        <f t="shared" si="3"/>
        <v>Inativo</v>
      </c>
      <c r="W89" s="45"/>
      <c r="X89" s="52" t="s">
        <v>119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0.0</v>
      </c>
      <c r="AG89" s="54">
        <v>0.0</v>
      </c>
      <c r="AH89" s="54">
        <v>0.0</v>
      </c>
      <c r="AI89" s="54">
        <v>0.0</v>
      </c>
      <c r="AJ89" s="54">
        <v>0.0</v>
      </c>
      <c r="AK89" s="54">
        <v>0.0</v>
      </c>
      <c r="AL89" s="54">
        <v>0.0</v>
      </c>
      <c r="AM89" s="54">
        <v>0.0</v>
      </c>
      <c r="AN89" s="54">
        <v>0.0</v>
      </c>
      <c r="AO89" s="54">
        <v>0.0</v>
      </c>
      <c r="AP89" s="53">
        <v>0.0</v>
      </c>
      <c r="AQ89" s="53">
        <v>0.0</v>
      </c>
      <c r="AR89" s="53">
        <v>0.0</v>
      </c>
      <c r="AS89" s="53">
        <v>0.0</v>
      </c>
      <c r="AT89" s="53">
        <v>0.0</v>
      </c>
      <c r="AU89" s="53" t="str">
        <f t="array" ref="AU89">XLOOKUP(C89,'PL TOTAL D0'!A:A,'PL TOTAL D0'!C:C,"")</f>
        <v/>
      </c>
    </row>
    <row r="90" ht="15.75" customHeight="1">
      <c r="A90" s="6" t="s">
        <v>43</v>
      </c>
      <c r="B90" s="55" t="s">
        <v>425</v>
      </c>
      <c r="C90" s="21" t="s">
        <v>426</v>
      </c>
      <c r="D90" s="9" t="s">
        <v>18</v>
      </c>
      <c r="E90" s="24" t="s">
        <v>29</v>
      </c>
      <c r="F90" s="9" t="s">
        <v>294</v>
      </c>
      <c r="G90" s="44" t="str">
        <f t="shared" si="1"/>
        <v>Bruno</v>
      </c>
      <c r="H90" s="51" t="s">
        <v>107</v>
      </c>
      <c r="I90" s="51" t="s">
        <v>24</v>
      </c>
      <c r="J90" s="44" t="str">
        <f t="shared" si="4"/>
        <v>Sim</v>
      </c>
      <c r="K90" s="57">
        <v>45350.0</v>
      </c>
      <c r="L90" s="45"/>
      <c r="M90" s="24" t="s">
        <v>55</v>
      </c>
      <c r="N90" s="58">
        <v>0.012</v>
      </c>
      <c r="O90" s="9" t="s">
        <v>24</v>
      </c>
      <c r="P90" s="59">
        <v>0.0</v>
      </c>
      <c r="Q90" s="60" t="s">
        <v>427</v>
      </c>
      <c r="R90" s="60" t="s">
        <v>428</v>
      </c>
      <c r="S90" s="24" t="s">
        <v>108</v>
      </c>
      <c r="T90" s="23" t="s">
        <v>429</v>
      </c>
      <c r="U90" s="9" t="s">
        <v>34</v>
      </c>
      <c r="V90" s="51" t="str">
        <f t="shared" si="3"/>
        <v>Ativo</v>
      </c>
      <c r="W90" s="45"/>
      <c r="X90" s="52" t="s">
        <v>119</v>
      </c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3">
        <v>397851.93</v>
      </c>
      <c r="AQ90" s="53">
        <v>1000991.59</v>
      </c>
      <c r="AR90" s="53">
        <v>998239.39</v>
      </c>
      <c r="AS90" s="53">
        <v>1001239.0</v>
      </c>
      <c r="AT90" s="53">
        <v>1008290.0</v>
      </c>
      <c r="AU90" s="53">
        <f t="array" ref="AU90">XLOOKUP(C90,'PL TOTAL D0'!A:A,'PL TOTAL D0'!C:C,"")</f>
        <v>1031831</v>
      </c>
    </row>
    <row r="91" ht="15.75" customHeight="1">
      <c r="A91" s="6" t="s">
        <v>43</v>
      </c>
      <c r="B91" s="114" t="s">
        <v>430</v>
      </c>
      <c r="C91" s="65" t="s">
        <v>431</v>
      </c>
      <c r="D91" s="9" t="s">
        <v>18</v>
      </c>
      <c r="E91" s="24" t="s">
        <v>29</v>
      </c>
      <c r="F91" s="9" t="s">
        <v>60</v>
      </c>
      <c r="G91" s="44" t="str">
        <f t="shared" si="1"/>
        <v>Augusto</v>
      </c>
      <c r="H91" s="51" t="s">
        <v>107</v>
      </c>
      <c r="I91" s="51" t="s">
        <v>24</v>
      </c>
      <c r="J91" s="44" t="str">
        <f t="shared" si="4"/>
        <v>Não</v>
      </c>
      <c r="K91" s="57">
        <v>45390.0</v>
      </c>
      <c r="L91" s="45"/>
      <c r="M91" s="24" t="s">
        <v>47</v>
      </c>
      <c r="N91" s="58">
        <v>0.015</v>
      </c>
      <c r="O91" s="9" t="s">
        <v>48</v>
      </c>
      <c r="P91" s="59">
        <v>0.1</v>
      </c>
      <c r="Q91" s="60"/>
      <c r="R91" s="50"/>
      <c r="S91" s="24" t="s">
        <v>108</v>
      </c>
      <c r="T91" s="5" t="s">
        <v>432</v>
      </c>
      <c r="U91" s="9" t="s">
        <v>29</v>
      </c>
      <c r="V91" s="51" t="str">
        <f t="shared" si="3"/>
        <v>Ativo</v>
      </c>
      <c r="W91" s="24" t="s">
        <v>75</v>
      </c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>
        <v>211189.07</v>
      </c>
      <c r="AS91" s="53">
        <v>200754.9</v>
      </c>
      <c r="AT91" s="53">
        <v>201925.5</v>
      </c>
      <c r="AU91" s="53">
        <f t="array" ref="AU91">XLOOKUP(C91,'PL TOTAL D0'!A:A,'PL TOTAL D0'!C:C,"")</f>
        <v>205126.9</v>
      </c>
    </row>
    <row r="92" ht="15.75" customHeight="1">
      <c r="A92" s="41" t="s">
        <v>43</v>
      </c>
      <c r="B92" s="61" t="s">
        <v>433</v>
      </c>
      <c r="C92" s="43" t="s">
        <v>434</v>
      </c>
      <c r="D92" s="44" t="s">
        <v>18</v>
      </c>
      <c r="E92" s="45" t="s">
        <v>19</v>
      </c>
      <c r="F92" s="45" t="s">
        <v>20</v>
      </c>
      <c r="G92" s="44" t="str">
        <f t="shared" si="1"/>
        <v>Breno</v>
      </c>
      <c r="H92" s="51" t="s">
        <v>107</v>
      </c>
      <c r="I92" s="51" t="s">
        <v>24</v>
      </c>
      <c r="J92" s="44" t="str">
        <f t="shared" si="4"/>
        <v>Não</v>
      </c>
      <c r="K92" s="47">
        <v>44964.0</v>
      </c>
      <c r="L92" s="45"/>
      <c r="M92" s="45" t="s">
        <v>47</v>
      </c>
      <c r="N92" s="48">
        <v>0.015</v>
      </c>
      <c r="O92" s="44" t="s">
        <v>48</v>
      </c>
      <c r="P92" s="49">
        <v>0.1</v>
      </c>
      <c r="Q92" s="50"/>
      <c r="R92" s="50"/>
      <c r="S92" s="45" t="s">
        <v>369</v>
      </c>
      <c r="T92" s="24" t="s">
        <v>435</v>
      </c>
      <c r="U92" s="9" t="s">
        <v>19</v>
      </c>
      <c r="V92" s="51" t="str">
        <f t="shared" si="3"/>
        <v>Ativo</v>
      </c>
      <c r="W92" s="45"/>
      <c r="X92" s="52" t="s">
        <v>119</v>
      </c>
      <c r="Y92" s="54"/>
      <c r="Z92" s="54"/>
      <c r="AA92" s="54"/>
      <c r="AB92" s="54"/>
      <c r="AC92" s="54">
        <v>0.0</v>
      </c>
      <c r="AD92" s="54">
        <v>424706.47</v>
      </c>
      <c r="AE92" s="54">
        <v>428705.7</v>
      </c>
      <c r="AF92" s="54">
        <v>431156.36</v>
      </c>
      <c r="AG92" s="54">
        <v>439840.02</v>
      </c>
      <c r="AH92" s="54">
        <v>446395.97</v>
      </c>
      <c r="AI92" s="54">
        <v>449077.62</v>
      </c>
      <c r="AJ92" s="54">
        <v>447110.31</v>
      </c>
      <c r="AK92" s="54">
        <v>449892.29</v>
      </c>
      <c r="AL92" s="54">
        <v>449202.07</v>
      </c>
      <c r="AM92" s="54">
        <v>458954.86</v>
      </c>
      <c r="AN92" s="54">
        <v>618719.08</v>
      </c>
      <c r="AO92" s="54">
        <v>613591.21</v>
      </c>
      <c r="AP92" s="53">
        <v>619436.47</v>
      </c>
      <c r="AQ92" s="53">
        <v>626479.97</v>
      </c>
      <c r="AR92" s="53">
        <v>622178.19</v>
      </c>
      <c r="AS92" s="53">
        <v>619409.8</v>
      </c>
      <c r="AT92" s="53">
        <v>621983.2</v>
      </c>
      <c r="AU92" s="53">
        <f t="array" ref="AU92">XLOOKUP(C92,'PL TOTAL D0'!A:A,'PL TOTAL D0'!C:C,"")</f>
        <v>631300</v>
      </c>
    </row>
    <row r="93" ht="15.75" customHeight="1">
      <c r="A93" s="41" t="s">
        <v>43</v>
      </c>
      <c r="B93" s="115" t="s">
        <v>436</v>
      </c>
      <c r="C93" s="56" t="s">
        <v>437</v>
      </c>
      <c r="D93" s="9" t="s">
        <v>18</v>
      </c>
      <c r="E93" s="24" t="s">
        <v>29</v>
      </c>
      <c r="F93" s="24" t="s">
        <v>18</v>
      </c>
      <c r="G93" s="44" t="str">
        <f t="shared" si="1"/>
        <v>Augusto</v>
      </c>
      <c r="H93" s="51" t="s">
        <v>147</v>
      </c>
      <c r="I93" s="51" t="s">
        <v>148</v>
      </c>
      <c r="J93" s="44" t="str">
        <f t="shared" si="4"/>
        <v>Não</v>
      </c>
      <c r="K93" s="116">
        <v>45415.0</v>
      </c>
      <c r="L93" s="45"/>
      <c r="M93" s="24" t="s">
        <v>149</v>
      </c>
      <c r="N93" s="58">
        <v>0.0</v>
      </c>
      <c r="O93" s="9" t="s">
        <v>24</v>
      </c>
      <c r="P93" s="9">
        <v>0.0</v>
      </c>
      <c r="Q93" s="50"/>
      <c r="R93" s="50"/>
      <c r="S93" s="24" t="s">
        <v>369</v>
      </c>
      <c r="T93" s="24" t="s">
        <v>438</v>
      </c>
      <c r="U93" s="9" t="s">
        <v>29</v>
      </c>
      <c r="V93" s="51" t="str">
        <f t="shared" si="3"/>
        <v>Ativo</v>
      </c>
      <c r="W93" s="45"/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/>
      <c r="AS93" s="53">
        <v>5233.53</v>
      </c>
      <c r="AT93" s="53">
        <v>713.12</v>
      </c>
      <c r="AU93" s="53">
        <f t="array" ref="AU93">XLOOKUP(C93,'PL TOTAL D0'!A:A,'PL TOTAL D0'!C:C,"")</f>
        <v>18228.91</v>
      </c>
    </row>
    <row r="94" ht="15.75" customHeight="1">
      <c r="A94" s="41" t="s">
        <v>43</v>
      </c>
      <c r="B94" s="61" t="s">
        <v>439</v>
      </c>
      <c r="C94" s="43" t="s">
        <v>440</v>
      </c>
      <c r="D94" s="9" t="s">
        <v>70</v>
      </c>
      <c r="E94" s="45" t="s">
        <v>29</v>
      </c>
      <c r="F94" s="24" t="s">
        <v>71</v>
      </c>
      <c r="G94" s="44" t="str">
        <f t="shared" si="1"/>
        <v>Bruno</v>
      </c>
      <c r="H94" s="46" t="s">
        <v>107</v>
      </c>
      <c r="I94" s="46" t="s">
        <v>24</v>
      </c>
      <c r="J94" s="44" t="str">
        <f t="shared" si="4"/>
        <v>Não</v>
      </c>
      <c r="K94" s="47">
        <v>44993.0</v>
      </c>
      <c r="L94" s="45"/>
      <c r="M94" s="45" t="s">
        <v>269</v>
      </c>
      <c r="N94" s="48">
        <v>0.02</v>
      </c>
      <c r="O94" s="44" t="s">
        <v>48</v>
      </c>
      <c r="P94" s="49">
        <v>0.2</v>
      </c>
      <c r="Q94" s="50"/>
      <c r="R94" s="50"/>
      <c r="S94" s="45" t="s">
        <v>369</v>
      </c>
      <c r="T94" s="24" t="s">
        <v>441</v>
      </c>
      <c r="U94" s="9" t="s">
        <v>29</v>
      </c>
      <c r="V94" s="51" t="str">
        <f t="shared" si="3"/>
        <v>Ativo</v>
      </c>
      <c r="W94" s="45"/>
      <c r="X94" s="52" t="s">
        <v>110</v>
      </c>
      <c r="Y94" s="54"/>
      <c r="Z94" s="54"/>
      <c r="AA94" s="54"/>
      <c r="AB94" s="54"/>
      <c r="AC94" s="54"/>
      <c r="AD94" s="54"/>
      <c r="AE94" s="54">
        <v>2346598.11</v>
      </c>
      <c r="AF94" s="54">
        <v>3047635.57</v>
      </c>
      <c r="AG94" s="54">
        <v>3122146.91</v>
      </c>
      <c r="AH94" s="54">
        <v>3243875.86</v>
      </c>
      <c r="AI94" s="54">
        <v>3303894.64</v>
      </c>
      <c r="AJ94" s="54">
        <v>3242700.75</v>
      </c>
      <c r="AK94" s="54">
        <v>3246859.38</v>
      </c>
      <c r="AL94" s="54">
        <v>4104623.12</v>
      </c>
      <c r="AM94" s="54">
        <v>4251143.04</v>
      </c>
      <c r="AN94" s="54">
        <v>4357260.2</v>
      </c>
      <c r="AO94" s="54">
        <v>4220625.06</v>
      </c>
      <c r="AP94" s="53">
        <v>4260472.45</v>
      </c>
      <c r="AQ94" s="53">
        <v>4312662.84</v>
      </c>
      <c r="AR94" s="53">
        <v>4234923.86</v>
      </c>
      <c r="AS94" s="53">
        <v>4187826.0</v>
      </c>
      <c r="AT94" s="53">
        <v>4205193.0</v>
      </c>
      <c r="AU94" s="53">
        <f t="array" ref="AU94">XLOOKUP(C94,'PL TOTAL D0'!A:A,'PL TOTAL D0'!C:C,"")</f>
        <v>4302779</v>
      </c>
    </row>
    <row r="95" ht="15.75" customHeight="1">
      <c r="A95" s="41" t="s">
        <v>43</v>
      </c>
      <c r="B95" s="42" t="s">
        <v>442</v>
      </c>
      <c r="C95" s="43" t="s">
        <v>443</v>
      </c>
      <c r="D95" s="44" t="s">
        <v>18</v>
      </c>
      <c r="E95" s="45" t="s">
        <v>19</v>
      </c>
      <c r="F95" s="45" t="s">
        <v>20</v>
      </c>
      <c r="G95" s="44" t="str">
        <f t="shared" si="1"/>
        <v>Bruno</v>
      </c>
      <c r="H95" s="51" t="s">
        <v>107</v>
      </c>
      <c r="I95" s="51" t="s">
        <v>24</v>
      </c>
      <c r="J95" s="44" t="str">
        <f t="shared" si="4"/>
        <v>Não</v>
      </c>
      <c r="K95" s="47">
        <v>45261.0</v>
      </c>
      <c r="L95" s="45"/>
      <c r="M95" s="45" t="s">
        <v>55</v>
      </c>
      <c r="N95" s="94">
        <v>0.012</v>
      </c>
      <c r="O95" s="95" t="s">
        <v>24</v>
      </c>
      <c r="P95" s="96">
        <v>0.0</v>
      </c>
      <c r="Q95" s="50"/>
      <c r="R95" s="50"/>
      <c r="S95" s="45" t="s">
        <v>369</v>
      </c>
      <c r="T95" s="24" t="s">
        <v>444</v>
      </c>
      <c r="U95" s="9" t="s">
        <v>19</v>
      </c>
      <c r="V95" s="51" t="str">
        <f t="shared" si="3"/>
        <v>Ativo</v>
      </c>
      <c r="W95" s="45"/>
      <c r="X95" s="52" t="s">
        <v>119</v>
      </c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>
        <v>0.0</v>
      </c>
      <c r="AN95" s="54">
        <v>533982.57</v>
      </c>
      <c r="AO95" s="54">
        <v>539299.95</v>
      </c>
      <c r="AP95" s="53">
        <v>2632293.06</v>
      </c>
      <c r="AQ95" s="53">
        <v>2756883.68</v>
      </c>
      <c r="AR95" s="53">
        <v>2845937.21</v>
      </c>
      <c r="AS95" s="53">
        <v>2868951.0</v>
      </c>
      <c r="AT95" s="53">
        <v>2892247.0</v>
      </c>
      <c r="AU95" s="53">
        <f t="array" ref="AU95">XLOOKUP(C95,'PL TOTAL D0'!A:A,'PL TOTAL D0'!C:C,"")</f>
        <v>2901162</v>
      </c>
    </row>
    <row r="96" ht="15.75" customHeight="1">
      <c r="A96" s="41" t="s">
        <v>43</v>
      </c>
      <c r="B96" s="20" t="s">
        <v>445</v>
      </c>
      <c r="C96" s="21" t="s">
        <v>446</v>
      </c>
      <c r="D96" s="9" t="s">
        <v>18</v>
      </c>
      <c r="E96" s="24" t="s">
        <v>29</v>
      </c>
      <c r="F96" s="24" t="s">
        <v>447</v>
      </c>
      <c r="G96" s="44" t="str">
        <f t="shared" si="1"/>
        <v>Augusto</v>
      </c>
      <c r="H96" s="51" t="s">
        <v>147</v>
      </c>
      <c r="I96" s="51" t="s">
        <v>148</v>
      </c>
      <c r="J96" s="44" t="str">
        <f t="shared" si="4"/>
        <v>Não</v>
      </c>
      <c r="K96" s="57">
        <v>45377.0</v>
      </c>
      <c r="L96" s="45"/>
      <c r="M96" s="24" t="s">
        <v>149</v>
      </c>
      <c r="N96" s="58">
        <v>0.0</v>
      </c>
      <c r="O96" s="9" t="s">
        <v>24</v>
      </c>
      <c r="P96" s="59">
        <v>0.0</v>
      </c>
      <c r="Q96" s="50"/>
      <c r="R96" s="50"/>
      <c r="S96" s="24" t="s">
        <v>108</v>
      </c>
      <c r="T96" s="23" t="s">
        <v>448</v>
      </c>
      <c r="U96" s="9" t="s">
        <v>29</v>
      </c>
      <c r="V96" s="51" t="str">
        <f t="shared" si="3"/>
        <v>Ativo</v>
      </c>
      <c r="W96" s="45"/>
      <c r="X96" s="5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3"/>
      <c r="AQ96" s="53">
        <v>5194.78</v>
      </c>
      <c r="AR96" s="53">
        <v>5244.49</v>
      </c>
      <c r="AS96" s="53">
        <v>16430.55</v>
      </c>
      <c r="AT96" s="53">
        <v>23232.19</v>
      </c>
      <c r="AU96" s="53">
        <f t="array" ref="AU96">XLOOKUP(C96,'PL TOTAL D0'!A:A,'PL TOTAL D0'!C:C,"")</f>
        <v>25250.63</v>
      </c>
    </row>
    <row r="97" ht="15.75" customHeight="1">
      <c r="A97" s="41" t="s">
        <v>43</v>
      </c>
      <c r="B97" s="115" t="s">
        <v>449</v>
      </c>
      <c r="C97" s="43" t="s">
        <v>450</v>
      </c>
      <c r="D97" s="44" t="s">
        <v>18</v>
      </c>
      <c r="E97" s="45" t="s">
        <v>19</v>
      </c>
      <c r="F97" s="45" t="s">
        <v>20</v>
      </c>
      <c r="G97" s="44" t="str">
        <f t="shared" si="1"/>
        <v>Augusto</v>
      </c>
      <c r="H97" s="51" t="s">
        <v>147</v>
      </c>
      <c r="I97" s="51" t="s">
        <v>219</v>
      </c>
      <c r="J97" s="44" t="str">
        <f t="shared" si="4"/>
        <v>Não</v>
      </c>
      <c r="K97" s="47">
        <v>44950.0</v>
      </c>
      <c r="L97" s="45"/>
      <c r="M97" s="45" t="s">
        <v>55</v>
      </c>
      <c r="N97" s="48">
        <v>0.01</v>
      </c>
      <c r="O97" s="44" t="s">
        <v>24</v>
      </c>
      <c r="P97" s="49">
        <v>0.0</v>
      </c>
      <c r="Q97" s="50"/>
      <c r="R97" s="50"/>
      <c r="S97" s="45" t="s">
        <v>108</v>
      </c>
      <c r="T97" s="24" t="s">
        <v>451</v>
      </c>
      <c r="U97" s="9" t="s">
        <v>19</v>
      </c>
      <c r="V97" s="51" t="str">
        <f t="shared" si="3"/>
        <v>Ativo</v>
      </c>
      <c r="W97" s="45"/>
      <c r="X97" s="52" t="s">
        <v>119</v>
      </c>
      <c r="Y97" s="54"/>
      <c r="Z97" s="54"/>
      <c r="AA97" s="54"/>
      <c r="AB97" s="54"/>
      <c r="AC97" s="54">
        <v>50146.76</v>
      </c>
      <c r="AD97" s="54">
        <v>50596.26</v>
      </c>
      <c r="AE97" s="54">
        <v>51063.01</v>
      </c>
      <c r="AF97" s="54">
        <v>52548.06</v>
      </c>
      <c r="AG97" s="54">
        <v>38402.56</v>
      </c>
      <c r="AH97" s="54">
        <v>20613.26</v>
      </c>
      <c r="AI97" s="54">
        <v>20817.53</v>
      </c>
      <c r="AJ97" s="54">
        <v>21044.03</v>
      </c>
      <c r="AK97" s="54">
        <v>21235.62</v>
      </c>
      <c r="AL97" s="54">
        <v>0.0</v>
      </c>
      <c r="AM97" s="54">
        <v>0.0</v>
      </c>
      <c r="AN97" s="54">
        <v>0.0</v>
      </c>
      <c r="AO97" s="54">
        <v>0.0</v>
      </c>
      <c r="AP97" s="53">
        <v>0.78</v>
      </c>
      <c r="AQ97" s="53">
        <v>0.78</v>
      </c>
      <c r="AR97" s="53">
        <v>0.78</v>
      </c>
      <c r="AS97" s="53">
        <v>0.78</v>
      </c>
      <c r="AT97" s="53">
        <v>0.78</v>
      </c>
      <c r="AU97" s="53">
        <f t="array" ref="AU97">XLOOKUP(C97,'PL TOTAL D0'!A:A,'PL TOTAL D0'!C:C,"")</f>
        <v>0.78</v>
      </c>
    </row>
    <row r="98" ht="15.75" customHeight="1">
      <c r="A98" s="41" t="s">
        <v>43</v>
      </c>
      <c r="B98" s="42" t="s">
        <v>452</v>
      </c>
      <c r="C98" s="43" t="s">
        <v>453</v>
      </c>
      <c r="D98" s="44" t="s">
        <v>18</v>
      </c>
      <c r="E98" s="45" t="s">
        <v>176</v>
      </c>
      <c r="F98" s="45" t="s">
        <v>177</v>
      </c>
      <c r="G98" s="44" t="str">
        <f t="shared" si="1"/>
        <v>Augusto</v>
      </c>
      <c r="H98" s="46" t="s">
        <v>107</v>
      </c>
      <c r="I98" s="46" t="s">
        <v>24</v>
      </c>
      <c r="J98" s="44" t="str">
        <f t="shared" si="4"/>
        <v>Não</v>
      </c>
      <c r="K98" s="47">
        <v>45070.0</v>
      </c>
      <c r="L98" s="62"/>
      <c r="M98" s="45" t="s">
        <v>47</v>
      </c>
      <c r="N98" s="48">
        <v>0.015</v>
      </c>
      <c r="O98" s="44" t="s">
        <v>48</v>
      </c>
      <c r="P98" s="49">
        <v>0.1</v>
      </c>
      <c r="Q98" s="50"/>
      <c r="R98" s="50"/>
      <c r="S98" s="45" t="s">
        <v>108</v>
      </c>
      <c r="T98" s="24" t="s">
        <v>454</v>
      </c>
      <c r="U98" s="9" t="s">
        <v>455</v>
      </c>
      <c r="V98" s="51" t="str">
        <f t="shared" si="3"/>
        <v>Ativo</v>
      </c>
      <c r="W98" s="45"/>
      <c r="X98" s="52" t="s">
        <v>110</v>
      </c>
      <c r="Y98" s="54"/>
      <c r="Z98" s="54"/>
      <c r="AA98" s="54"/>
      <c r="AB98" s="54"/>
      <c r="AC98" s="54"/>
      <c r="AD98" s="54"/>
      <c r="AE98" s="54"/>
      <c r="AF98" s="54">
        <v>0.0</v>
      </c>
      <c r="AG98" s="54">
        <v>0.0</v>
      </c>
      <c r="AH98" s="54">
        <v>153290.86</v>
      </c>
      <c r="AI98" s="54">
        <v>156154.21</v>
      </c>
      <c r="AJ98" s="54">
        <v>159693.13</v>
      </c>
      <c r="AK98" s="54">
        <v>160546.72</v>
      </c>
      <c r="AL98" s="54">
        <v>177487.27</v>
      </c>
      <c r="AM98" s="54">
        <v>181353.63</v>
      </c>
      <c r="AN98" s="54">
        <v>191895.27</v>
      </c>
      <c r="AO98" s="54">
        <v>195075.61</v>
      </c>
      <c r="AP98" s="53">
        <v>198908.76</v>
      </c>
      <c r="AQ98" s="53">
        <v>205686.07</v>
      </c>
      <c r="AR98" s="53">
        <v>214463.58</v>
      </c>
      <c r="AS98" s="53">
        <v>218645.7</v>
      </c>
      <c r="AT98" s="53">
        <v>234039.8</v>
      </c>
      <c r="AU98" s="53">
        <f t="array" ref="AU98">XLOOKUP(C98,'PL TOTAL D0'!A:A,'PL TOTAL D0'!C:C,"")</f>
        <v>252338.2</v>
      </c>
    </row>
    <row r="99" ht="15.75" customHeight="1">
      <c r="A99" s="6" t="s">
        <v>43</v>
      </c>
      <c r="B99" s="55" t="s">
        <v>456</v>
      </c>
      <c r="C99" s="56" t="s">
        <v>457</v>
      </c>
      <c r="D99" s="9" t="s">
        <v>18</v>
      </c>
      <c r="E99" s="24" t="s">
        <v>29</v>
      </c>
      <c r="F99" s="24" t="s">
        <v>128</v>
      </c>
      <c r="G99" s="44" t="str">
        <f t="shared" si="1"/>
        <v>Augusto</v>
      </c>
      <c r="H99" s="51" t="s">
        <v>147</v>
      </c>
      <c r="I99" s="51" t="s">
        <v>148</v>
      </c>
      <c r="J99" s="44" t="str">
        <f t="shared" si="4"/>
        <v>Não</v>
      </c>
      <c r="K99" s="57">
        <v>45281.0</v>
      </c>
      <c r="L99" s="62"/>
      <c r="M99" s="24" t="s">
        <v>149</v>
      </c>
      <c r="N99" s="58">
        <v>0.0</v>
      </c>
      <c r="O99" s="9" t="s">
        <v>24</v>
      </c>
      <c r="P99" s="59">
        <v>0.0</v>
      </c>
      <c r="Q99" s="60"/>
      <c r="R99" s="50"/>
      <c r="S99" s="24" t="s">
        <v>108</v>
      </c>
      <c r="T99" s="24" t="s">
        <v>458</v>
      </c>
      <c r="U99" s="9" t="s">
        <v>29</v>
      </c>
      <c r="V99" s="51" t="str">
        <f t="shared" si="3"/>
        <v>Ativo</v>
      </c>
      <c r="W99" s="45"/>
      <c r="X99" s="52" t="s">
        <v>119</v>
      </c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>
        <v>548.45</v>
      </c>
      <c r="AO99" s="54">
        <v>1812.67</v>
      </c>
      <c r="AP99" s="53">
        <v>1735.32</v>
      </c>
      <c r="AQ99" s="53">
        <v>2050.86</v>
      </c>
      <c r="AR99" s="53">
        <v>2085.39</v>
      </c>
      <c r="AS99" s="53">
        <v>2197.64</v>
      </c>
      <c r="AT99" s="53">
        <v>2898.31</v>
      </c>
      <c r="AU99" s="53">
        <f t="array" ref="AU99">XLOOKUP(C99,'PL TOTAL D0'!A:A,'PL TOTAL D0'!C:C,"")</f>
        <v>3579.11</v>
      </c>
    </row>
    <row r="100" ht="15.75" customHeight="1">
      <c r="A100" s="41" t="s">
        <v>43</v>
      </c>
      <c r="B100" s="61" t="s">
        <v>459</v>
      </c>
      <c r="C100" s="71" t="s">
        <v>460</v>
      </c>
      <c r="D100" s="44" t="s">
        <v>18</v>
      </c>
      <c r="E100" s="45" t="s">
        <v>176</v>
      </c>
      <c r="F100" s="93" t="s">
        <v>177</v>
      </c>
      <c r="G100" s="44" t="str">
        <f t="shared" si="1"/>
        <v>Augusto</v>
      </c>
      <c r="H100" s="46" t="s">
        <v>107</v>
      </c>
      <c r="I100" s="46" t="s">
        <v>24</v>
      </c>
      <c r="J100" s="44" t="str">
        <f t="shared" si="4"/>
        <v>Não</v>
      </c>
      <c r="K100" s="47">
        <v>45222.0</v>
      </c>
      <c r="L100" s="62"/>
      <c r="M100" s="45" t="s">
        <v>269</v>
      </c>
      <c r="N100" s="48">
        <v>0.02</v>
      </c>
      <c r="O100" s="44" t="s">
        <v>48</v>
      </c>
      <c r="P100" s="49">
        <v>0.2</v>
      </c>
      <c r="Q100" s="50"/>
      <c r="R100" s="50"/>
      <c r="S100" s="45" t="s">
        <v>108</v>
      </c>
      <c r="T100" s="24" t="s">
        <v>461</v>
      </c>
      <c r="U100" s="9" t="s">
        <v>180</v>
      </c>
      <c r="V100" s="51" t="str">
        <f t="shared" si="3"/>
        <v>Ativo</v>
      </c>
      <c r="W100" s="45"/>
      <c r="X100" s="52" t="s">
        <v>110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>
        <v>0.0</v>
      </c>
      <c r="AM100" s="54">
        <v>277932.23</v>
      </c>
      <c r="AN100" s="54">
        <v>289239.67</v>
      </c>
      <c r="AO100" s="54">
        <v>278382.04</v>
      </c>
      <c r="AP100" s="53">
        <v>220820.08</v>
      </c>
      <c r="AQ100" s="53">
        <v>223808.12</v>
      </c>
      <c r="AR100" s="53">
        <v>219655.87</v>
      </c>
      <c r="AS100" s="53">
        <v>217168.4</v>
      </c>
      <c r="AT100" s="53">
        <v>218200.6</v>
      </c>
      <c r="AU100" s="53">
        <f t="array" ref="AU100">XLOOKUP(C100,'PL TOTAL D0'!A:A,'PL TOTAL D0'!C:C,"")</f>
        <v>223220.7</v>
      </c>
    </row>
    <row r="101" ht="15.75" customHeight="1">
      <c r="A101" s="41" t="s">
        <v>43</v>
      </c>
      <c r="B101" s="61" t="s">
        <v>462</v>
      </c>
      <c r="C101" s="43" t="s">
        <v>463</v>
      </c>
      <c r="D101" s="44" t="s">
        <v>18</v>
      </c>
      <c r="E101" s="45" t="s">
        <v>176</v>
      </c>
      <c r="F101" s="44" t="s">
        <v>197</v>
      </c>
      <c r="G101" s="44" t="str">
        <f t="shared" si="1"/>
        <v>Breno</v>
      </c>
      <c r="H101" s="46" t="s">
        <v>107</v>
      </c>
      <c r="I101" s="46" t="s">
        <v>24</v>
      </c>
      <c r="J101" s="44" t="str">
        <f t="shared" si="4"/>
        <v>Não</v>
      </c>
      <c r="K101" s="47">
        <v>45042.0</v>
      </c>
      <c r="L101" s="45"/>
      <c r="M101" s="45" t="s">
        <v>47</v>
      </c>
      <c r="N101" s="48">
        <v>0.015</v>
      </c>
      <c r="O101" s="44" t="s">
        <v>48</v>
      </c>
      <c r="P101" s="49">
        <v>0.1</v>
      </c>
      <c r="Q101" s="50"/>
      <c r="R101" s="50"/>
      <c r="S101" s="45" t="s">
        <v>108</v>
      </c>
      <c r="T101" s="24" t="s">
        <v>464</v>
      </c>
      <c r="U101" s="9" t="s">
        <v>180</v>
      </c>
      <c r="V101" s="51" t="str">
        <f t="shared" si="3"/>
        <v>Ativo</v>
      </c>
      <c r="W101" s="45"/>
      <c r="X101" s="52" t="s">
        <v>110</v>
      </c>
      <c r="Y101" s="54"/>
      <c r="Z101" s="54"/>
      <c r="AA101" s="54"/>
      <c r="AB101" s="54"/>
      <c r="AC101" s="54"/>
      <c r="AD101" s="54"/>
      <c r="AE101" s="54">
        <v>0.0</v>
      </c>
      <c r="AF101" s="54">
        <v>542346.66</v>
      </c>
      <c r="AG101" s="54">
        <v>584340.22</v>
      </c>
      <c r="AH101" s="54">
        <v>594830.28</v>
      </c>
      <c r="AI101" s="54">
        <v>602056.04</v>
      </c>
      <c r="AJ101" s="54">
        <v>598199.86</v>
      </c>
      <c r="AK101" s="54">
        <v>600995.9</v>
      </c>
      <c r="AL101" s="54">
        <v>599761.88</v>
      </c>
      <c r="AM101" s="54">
        <v>613288.51</v>
      </c>
      <c r="AN101" s="54">
        <v>625453.34</v>
      </c>
      <c r="AO101" s="54">
        <v>616152.86</v>
      </c>
      <c r="AP101" s="53">
        <v>620014.59</v>
      </c>
      <c r="AQ101" s="53">
        <v>626625.64</v>
      </c>
      <c r="AR101" s="53">
        <v>617212.34</v>
      </c>
      <c r="AS101" s="53">
        <v>614698.6</v>
      </c>
      <c r="AT101" s="53">
        <v>618528.0</v>
      </c>
      <c r="AU101" s="53">
        <f t="array" ref="AU101">XLOOKUP(C101,'PL TOTAL D0'!A:A,'PL TOTAL D0'!C:C,"")</f>
        <v>623417.1</v>
      </c>
    </row>
    <row r="102" ht="15.75" customHeight="1">
      <c r="A102" s="41" t="s">
        <v>43</v>
      </c>
      <c r="B102" s="115" t="s">
        <v>465</v>
      </c>
      <c r="C102" s="56" t="s">
        <v>466</v>
      </c>
      <c r="D102" s="9" t="s">
        <v>52</v>
      </c>
      <c r="E102" s="24" t="s">
        <v>19</v>
      </c>
      <c r="F102" s="9" t="s">
        <v>53</v>
      </c>
      <c r="G102" s="44" t="str">
        <f t="shared" si="1"/>
        <v>#N/A</v>
      </c>
      <c r="H102" s="51" t="s">
        <v>123</v>
      </c>
      <c r="I102" s="51" t="s">
        <v>24</v>
      </c>
      <c r="J102" s="44" t="str">
        <f t="shared" si="4"/>
        <v>Não</v>
      </c>
      <c r="K102" s="57">
        <v>45483.0</v>
      </c>
      <c r="L102" s="45"/>
      <c r="M102" s="24" t="s">
        <v>55</v>
      </c>
      <c r="N102" s="58">
        <v>0.012</v>
      </c>
      <c r="O102" s="9" t="s">
        <v>24</v>
      </c>
      <c r="P102" s="59">
        <v>0.0</v>
      </c>
      <c r="Q102" s="50"/>
      <c r="R102" s="50"/>
      <c r="S102" s="24" t="s">
        <v>108</v>
      </c>
      <c r="T102" s="24" t="s">
        <v>467</v>
      </c>
      <c r="U102" s="9" t="s">
        <v>19</v>
      </c>
      <c r="V102" s="51" t="str">
        <f t="shared" si="3"/>
        <v>Ativo</v>
      </c>
      <c r="W102" s="24" t="s">
        <v>75</v>
      </c>
      <c r="X102" s="52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3"/>
      <c r="AQ102" s="53"/>
      <c r="AR102" s="53"/>
      <c r="AS102" s="53"/>
      <c r="AT102" s="53"/>
      <c r="AU102" s="53" t="str">
        <f t="array" ref="AU102">XLOOKUP(C102,'PL TOTAL D0'!A:A,'PL TOTAL D0'!C:C,"")</f>
        <v/>
      </c>
    </row>
    <row r="103" ht="15.75" customHeight="1">
      <c r="A103" s="41" t="s">
        <v>43</v>
      </c>
      <c r="B103" s="61" t="s">
        <v>468</v>
      </c>
      <c r="C103" s="43" t="s">
        <v>469</v>
      </c>
      <c r="D103" s="44" t="s">
        <v>18</v>
      </c>
      <c r="E103" s="45" t="s">
        <v>176</v>
      </c>
      <c r="F103" s="44" t="s">
        <v>177</v>
      </c>
      <c r="G103" s="44" t="str">
        <f t="shared" si="1"/>
        <v>Bruno</v>
      </c>
      <c r="H103" s="46" t="s">
        <v>107</v>
      </c>
      <c r="I103" s="46" t="s">
        <v>24</v>
      </c>
      <c r="J103" s="44" t="str">
        <f t="shared" si="4"/>
        <v>Não</v>
      </c>
      <c r="K103" s="47">
        <v>45069.0</v>
      </c>
      <c r="L103" s="45"/>
      <c r="M103" s="45" t="s">
        <v>47</v>
      </c>
      <c r="N103" s="48">
        <v>0.015</v>
      </c>
      <c r="O103" s="44" t="s">
        <v>48</v>
      </c>
      <c r="P103" s="49">
        <v>0.1</v>
      </c>
      <c r="Q103" s="50"/>
      <c r="R103" s="60" t="s">
        <v>470</v>
      </c>
      <c r="S103" s="45" t="s">
        <v>108</v>
      </c>
      <c r="T103" s="24" t="s">
        <v>471</v>
      </c>
      <c r="U103" s="9" t="s">
        <v>180</v>
      </c>
      <c r="V103" s="51" t="str">
        <f t="shared" si="3"/>
        <v>Ativo</v>
      </c>
      <c r="W103" s="45"/>
      <c r="X103" s="52" t="s">
        <v>110</v>
      </c>
      <c r="Y103" s="54"/>
      <c r="Z103" s="54"/>
      <c r="AA103" s="54"/>
      <c r="AB103" s="54"/>
      <c r="AC103" s="54"/>
      <c r="AD103" s="54"/>
      <c r="AE103" s="54">
        <v>0.0</v>
      </c>
      <c r="AF103" s="54">
        <v>0.0</v>
      </c>
      <c r="AG103" s="54">
        <v>2070022.35</v>
      </c>
      <c r="AH103" s="54">
        <v>2103502.64</v>
      </c>
      <c r="AI103" s="54">
        <v>2127232.49</v>
      </c>
      <c r="AJ103" s="54">
        <v>2116358.07</v>
      </c>
      <c r="AK103" s="54">
        <v>2243640.55</v>
      </c>
      <c r="AL103" s="54">
        <v>2235994.67</v>
      </c>
      <c r="AM103" s="54">
        <v>2377416.49</v>
      </c>
      <c r="AN103" s="54">
        <v>2415030.57</v>
      </c>
      <c r="AO103" s="54">
        <v>2380802.78</v>
      </c>
      <c r="AP103" s="53">
        <v>2399647.77</v>
      </c>
      <c r="AQ103" s="53">
        <v>2426511.51</v>
      </c>
      <c r="AR103" s="53">
        <v>2528771.03</v>
      </c>
      <c r="AS103" s="53">
        <v>2517554.0</v>
      </c>
      <c r="AT103" s="53">
        <v>2532958.0</v>
      </c>
      <c r="AU103" s="53">
        <f t="array" ref="AU103">XLOOKUP(C103,'PL TOTAL D0'!A:A,'PL TOTAL D0'!C:C,"")</f>
        <v>2572696</v>
      </c>
    </row>
    <row r="104" ht="15.75" customHeight="1">
      <c r="A104" s="41" t="s">
        <v>43</v>
      </c>
      <c r="B104" s="97" t="s">
        <v>468</v>
      </c>
      <c r="C104" s="71" t="s">
        <v>472</v>
      </c>
      <c r="D104" s="44" t="s">
        <v>18</v>
      </c>
      <c r="E104" s="45" t="s">
        <v>176</v>
      </c>
      <c r="F104" s="44" t="s">
        <v>177</v>
      </c>
      <c r="G104" s="44" t="str">
        <f t="shared" si="1"/>
        <v>Breno</v>
      </c>
      <c r="H104" s="51" t="s">
        <v>107</v>
      </c>
      <c r="I104" s="51" t="s">
        <v>24</v>
      </c>
      <c r="J104" s="44" t="str">
        <f t="shared" si="4"/>
        <v>Não</v>
      </c>
      <c r="K104" s="47">
        <v>45238.0</v>
      </c>
      <c r="L104" s="45"/>
      <c r="M104" s="45" t="s">
        <v>190</v>
      </c>
      <c r="N104" s="117">
        <v>0.025</v>
      </c>
      <c r="O104" s="95" t="s">
        <v>191</v>
      </c>
      <c r="P104" s="118">
        <v>0.2</v>
      </c>
      <c r="Q104" s="50"/>
      <c r="R104" s="60" t="s">
        <v>473</v>
      </c>
      <c r="S104" s="45" t="s">
        <v>108</v>
      </c>
      <c r="T104" s="24" t="s">
        <v>471</v>
      </c>
      <c r="U104" s="9" t="s">
        <v>180</v>
      </c>
      <c r="V104" s="51" t="str">
        <f t="shared" si="3"/>
        <v>Ativo</v>
      </c>
      <c r="W104" s="45"/>
      <c r="X104" s="52" t="s">
        <v>110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>
        <v>652851.99</v>
      </c>
      <c r="AN104" s="54">
        <v>684298.56</v>
      </c>
      <c r="AO104" s="54">
        <v>637688.03</v>
      </c>
      <c r="AP104" s="53">
        <v>645978.53</v>
      </c>
      <c r="AQ104" s="53">
        <v>656283.35</v>
      </c>
      <c r="AR104" s="53">
        <v>626648.49</v>
      </c>
      <c r="AS104" s="53">
        <v>616981.8</v>
      </c>
      <c r="AT104" s="53">
        <v>618421.3</v>
      </c>
      <c r="AU104" s="53">
        <f t="array" ref="AU104">XLOOKUP(C104,'PL TOTAL D0'!A:A,'PL TOTAL D0'!C:C,"")</f>
        <v>645496.2</v>
      </c>
    </row>
    <row r="105" ht="15.75" customHeight="1">
      <c r="A105" s="41" t="s">
        <v>43</v>
      </c>
      <c r="B105" s="42" t="s">
        <v>474</v>
      </c>
      <c r="C105" s="43" t="s">
        <v>475</v>
      </c>
      <c r="D105" s="44" t="s">
        <v>18</v>
      </c>
      <c r="E105" s="45" t="s">
        <v>176</v>
      </c>
      <c r="F105" s="44" t="s">
        <v>177</v>
      </c>
      <c r="G105" s="44" t="str">
        <f t="shared" si="1"/>
        <v>Augusto</v>
      </c>
      <c r="H105" s="46" t="s">
        <v>107</v>
      </c>
      <c r="I105" s="46" t="s">
        <v>24</v>
      </c>
      <c r="J105" s="44" t="str">
        <f t="shared" si="4"/>
        <v>Não</v>
      </c>
      <c r="K105" s="47">
        <v>45113.0</v>
      </c>
      <c r="L105" s="62"/>
      <c r="M105" s="45" t="s">
        <v>190</v>
      </c>
      <c r="N105" s="48">
        <v>0.025</v>
      </c>
      <c r="O105" s="44" t="s">
        <v>191</v>
      </c>
      <c r="P105" s="49">
        <v>0.2</v>
      </c>
      <c r="Q105" s="50"/>
      <c r="R105" s="50"/>
      <c r="S105" s="45" t="s">
        <v>108</v>
      </c>
      <c r="T105" s="24" t="s">
        <v>476</v>
      </c>
      <c r="U105" s="9" t="s">
        <v>180</v>
      </c>
      <c r="V105" s="51" t="str">
        <f t="shared" si="3"/>
        <v>Ativo</v>
      </c>
      <c r="W105" s="45"/>
      <c r="X105" s="52" t="s">
        <v>110</v>
      </c>
      <c r="Y105" s="54"/>
      <c r="Z105" s="54"/>
      <c r="AA105" s="54"/>
      <c r="AB105" s="54"/>
      <c r="AC105" s="54"/>
      <c r="AD105" s="54"/>
      <c r="AE105" s="54"/>
      <c r="AF105" s="54"/>
      <c r="AG105" s="54"/>
      <c r="AH105" s="54">
        <v>0.0</v>
      </c>
      <c r="AI105" s="54">
        <v>51041.15</v>
      </c>
      <c r="AJ105" s="54">
        <v>49917.84</v>
      </c>
      <c r="AK105" s="54">
        <v>49755.82</v>
      </c>
      <c r="AL105" s="54">
        <v>47504.14</v>
      </c>
      <c r="AM105" s="54">
        <v>51103.35</v>
      </c>
      <c r="AN105" s="54">
        <v>53544.78</v>
      </c>
      <c r="AO105" s="54">
        <v>49830.07</v>
      </c>
      <c r="AP105" s="53">
        <v>99800.43</v>
      </c>
      <c r="AQ105" s="53">
        <v>101505.39</v>
      </c>
      <c r="AR105" s="53">
        <v>97140.19</v>
      </c>
      <c r="AS105" s="53">
        <v>94921.19</v>
      </c>
      <c r="AT105" s="53">
        <v>94769.16</v>
      </c>
      <c r="AU105" s="53">
        <f t="array" ref="AU105">XLOOKUP(C105,'PL TOTAL D0'!A:A,'PL TOTAL D0'!C:C,"")</f>
        <v>98241.16</v>
      </c>
    </row>
    <row r="106" ht="15.75" customHeight="1">
      <c r="A106" s="41" t="s">
        <v>43</v>
      </c>
      <c r="B106" s="42" t="s">
        <v>474</v>
      </c>
      <c r="C106" s="43" t="s">
        <v>477</v>
      </c>
      <c r="D106" s="44" t="s">
        <v>18</v>
      </c>
      <c r="E106" s="45" t="s">
        <v>176</v>
      </c>
      <c r="F106" s="44" t="s">
        <v>177</v>
      </c>
      <c r="G106" s="44" t="str">
        <f t="shared" si="1"/>
        <v>Breno</v>
      </c>
      <c r="H106" s="46" t="s">
        <v>107</v>
      </c>
      <c r="I106" s="46" t="s">
        <v>24</v>
      </c>
      <c r="J106" s="44" t="str">
        <f t="shared" si="4"/>
        <v>Não</v>
      </c>
      <c r="K106" s="47">
        <v>45075.0</v>
      </c>
      <c r="L106" s="45"/>
      <c r="M106" s="45" t="s">
        <v>55</v>
      </c>
      <c r="N106" s="48">
        <v>0.012</v>
      </c>
      <c r="O106" s="44" t="s">
        <v>24</v>
      </c>
      <c r="P106" s="49">
        <v>0.0</v>
      </c>
      <c r="Q106" s="50"/>
      <c r="R106" s="50"/>
      <c r="S106" s="45" t="s">
        <v>108</v>
      </c>
      <c r="T106" s="24" t="s">
        <v>476</v>
      </c>
      <c r="U106" s="9" t="s">
        <v>180</v>
      </c>
      <c r="V106" s="51" t="str">
        <f t="shared" si="3"/>
        <v>Ativo</v>
      </c>
      <c r="W106" s="45"/>
      <c r="X106" s="52" t="s">
        <v>110</v>
      </c>
      <c r="Y106" s="54"/>
      <c r="Z106" s="54"/>
      <c r="AA106" s="54"/>
      <c r="AB106" s="54"/>
      <c r="AC106" s="54"/>
      <c r="AD106" s="54"/>
      <c r="AE106" s="54">
        <v>0.0</v>
      </c>
      <c r="AF106" s="54">
        <v>0.0</v>
      </c>
      <c r="AG106" s="54">
        <v>625317.48</v>
      </c>
      <c r="AH106" s="54">
        <v>675434.06</v>
      </c>
      <c r="AI106" s="54">
        <v>628805.12</v>
      </c>
      <c r="AJ106" s="54">
        <v>634687.11</v>
      </c>
      <c r="AK106" s="54">
        <v>637617.83</v>
      </c>
      <c r="AL106" s="54">
        <v>640660.17</v>
      </c>
      <c r="AM106" s="54">
        <v>625126.21</v>
      </c>
      <c r="AN106" s="54">
        <v>610235.55</v>
      </c>
      <c r="AO106" s="54">
        <v>593915.89</v>
      </c>
      <c r="AP106" s="53">
        <v>546034.45</v>
      </c>
      <c r="AQ106" s="53">
        <v>550621.0</v>
      </c>
      <c r="AR106" s="53">
        <v>549433.34</v>
      </c>
      <c r="AS106" s="53">
        <v>552019.2</v>
      </c>
      <c r="AT106" s="53">
        <v>556363.9</v>
      </c>
      <c r="AU106" s="53">
        <f t="array" ref="AU106">XLOOKUP(C106,'PL TOTAL D0'!A:A,'PL TOTAL D0'!C:C,"")</f>
        <v>556842.1</v>
      </c>
    </row>
    <row r="107" ht="15.75" customHeight="1">
      <c r="A107" s="41" t="s">
        <v>43</v>
      </c>
      <c r="B107" s="55" t="s">
        <v>478</v>
      </c>
      <c r="C107" s="43" t="s">
        <v>479</v>
      </c>
      <c r="D107" s="44" t="s">
        <v>18</v>
      </c>
      <c r="E107" s="45" t="s">
        <v>176</v>
      </c>
      <c r="F107" s="44" t="s">
        <v>197</v>
      </c>
      <c r="G107" s="44" t="str">
        <f t="shared" si="1"/>
        <v>Augusto</v>
      </c>
      <c r="H107" s="46" t="s">
        <v>107</v>
      </c>
      <c r="I107" s="46" t="s">
        <v>24</v>
      </c>
      <c r="J107" s="44" t="str">
        <f t="shared" si="4"/>
        <v>Não</v>
      </c>
      <c r="K107" s="47">
        <v>45093.0</v>
      </c>
      <c r="L107" s="45"/>
      <c r="M107" s="45" t="s">
        <v>79</v>
      </c>
      <c r="N107" s="48">
        <v>0.012</v>
      </c>
      <c r="O107" s="44" t="s">
        <v>24</v>
      </c>
      <c r="P107" s="49">
        <v>0.0</v>
      </c>
      <c r="Q107" s="74"/>
      <c r="R107" s="50"/>
      <c r="S107" s="45" t="s">
        <v>108</v>
      </c>
      <c r="T107" s="24" t="s">
        <v>480</v>
      </c>
      <c r="U107" s="9" t="s">
        <v>180</v>
      </c>
      <c r="V107" s="51" t="str">
        <f t="shared" si="3"/>
        <v>Ativo</v>
      </c>
      <c r="W107" s="45"/>
      <c r="X107" s="52" t="s">
        <v>110</v>
      </c>
      <c r="Y107" s="54"/>
      <c r="Z107" s="54"/>
      <c r="AA107" s="54"/>
      <c r="AB107" s="54"/>
      <c r="AC107" s="54"/>
      <c r="AD107" s="54"/>
      <c r="AE107" s="54"/>
      <c r="AF107" s="54">
        <v>0.0</v>
      </c>
      <c r="AG107" s="54">
        <v>5000.0</v>
      </c>
      <c r="AH107" s="54">
        <v>5026.08</v>
      </c>
      <c r="AI107" s="54">
        <v>242504.57</v>
      </c>
      <c r="AJ107" s="54">
        <v>251998.2</v>
      </c>
      <c r="AK107" s="54">
        <v>258335.65</v>
      </c>
      <c r="AL107" s="54">
        <v>258603.46</v>
      </c>
      <c r="AM107" s="54">
        <v>263284.06</v>
      </c>
      <c r="AN107" s="54">
        <v>267096.93</v>
      </c>
      <c r="AO107" s="54">
        <v>266200.21</v>
      </c>
      <c r="AP107" s="53">
        <v>268175.67</v>
      </c>
      <c r="AQ107" s="53">
        <v>267033.97</v>
      </c>
      <c r="AR107" s="53">
        <v>267120.61</v>
      </c>
      <c r="AS107" s="53">
        <v>267699.6</v>
      </c>
      <c r="AT107" s="53">
        <v>269730.4</v>
      </c>
      <c r="AU107" s="53">
        <f t="array" ref="AU107">XLOOKUP(C107,'PL TOTAL D0'!A:A,'PL TOTAL D0'!C:C,"")</f>
        <v>272203.7</v>
      </c>
    </row>
    <row r="108" ht="15.75" customHeight="1">
      <c r="A108" s="41" t="s">
        <v>43</v>
      </c>
      <c r="B108" s="42" t="s">
        <v>481</v>
      </c>
      <c r="C108" s="43" t="s">
        <v>482</v>
      </c>
      <c r="D108" s="44" t="s">
        <v>18</v>
      </c>
      <c r="E108" s="45" t="s">
        <v>176</v>
      </c>
      <c r="F108" s="44" t="s">
        <v>197</v>
      </c>
      <c r="G108" s="44" t="str">
        <f t="shared" si="1"/>
        <v>Augusto</v>
      </c>
      <c r="H108" s="46" t="s">
        <v>107</v>
      </c>
      <c r="I108" s="46" t="s">
        <v>24</v>
      </c>
      <c r="J108" s="44" t="str">
        <f t="shared" si="4"/>
        <v>Não</v>
      </c>
      <c r="K108" s="47">
        <v>45043.0</v>
      </c>
      <c r="L108" s="45"/>
      <c r="M108" s="45" t="s">
        <v>79</v>
      </c>
      <c r="N108" s="48">
        <v>0.012</v>
      </c>
      <c r="O108" s="44" t="s">
        <v>48</v>
      </c>
      <c r="P108" s="49">
        <v>0.1</v>
      </c>
      <c r="Q108" s="63"/>
      <c r="R108" s="60" t="s">
        <v>483</v>
      </c>
      <c r="S108" s="45" t="s">
        <v>108</v>
      </c>
      <c r="T108" s="24" t="s">
        <v>484</v>
      </c>
      <c r="U108" s="9" t="s">
        <v>180</v>
      </c>
      <c r="V108" s="51" t="str">
        <f t="shared" si="3"/>
        <v>Ativo</v>
      </c>
      <c r="W108" s="45"/>
      <c r="X108" s="52" t="s">
        <v>110</v>
      </c>
      <c r="Y108" s="54"/>
      <c r="Z108" s="54"/>
      <c r="AA108" s="54"/>
      <c r="AB108" s="54"/>
      <c r="AC108" s="54"/>
      <c r="AD108" s="54"/>
      <c r="AE108" s="54">
        <v>0.0</v>
      </c>
      <c r="AF108" s="54">
        <v>13680.76</v>
      </c>
      <c r="AG108" s="54">
        <v>82180.02</v>
      </c>
      <c r="AH108" s="54">
        <v>154130.79</v>
      </c>
      <c r="AI108" s="54">
        <v>157675.4</v>
      </c>
      <c r="AJ108" s="54">
        <v>194857.67</v>
      </c>
      <c r="AK108" s="54">
        <v>197754.37</v>
      </c>
      <c r="AL108" s="54">
        <v>205526.47</v>
      </c>
      <c r="AM108" s="54">
        <v>213038.45</v>
      </c>
      <c r="AN108" s="54">
        <v>217649.15</v>
      </c>
      <c r="AO108" s="54">
        <v>201823.01</v>
      </c>
      <c r="AP108" s="53">
        <v>204980.68</v>
      </c>
      <c r="AQ108" s="53">
        <v>209678.1</v>
      </c>
      <c r="AR108" s="53">
        <v>227132.7</v>
      </c>
      <c r="AS108" s="53">
        <v>233041.9</v>
      </c>
      <c r="AT108" s="53">
        <v>235324.8</v>
      </c>
      <c r="AU108" s="53">
        <f t="array" ref="AU108">XLOOKUP(C108,'PL TOTAL D0'!A:A,'PL TOTAL D0'!C:C,"")</f>
        <v>241999.8</v>
      </c>
    </row>
    <row r="109" ht="15.75" customHeight="1">
      <c r="A109" s="41" t="s">
        <v>43</v>
      </c>
      <c r="B109" s="42" t="s">
        <v>485</v>
      </c>
      <c r="C109" s="67" t="s">
        <v>486</v>
      </c>
      <c r="D109" s="44" t="s">
        <v>18</v>
      </c>
      <c r="E109" s="45" t="s">
        <v>29</v>
      </c>
      <c r="F109" s="44" t="s">
        <v>294</v>
      </c>
      <c r="G109" s="44" t="str">
        <f t="shared" si="1"/>
        <v>Breno</v>
      </c>
      <c r="H109" s="46" t="s">
        <v>107</v>
      </c>
      <c r="I109" s="46" t="s">
        <v>24</v>
      </c>
      <c r="J109" s="44" t="str">
        <f t="shared" si="4"/>
        <v>Não</v>
      </c>
      <c r="K109" s="47">
        <v>45174.0</v>
      </c>
      <c r="L109" s="45"/>
      <c r="M109" s="45" t="s">
        <v>79</v>
      </c>
      <c r="N109" s="48">
        <v>0.012</v>
      </c>
      <c r="O109" s="44" t="s">
        <v>48</v>
      </c>
      <c r="P109" s="49">
        <v>0.1</v>
      </c>
      <c r="Q109" s="50"/>
      <c r="R109" s="50"/>
      <c r="S109" s="45" t="s">
        <v>108</v>
      </c>
      <c r="T109" s="24" t="s">
        <v>487</v>
      </c>
      <c r="U109" s="9" t="s">
        <v>29</v>
      </c>
      <c r="V109" s="51" t="str">
        <f t="shared" si="3"/>
        <v>Ativo</v>
      </c>
      <c r="W109" s="45"/>
      <c r="X109" s="52" t="s">
        <v>119</v>
      </c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>
        <v>0.0</v>
      </c>
      <c r="AK109" s="54">
        <v>302072.36</v>
      </c>
      <c r="AL109" s="54">
        <v>354108.05</v>
      </c>
      <c r="AM109" s="54">
        <v>377820.02</v>
      </c>
      <c r="AN109" s="54">
        <v>404903.88</v>
      </c>
      <c r="AO109" s="54">
        <v>414156.46</v>
      </c>
      <c r="AP109" s="53">
        <v>422660.17</v>
      </c>
      <c r="AQ109" s="53">
        <v>427208.0</v>
      </c>
      <c r="AR109" s="53">
        <v>427330.42</v>
      </c>
      <c r="AS109" s="53">
        <v>451626.5</v>
      </c>
      <c r="AT109" s="53">
        <v>474984.9</v>
      </c>
      <c r="AU109" s="53">
        <f t="array" ref="AU109">XLOOKUP(C109,'PL TOTAL D0'!A:A,'PL TOTAL D0'!C:C,"")</f>
        <v>479521.1</v>
      </c>
    </row>
    <row r="110" ht="15.75" customHeight="1">
      <c r="A110" s="41" t="s">
        <v>43</v>
      </c>
      <c r="B110" s="42" t="s">
        <v>488</v>
      </c>
      <c r="C110" s="43" t="s">
        <v>489</v>
      </c>
      <c r="D110" s="44" t="s">
        <v>18</v>
      </c>
      <c r="E110" s="45" t="s">
        <v>29</v>
      </c>
      <c r="F110" s="44" t="s">
        <v>60</v>
      </c>
      <c r="G110" s="44" t="str">
        <f t="shared" si="1"/>
        <v>#N/A</v>
      </c>
      <c r="H110" s="51" t="s">
        <v>147</v>
      </c>
      <c r="I110" s="51" t="s">
        <v>219</v>
      </c>
      <c r="J110" s="44" t="str">
        <f t="shared" si="4"/>
        <v>Não</v>
      </c>
      <c r="K110" s="47">
        <v>45264.0</v>
      </c>
      <c r="L110" s="45"/>
      <c r="M110" s="45" t="s">
        <v>278</v>
      </c>
      <c r="N110" s="48">
        <v>0.007</v>
      </c>
      <c r="O110" s="44" t="s">
        <v>24</v>
      </c>
      <c r="P110" s="49">
        <v>0.0</v>
      </c>
      <c r="Q110" s="50"/>
      <c r="R110" s="50"/>
      <c r="S110" s="45" t="s">
        <v>108</v>
      </c>
      <c r="T110" s="24" t="s">
        <v>490</v>
      </c>
      <c r="U110" s="9" t="s">
        <v>29</v>
      </c>
      <c r="V110" s="51" t="str">
        <f t="shared" si="3"/>
        <v>Ativo</v>
      </c>
      <c r="W110" s="45"/>
      <c r="X110" s="52" t="s">
        <v>119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>
        <v>0.0</v>
      </c>
      <c r="AN110" s="54">
        <v>0.0</v>
      </c>
      <c r="AO110" s="54">
        <v>0.0</v>
      </c>
      <c r="AP110" s="53">
        <v>0.0</v>
      </c>
      <c r="AQ110" s="53">
        <v>0.0</v>
      </c>
      <c r="AR110" s="53">
        <v>0.0</v>
      </c>
      <c r="AS110" s="53">
        <v>0.0</v>
      </c>
      <c r="AT110" s="53">
        <v>0.0</v>
      </c>
      <c r="AU110" s="53" t="str">
        <f t="array" ref="AU110">XLOOKUP(C110,'PL TOTAL D0'!A:A,'PL TOTAL D0'!C:C,"")</f>
        <v/>
      </c>
    </row>
    <row r="111" ht="15.75" customHeight="1">
      <c r="A111" s="41" t="s">
        <v>43</v>
      </c>
      <c r="B111" s="55" t="s">
        <v>491</v>
      </c>
      <c r="C111" s="56" t="s">
        <v>492</v>
      </c>
      <c r="D111" s="9" t="s">
        <v>18</v>
      </c>
      <c r="E111" s="24" t="s">
        <v>29</v>
      </c>
      <c r="F111" s="44" t="s">
        <v>294</v>
      </c>
      <c r="G111" s="44" t="str">
        <f t="shared" si="1"/>
        <v>Augusto</v>
      </c>
      <c r="H111" s="51" t="s">
        <v>123</v>
      </c>
      <c r="I111" s="51" t="s">
        <v>24</v>
      </c>
      <c r="J111" s="44" t="str">
        <f t="shared" si="4"/>
        <v>Sim</v>
      </c>
      <c r="K111" s="57">
        <v>45470.0</v>
      </c>
      <c r="L111" s="45"/>
      <c r="M111" s="24" t="s">
        <v>389</v>
      </c>
      <c r="N111" s="58">
        <v>0.007</v>
      </c>
      <c r="O111" s="9" t="s">
        <v>24</v>
      </c>
      <c r="P111" s="59">
        <v>0.0</v>
      </c>
      <c r="Q111" s="25" t="s">
        <v>493</v>
      </c>
      <c r="R111" s="50"/>
      <c r="S111" s="24" t="s">
        <v>108</v>
      </c>
      <c r="T111" s="24" t="s">
        <v>494</v>
      </c>
      <c r="U111" s="9" t="s">
        <v>29</v>
      </c>
      <c r="V111" s="51" t="str">
        <f t="shared" si="3"/>
        <v>Ativo</v>
      </c>
      <c r="W111" s="24" t="s">
        <v>63</v>
      </c>
      <c r="X111" s="52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3"/>
      <c r="AQ111" s="53"/>
      <c r="AR111" s="53"/>
      <c r="AS111" s="53"/>
      <c r="AT111" s="53">
        <v>0.0</v>
      </c>
      <c r="AU111" s="53">
        <f t="array" ref="AU111">XLOOKUP(C111,'PL TOTAL D0'!A:A,'PL TOTAL D0'!C:C,"")</f>
        <v>300000</v>
      </c>
    </row>
    <row r="112" ht="15.75" customHeight="1">
      <c r="A112" s="41" t="s">
        <v>43</v>
      </c>
      <c r="B112" s="42" t="s">
        <v>495</v>
      </c>
      <c r="C112" s="43" t="s">
        <v>496</v>
      </c>
      <c r="D112" s="44" t="s">
        <v>18</v>
      </c>
      <c r="E112" s="45" t="s">
        <v>29</v>
      </c>
      <c r="F112" s="44" t="s">
        <v>294</v>
      </c>
      <c r="G112" s="44" t="str">
        <f t="shared" si="1"/>
        <v>#N/A</v>
      </c>
      <c r="H112" s="51" t="s">
        <v>147</v>
      </c>
      <c r="I112" s="51" t="s">
        <v>219</v>
      </c>
      <c r="J112" s="44" t="str">
        <f t="shared" si="4"/>
        <v>Não</v>
      </c>
      <c r="K112" s="47">
        <v>44999.0</v>
      </c>
      <c r="L112" s="45"/>
      <c r="M112" s="45" t="s">
        <v>55</v>
      </c>
      <c r="N112" s="48">
        <v>0.01</v>
      </c>
      <c r="O112" s="44" t="s">
        <v>24</v>
      </c>
      <c r="P112" s="49">
        <v>0.0</v>
      </c>
      <c r="Q112" s="50"/>
      <c r="R112" s="50"/>
      <c r="S112" s="45" t="s">
        <v>108</v>
      </c>
      <c r="T112" s="24" t="s">
        <v>497</v>
      </c>
      <c r="U112" s="9" t="s">
        <v>29</v>
      </c>
      <c r="V112" s="51" t="str">
        <f t="shared" si="3"/>
        <v>Ativo</v>
      </c>
      <c r="W112" s="45"/>
      <c r="X112" s="52" t="s">
        <v>119</v>
      </c>
      <c r="Y112" s="54"/>
      <c r="Z112" s="54"/>
      <c r="AA112" s="54"/>
      <c r="AB112" s="54"/>
      <c r="AC112" s="54"/>
      <c r="AD112" s="54">
        <v>0.0</v>
      </c>
      <c r="AE112" s="54">
        <v>70041.45</v>
      </c>
      <c r="AF112" s="54">
        <v>70577.15</v>
      </c>
      <c r="AG112" s="54">
        <v>64526.73</v>
      </c>
      <c r="AH112" s="54">
        <v>65262.09</v>
      </c>
      <c r="AI112" s="54">
        <v>65965.11</v>
      </c>
      <c r="AJ112" s="54">
        <v>66693.43</v>
      </c>
      <c r="AK112" s="54">
        <v>47363.79</v>
      </c>
      <c r="AL112" s="54">
        <v>47815.83</v>
      </c>
      <c r="AM112" s="54">
        <v>32941.81</v>
      </c>
      <c r="AN112" s="54">
        <v>33240.64</v>
      </c>
      <c r="AO112" s="54">
        <v>0.0</v>
      </c>
      <c r="AP112" s="53">
        <v>0.0</v>
      </c>
      <c r="AQ112" s="53">
        <v>0.0</v>
      </c>
      <c r="AR112" s="53">
        <v>0.0</v>
      </c>
      <c r="AS112" s="53">
        <v>0.0</v>
      </c>
      <c r="AT112" s="53">
        <v>0.0</v>
      </c>
      <c r="AU112" s="53" t="str">
        <f t="array" ref="AU112">XLOOKUP(C112,'PL TOTAL D0'!A:A,'PL TOTAL D0'!C:C,"")</f>
        <v/>
      </c>
    </row>
    <row r="113" ht="15.75" customHeight="1">
      <c r="A113" s="41" t="s">
        <v>43</v>
      </c>
      <c r="B113" s="42" t="s">
        <v>498</v>
      </c>
      <c r="C113" s="43" t="s">
        <v>499</v>
      </c>
      <c r="D113" s="44" t="s">
        <v>18</v>
      </c>
      <c r="E113" s="45" t="s">
        <v>19</v>
      </c>
      <c r="F113" s="44" t="s">
        <v>20</v>
      </c>
      <c r="G113" s="44" t="str">
        <f t="shared" si="1"/>
        <v>Augusto</v>
      </c>
      <c r="H113" s="46" t="s">
        <v>107</v>
      </c>
      <c r="I113" s="46" t="s">
        <v>24</v>
      </c>
      <c r="J113" s="44" t="str">
        <f t="shared" si="4"/>
        <v>Não</v>
      </c>
      <c r="K113" s="47">
        <v>45086.0</v>
      </c>
      <c r="L113" s="62"/>
      <c r="M113" s="45" t="s">
        <v>55</v>
      </c>
      <c r="N113" s="48">
        <v>0.012</v>
      </c>
      <c r="O113" s="44" t="s">
        <v>24</v>
      </c>
      <c r="P113" s="49">
        <v>0.0</v>
      </c>
      <c r="Q113" s="60"/>
      <c r="R113" s="50"/>
      <c r="S113" s="45" t="s">
        <v>108</v>
      </c>
      <c r="T113" s="24" t="s">
        <v>500</v>
      </c>
      <c r="U113" s="9" t="s">
        <v>19</v>
      </c>
      <c r="V113" s="51" t="str">
        <f t="shared" si="3"/>
        <v>Ativo</v>
      </c>
      <c r="W113" s="45"/>
      <c r="X113" s="52" t="s">
        <v>119</v>
      </c>
      <c r="Y113" s="54"/>
      <c r="Z113" s="54"/>
      <c r="AA113" s="54"/>
      <c r="AB113" s="54"/>
      <c r="AC113" s="54"/>
      <c r="AD113" s="54"/>
      <c r="AE113" s="54"/>
      <c r="AF113" s="54"/>
      <c r="AG113" s="54"/>
      <c r="AH113" s="54">
        <v>88076.51</v>
      </c>
      <c r="AI113" s="54">
        <v>89551.9</v>
      </c>
      <c r="AJ113" s="54">
        <v>90224.01</v>
      </c>
      <c r="AK113" s="54">
        <v>91564.82</v>
      </c>
      <c r="AL113" s="54">
        <v>98424.87</v>
      </c>
      <c r="AM113" s="54">
        <v>99288.58</v>
      </c>
      <c r="AN113" s="54">
        <v>102257.13</v>
      </c>
      <c r="AO113" s="54">
        <v>102853.11</v>
      </c>
      <c r="AP113" s="53">
        <v>106572.92</v>
      </c>
      <c r="AQ113" s="53">
        <v>107205.88</v>
      </c>
      <c r="AR113" s="53">
        <v>107003.63</v>
      </c>
      <c r="AS113" s="53">
        <v>107293.9</v>
      </c>
      <c r="AT113" s="53">
        <v>107780.3</v>
      </c>
      <c r="AU113" s="53">
        <f t="array" ref="AU113">XLOOKUP(C113,'PL TOTAL D0'!A:A,'PL TOTAL D0'!C:C,"")</f>
        <v>108377.1</v>
      </c>
    </row>
    <row r="114" ht="15.75" customHeight="1">
      <c r="A114" s="41" t="s">
        <v>43</v>
      </c>
      <c r="B114" s="42" t="s">
        <v>501</v>
      </c>
      <c r="C114" s="43" t="s">
        <v>502</v>
      </c>
      <c r="D114" s="44" t="s">
        <v>105</v>
      </c>
      <c r="E114" s="45" t="s">
        <v>29</v>
      </c>
      <c r="F114" s="44" t="s">
        <v>106</v>
      </c>
      <c r="G114" s="44" t="str">
        <f t="shared" si="1"/>
        <v>Breno</v>
      </c>
      <c r="H114" s="46" t="s">
        <v>107</v>
      </c>
      <c r="I114" s="46" t="s">
        <v>24</v>
      </c>
      <c r="J114" s="44" t="str">
        <f t="shared" si="4"/>
        <v>Não</v>
      </c>
      <c r="K114" s="47">
        <v>45104.0</v>
      </c>
      <c r="L114" s="62"/>
      <c r="M114" s="45" t="s">
        <v>278</v>
      </c>
      <c r="N114" s="48">
        <v>0.007</v>
      </c>
      <c r="O114" s="44" t="s">
        <v>24</v>
      </c>
      <c r="P114" s="49">
        <v>0.0</v>
      </c>
      <c r="Q114" s="50"/>
      <c r="R114" s="50"/>
      <c r="S114" s="45" t="s">
        <v>108</v>
      </c>
      <c r="T114" s="24" t="s">
        <v>503</v>
      </c>
      <c r="U114" s="9" t="s">
        <v>504</v>
      </c>
      <c r="V114" s="51" t="str">
        <f t="shared" si="3"/>
        <v>Ativo</v>
      </c>
      <c r="W114" s="45"/>
      <c r="X114" s="52" t="s">
        <v>110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20667.09</v>
      </c>
      <c r="AI114" s="54">
        <v>508181.96</v>
      </c>
      <c r="AJ114" s="54">
        <v>513461.7</v>
      </c>
      <c r="AK114" s="54">
        <v>518951.57</v>
      </c>
      <c r="AL114" s="54">
        <v>523946.66</v>
      </c>
      <c r="AM114" s="54">
        <v>528165.2</v>
      </c>
      <c r="AN114" s="54">
        <v>532668.43</v>
      </c>
      <c r="AO114" s="54">
        <v>537204.05</v>
      </c>
      <c r="AP114" s="53">
        <v>541302.71</v>
      </c>
      <c r="AQ114" s="53">
        <v>545892.12</v>
      </c>
      <c r="AR114" s="53">
        <v>550361.38</v>
      </c>
      <c r="AS114" s="53">
        <v>554654.3</v>
      </c>
      <c r="AT114" s="53">
        <v>558846.6</v>
      </c>
      <c r="AU114" s="53">
        <f t="array" ref="AU114">XLOOKUP(C114,'PL TOTAL D0'!A:A,'PL TOTAL D0'!C:C,"")</f>
        <v>560782.6</v>
      </c>
    </row>
    <row r="115" ht="15.75" customHeight="1">
      <c r="A115" s="41" t="s">
        <v>43</v>
      </c>
      <c r="B115" s="64" t="s">
        <v>505</v>
      </c>
      <c r="C115" s="65" t="s">
        <v>506</v>
      </c>
      <c r="D115" s="9" t="s">
        <v>18</v>
      </c>
      <c r="E115" s="24" t="s">
        <v>29</v>
      </c>
      <c r="F115" s="9" t="s">
        <v>146</v>
      </c>
      <c r="G115" s="44" t="str">
        <f t="shared" si="1"/>
        <v>#N/A</v>
      </c>
      <c r="H115" s="51" t="s">
        <v>147</v>
      </c>
      <c r="I115" s="51" t="s">
        <v>148</v>
      </c>
      <c r="J115" s="44" t="str">
        <f t="shared" si="4"/>
        <v>Não</v>
      </c>
      <c r="K115" s="57">
        <v>45405.0</v>
      </c>
      <c r="L115" s="62"/>
      <c r="M115" s="24" t="s">
        <v>149</v>
      </c>
      <c r="N115" s="58">
        <v>0.002</v>
      </c>
      <c r="O115" s="9" t="s">
        <v>24</v>
      </c>
      <c r="P115" s="59">
        <v>0.0</v>
      </c>
      <c r="Q115" s="50"/>
      <c r="R115" s="50"/>
      <c r="S115" s="24" t="s">
        <v>108</v>
      </c>
      <c r="T115" s="23" t="s">
        <v>507</v>
      </c>
      <c r="U115" s="9" t="s">
        <v>152</v>
      </c>
      <c r="V115" s="51" t="str">
        <f t="shared" si="3"/>
        <v>Ativo</v>
      </c>
      <c r="W115" s="24" t="s">
        <v>75</v>
      </c>
      <c r="X115" s="52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3"/>
      <c r="AQ115" s="53"/>
      <c r="AR115" s="53">
        <v>0.0</v>
      </c>
      <c r="AS115" s="53">
        <v>0.0</v>
      </c>
      <c r="AT115" s="53">
        <v>0.0</v>
      </c>
      <c r="AU115" s="53" t="str">
        <f t="array" ref="AU115">XLOOKUP(C115,'PL TOTAL D0'!A:A,'PL TOTAL D0'!C:C,"")</f>
        <v/>
      </c>
    </row>
    <row r="116" ht="15.75" customHeight="1">
      <c r="A116" s="41" t="s">
        <v>43</v>
      </c>
      <c r="B116" s="42" t="s">
        <v>508</v>
      </c>
      <c r="C116" s="43" t="s">
        <v>509</v>
      </c>
      <c r="D116" s="44" t="s">
        <v>18</v>
      </c>
      <c r="E116" s="45" t="s">
        <v>19</v>
      </c>
      <c r="F116" s="44" t="s">
        <v>256</v>
      </c>
      <c r="G116" s="44" t="str">
        <f t="shared" si="1"/>
        <v>Augusto</v>
      </c>
      <c r="H116" s="46" t="s">
        <v>107</v>
      </c>
      <c r="I116" s="46" t="s">
        <v>24</v>
      </c>
      <c r="J116" s="44" t="str">
        <f t="shared" si="4"/>
        <v>Não</v>
      </c>
      <c r="K116" s="47">
        <v>44944.0</v>
      </c>
      <c r="L116" s="45"/>
      <c r="M116" s="45" t="s">
        <v>79</v>
      </c>
      <c r="N116" s="48">
        <v>0.012</v>
      </c>
      <c r="O116" s="44" t="s">
        <v>24</v>
      </c>
      <c r="P116" s="49">
        <v>0.0</v>
      </c>
      <c r="Q116" s="50"/>
      <c r="R116" s="50"/>
      <c r="S116" s="45" t="s">
        <v>108</v>
      </c>
      <c r="T116" s="24" t="s">
        <v>510</v>
      </c>
      <c r="U116" s="9" t="s">
        <v>19</v>
      </c>
      <c r="V116" s="51" t="str">
        <f t="shared" si="3"/>
        <v>Ativo</v>
      </c>
      <c r="W116" s="45"/>
      <c r="X116" s="52" t="s">
        <v>119</v>
      </c>
      <c r="Y116" s="54"/>
      <c r="Z116" s="54"/>
      <c r="AA116" s="54"/>
      <c r="AB116" s="54"/>
      <c r="AC116" s="54">
        <v>334399.81</v>
      </c>
      <c r="AD116" s="54">
        <v>336441.18</v>
      </c>
      <c r="AE116" s="54">
        <v>339644.96</v>
      </c>
      <c r="AF116" s="54">
        <v>341771.9</v>
      </c>
      <c r="AG116" s="54">
        <v>344793.73</v>
      </c>
      <c r="AH116" s="54">
        <v>347244.02</v>
      </c>
      <c r="AI116" s="54">
        <v>349078.77</v>
      </c>
      <c r="AJ116" s="54">
        <v>351131.1</v>
      </c>
      <c r="AK116" s="54">
        <v>352988.04</v>
      </c>
      <c r="AL116" s="54">
        <v>353935.74</v>
      </c>
      <c r="AM116" s="54">
        <v>359144.86</v>
      </c>
      <c r="AN116" s="54">
        <v>363969.67</v>
      </c>
      <c r="AO116" s="54">
        <v>362470.15</v>
      </c>
      <c r="AP116" s="53">
        <v>365282.26</v>
      </c>
      <c r="AQ116" s="53">
        <v>368564.59</v>
      </c>
      <c r="AR116" s="53">
        <v>368325.36</v>
      </c>
      <c r="AS116" s="53">
        <v>368284.2</v>
      </c>
      <c r="AT116" s="53">
        <v>370590.7</v>
      </c>
      <c r="AU116" s="53">
        <f t="array" ref="AU116">XLOOKUP(C116,'PL TOTAL D0'!A:A,'PL TOTAL D0'!C:C,"")</f>
        <v>372593.5</v>
      </c>
    </row>
    <row r="117" ht="15.75" customHeight="1">
      <c r="A117" s="41" t="s">
        <v>43</v>
      </c>
      <c r="B117" s="55" t="s">
        <v>511</v>
      </c>
      <c r="C117" s="43" t="s">
        <v>512</v>
      </c>
      <c r="D117" s="44" t="s">
        <v>105</v>
      </c>
      <c r="E117" s="45" t="s">
        <v>29</v>
      </c>
      <c r="F117" s="44" t="s">
        <v>106</v>
      </c>
      <c r="G117" s="44" t="str">
        <f t="shared" si="1"/>
        <v>Augusto</v>
      </c>
      <c r="H117" s="46" t="s">
        <v>107</v>
      </c>
      <c r="I117" s="46" t="s">
        <v>24</v>
      </c>
      <c r="J117" s="44" t="str">
        <f t="shared" si="4"/>
        <v>Não</v>
      </c>
      <c r="K117" s="47">
        <v>45090.0</v>
      </c>
      <c r="L117" s="45"/>
      <c r="M117" s="45" t="s">
        <v>79</v>
      </c>
      <c r="N117" s="48">
        <v>0.012</v>
      </c>
      <c r="O117" s="44" t="s">
        <v>24</v>
      </c>
      <c r="P117" s="49">
        <v>0.0</v>
      </c>
      <c r="Q117" s="50"/>
      <c r="R117" s="50"/>
      <c r="S117" s="45" t="s">
        <v>108</v>
      </c>
      <c r="T117" s="24" t="s">
        <v>513</v>
      </c>
      <c r="U117" s="9" t="s">
        <v>504</v>
      </c>
      <c r="V117" s="51" t="str">
        <f t="shared" si="3"/>
        <v>Ativo</v>
      </c>
      <c r="W117" s="45"/>
      <c r="X117" s="52" t="s">
        <v>119</v>
      </c>
      <c r="Y117" s="54"/>
      <c r="Z117" s="54"/>
      <c r="AA117" s="54"/>
      <c r="AB117" s="54"/>
      <c r="AC117" s="54"/>
      <c r="AD117" s="54"/>
      <c r="AE117" s="54"/>
      <c r="AF117" s="54"/>
      <c r="AG117" s="54"/>
      <c r="AH117" s="54">
        <v>509914.47</v>
      </c>
      <c r="AI117" s="54">
        <v>625244.89</v>
      </c>
      <c r="AJ117" s="54">
        <v>629166.25</v>
      </c>
      <c r="AK117" s="54">
        <v>627167.85</v>
      </c>
      <c r="AL117" s="54">
        <v>627376.06</v>
      </c>
      <c r="AM117" s="54">
        <v>637882.06</v>
      </c>
      <c r="AN117" s="54">
        <v>650613.94</v>
      </c>
      <c r="AO117" s="54">
        <v>645332.56</v>
      </c>
      <c r="AP117" s="53">
        <v>650998.97</v>
      </c>
      <c r="AQ117" s="53">
        <v>655293.54</v>
      </c>
      <c r="AR117" s="53">
        <v>642847.24</v>
      </c>
      <c r="AS117" s="53">
        <v>643971.6</v>
      </c>
      <c r="AT117" s="53">
        <v>167261.8</v>
      </c>
      <c r="AU117" s="53">
        <f t="array" ref="AU117">XLOOKUP(C117,'PL TOTAL D0'!A:A,'PL TOTAL D0'!C:C,"")</f>
        <v>171056.9</v>
      </c>
    </row>
    <row r="118" ht="15.75" customHeight="1">
      <c r="A118" s="41" t="s">
        <v>43</v>
      </c>
      <c r="B118" s="55" t="s">
        <v>514</v>
      </c>
      <c r="C118" s="56" t="s">
        <v>515</v>
      </c>
      <c r="D118" s="9" t="s">
        <v>52</v>
      </c>
      <c r="E118" s="24" t="s">
        <v>19</v>
      </c>
      <c r="F118" s="9" t="s">
        <v>53</v>
      </c>
      <c r="G118" s="44" t="str">
        <f t="shared" si="1"/>
        <v>Augusto</v>
      </c>
      <c r="H118" s="51" t="s">
        <v>107</v>
      </c>
      <c r="I118" s="51" t="s">
        <v>24</v>
      </c>
      <c r="J118" s="44" t="str">
        <f t="shared" si="4"/>
        <v>Não</v>
      </c>
      <c r="K118" s="57">
        <v>45468.0</v>
      </c>
      <c r="L118" s="45"/>
      <c r="M118" s="24" t="s">
        <v>55</v>
      </c>
      <c r="N118" s="58">
        <v>0.012</v>
      </c>
      <c r="O118" s="9" t="s">
        <v>24</v>
      </c>
      <c r="P118" s="59">
        <v>0.0</v>
      </c>
      <c r="Q118" s="50"/>
      <c r="R118" s="50"/>
      <c r="S118" s="24" t="s">
        <v>108</v>
      </c>
      <c r="T118" s="24" t="s">
        <v>516</v>
      </c>
      <c r="U118" s="9" t="s">
        <v>19</v>
      </c>
      <c r="V118" s="51" t="str">
        <f t="shared" si="3"/>
        <v>Ativo</v>
      </c>
      <c r="W118" s="24" t="s">
        <v>75</v>
      </c>
      <c r="X118" s="52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3"/>
      <c r="AQ118" s="53"/>
      <c r="AR118" s="53"/>
      <c r="AS118" s="53"/>
      <c r="AT118" s="53">
        <v>0.0</v>
      </c>
      <c r="AU118" s="53">
        <f t="array" ref="AU118">XLOOKUP(C118,'PL TOTAL D0'!A:A,'PL TOTAL D0'!C:C,"")</f>
        <v>106624.3</v>
      </c>
    </row>
    <row r="119" ht="15.75" customHeight="1">
      <c r="A119" s="41" t="s">
        <v>43</v>
      </c>
      <c r="B119" s="42" t="s">
        <v>517</v>
      </c>
      <c r="C119" s="43" t="s">
        <v>518</v>
      </c>
      <c r="D119" s="44" t="s">
        <v>105</v>
      </c>
      <c r="E119" s="45" t="s">
        <v>29</v>
      </c>
      <c r="F119" s="44" t="s">
        <v>106</v>
      </c>
      <c r="G119" s="44" t="str">
        <f t="shared" si="1"/>
        <v>Augusto</v>
      </c>
      <c r="H119" s="46" t="s">
        <v>107</v>
      </c>
      <c r="I119" s="46" t="s">
        <v>24</v>
      </c>
      <c r="J119" s="44" t="str">
        <f t="shared" si="4"/>
        <v>Não</v>
      </c>
      <c r="K119" s="47">
        <v>45082.0</v>
      </c>
      <c r="L119" s="45"/>
      <c r="M119" s="45" t="s">
        <v>55</v>
      </c>
      <c r="N119" s="48">
        <v>0.012</v>
      </c>
      <c r="O119" s="44" t="s">
        <v>24</v>
      </c>
      <c r="P119" s="49">
        <v>0.0</v>
      </c>
      <c r="Q119" s="60"/>
      <c r="R119" s="50"/>
      <c r="S119" s="45" t="s">
        <v>108</v>
      </c>
      <c r="T119" s="24" t="s">
        <v>519</v>
      </c>
      <c r="U119" s="9" t="s">
        <v>34</v>
      </c>
      <c r="V119" s="51" t="str">
        <f t="shared" si="3"/>
        <v>Ativo</v>
      </c>
      <c r="W119" s="45"/>
      <c r="X119" s="52" t="s">
        <v>110</v>
      </c>
      <c r="Y119" s="54"/>
      <c r="Z119" s="54"/>
      <c r="AA119" s="54"/>
      <c r="AB119" s="54"/>
      <c r="AC119" s="54"/>
      <c r="AD119" s="54"/>
      <c r="AE119" s="54"/>
      <c r="AF119" s="54"/>
      <c r="AG119" s="54"/>
      <c r="AH119" s="54">
        <v>100855.31</v>
      </c>
      <c r="AI119" s="54">
        <v>101432.92</v>
      </c>
      <c r="AJ119" s="54">
        <v>102469.64</v>
      </c>
      <c r="AK119" s="54">
        <v>153675.62</v>
      </c>
      <c r="AL119" s="54">
        <v>155000.13</v>
      </c>
      <c r="AM119" s="54">
        <v>156110.6</v>
      </c>
      <c r="AN119" s="54">
        <v>157287.9</v>
      </c>
      <c r="AO119" s="54">
        <v>120209.71</v>
      </c>
      <c r="AP119" s="53">
        <v>121112.44</v>
      </c>
      <c r="AQ119" s="53">
        <v>121658.89</v>
      </c>
      <c r="AR119" s="53">
        <v>112458.18</v>
      </c>
      <c r="AS119" s="53">
        <v>113330.1</v>
      </c>
      <c r="AT119" s="53">
        <v>114226.1</v>
      </c>
      <c r="AU119" s="53">
        <f t="array" ref="AU119">XLOOKUP(C119,'PL TOTAL D0'!A:A,'PL TOTAL D0'!C:C,"")</f>
        <v>114460</v>
      </c>
    </row>
    <row r="120" ht="15.75" customHeight="1">
      <c r="A120" s="41" t="s">
        <v>43</v>
      </c>
      <c r="B120" s="61" t="s">
        <v>520</v>
      </c>
      <c r="C120" s="43" t="s">
        <v>521</v>
      </c>
      <c r="D120" s="44" t="s">
        <v>18</v>
      </c>
      <c r="E120" s="45" t="s">
        <v>176</v>
      </c>
      <c r="F120" s="44" t="s">
        <v>197</v>
      </c>
      <c r="G120" s="44" t="str">
        <f t="shared" si="1"/>
        <v>Augusto</v>
      </c>
      <c r="H120" s="46" t="s">
        <v>107</v>
      </c>
      <c r="I120" s="46" t="s">
        <v>24</v>
      </c>
      <c r="J120" s="44" t="str">
        <f t="shared" si="4"/>
        <v>Sim</v>
      </c>
      <c r="K120" s="47">
        <v>45029.0</v>
      </c>
      <c r="L120" s="45"/>
      <c r="M120" s="45" t="s">
        <v>55</v>
      </c>
      <c r="N120" s="48">
        <v>0.012</v>
      </c>
      <c r="O120" s="44" t="s">
        <v>24</v>
      </c>
      <c r="P120" s="49">
        <v>0.0</v>
      </c>
      <c r="Q120" s="60" t="s">
        <v>522</v>
      </c>
      <c r="R120" s="50"/>
      <c r="S120" s="45" t="s">
        <v>108</v>
      </c>
      <c r="T120" s="24" t="s">
        <v>523</v>
      </c>
      <c r="U120" s="9" t="s">
        <v>180</v>
      </c>
      <c r="V120" s="51" t="str">
        <f t="shared" si="3"/>
        <v>Ativo</v>
      </c>
      <c r="W120" s="45"/>
      <c r="X120" s="52" t="s">
        <v>110</v>
      </c>
      <c r="Y120" s="54"/>
      <c r="Z120" s="54"/>
      <c r="AA120" s="54"/>
      <c r="AB120" s="54"/>
      <c r="AC120" s="54">
        <v>0.0</v>
      </c>
      <c r="AD120" s="54">
        <v>0.0</v>
      </c>
      <c r="AE120" s="54">
        <v>0.0</v>
      </c>
      <c r="AF120" s="54">
        <v>160367.74</v>
      </c>
      <c r="AG120" s="54">
        <v>163569.63</v>
      </c>
      <c r="AH120" s="54">
        <v>165862.5</v>
      </c>
      <c r="AI120" s="54">
        <v>167691.47</v>
      </c>
      <c r="AJ120" s="54">
        <v>169137.32</v>
      </c>
      <c r="AK120" s="54">
        <v>170517.88</v>
      </c>
      <c r="AL120" s="54">
        <v>172124.46</v>
      </c>
      <c r="AM120" s="54">
        <v>173490.61</v>
      </c>
      <c r="AN120" s="54">
        <v>173336.56</v>
      </c>
      <c r="AO120" s="54">
        <v>174958.35</v>
      </c>
      <c r="AP120" s="53">
        <v>176314.09</v>
      </c>
      <c r="AQ120" s="53">
        <v>177375.23</v>
      </c>
      <c r="AR120" s="53">
        <v>178666.11</v>
      </c>
      <c r="AS120" s="53">
        <v>180039.3</v>
      </c>
      <c r="AT120" s="53">
        <v>181128.2</v>
      </c>
      <c r="AU120" s="53">
        <f t="array" ref="AU120">XLOOKUP(C120,'PL TOTAL D0'!A:A,'PL TOTAL D0'!C:C,"")</f>
        <v>181737</v>
      </c>
    </row>
    <row r="121" ht="15.75" customHeight="1">
      <c r="A121" s="41" t="s">
        <v>43</v>
      </c>
      <c r="B121" s="115" t="s">
        <v>524</v>
      </c>
      <c r="C121" s="56" t="s">
        <v>525</v>
      </c>
      <c r="D121" s="9" t="s">
        <v>52</v>
      </c>
      <c r="E121" s="24" t="s">
        <v>19</v>
      </c>
      <c r="F121" s="9" t="s">
        <v>53</v>
      </c>
      <c r="G121" s="44" t="str">
        <f t="shared" si="1"/>
        <v>Augusto</v>
      </c>
      <c r="H121" s="51" t="s">
        <v>123</v>
      </c>
      <c r="I121" s="51" t="s">
        <v>24</v>
      </c>
      <c r="J121" s="44" t="str">
        <f t="shared" si="4"/>
        <v>Não</v>
      </c>
      <c r="K121" s="57">
        <v>45461.0</v>
      </c>
      <c r="L121" s="45"/>
      <c r="M121" s="24" t="s">
        <v>55</v>
      </c>
      <c r="N121" s="58">
        <v>0.012</v>
      </c>
      <c r="O121" s="9" t="s">
        <v>24</v>
      </c>
      <c r="P121" s="59">
        <v>0.0</v>
      </c>
      <c r="Q121" s="60"/>
      <c r="R121" s="50"/>
      <c r="S121" s="24" t="s">
        <v>108</v>
      </c>
      <c r="T121" s="24" t="s">
        <v>526</v>
      </c>
      <c r="U121" s="9" t="s">
        <v>19</v>
      </c>
      <c r="V121" s="51" t="str">
        <f t="shared" si="3"/>
        <v>Ativo</v>
      </c>
      <c r="W121" s="24" t="s">
        <v>67</v>
      </c>
      <c r="X121" s="52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3"/>
      <c r="AQ121" s="53"/>
      <c r="AR121" s="53"/>
      <c r="AS121" s="53"/>
      <c r="AT121" s="53">
        <v>272385.8</v>
      </c>
      <c r="AU121" s="53">
        <f t="array" ref="AU121">XLOOKUP(C121,'PL TOTAL D0'!A:A,'PL TOTAL D0'!C:C,"")</f>
        <v>306506.1</v>
      </c>
    </row>
    <row r="122" ht="15.75" customHeight="1">
      <c r="A122" s="41" t="s">
        <v>43</v>
      </c>
      <c r="B122" s="61" t="s">
        <v>527</v>
      </c>
      <c r="C122" s="43" t="s">
        <v>528</v>
      </c>
      <c r="D122" s="44" t="s">
        <v>18</v>
      </c>
      <c r="E122" s="45" t="s">
        <v>29</v>
      </c>
      <c r="F122" s="44" t="s">
        <v>294</v>
      </c>
      <c r="G122" s="44" t="str">
        <f t="shared" si="1"/>
        <v>Augusto</v>
      </c>
      <c r="H122" s="46" t="s">
        <v>107</v>
      </c>
      <c r="I122" s="46" t="s">
        <v>24</v>
      </c>
      <c r="J122" s="44" t="str">
        <f t="shared" si="4"/>
        <v>Não</v>
      </c>
      <c r="K122" s="47">
        <v>44973.0</v>
      </c>
      <c r="L122" s="45"/>
      <c r="M122" s="45" t="s">
        <v>47</v>
      </c>
      <c r="N122" s="48">
        <v>0.015</v>
      </c>
      <c r="O122" s="44" t="s">
        <v>48</v>
      </c>
      <c r="P122" s="49">
        <v>0.1</v>
      </c>
      <c r="Q122" s="50"/>
      <c r="R122" s="50"/>
      <c r="S122" s="45" t="s">
        <v>108</v>
      </c>
      <c r="T122" s="24" t="s">
        <v>529</v>
      </c>
      <c r="U122" s="9" t="s">
        <v>29</v>
      </c>
      <c r="V122" s="51" t="str">
        <f t="shared" si="3"/>
        <v>Ativo</v>
      </c>
      <c r="W122" s="45"/>
      <c r="X122" s="52" t="s">
        <v>119</v>
      </c>
      <c r="Y122" s="54"/>
      <c r="Z122" s="54"/>
      <c r="AA122" s="54"/>
      <c r="AB122" s="54"/>
      <c r="AC122" s="54">
        <v>0.0</v>
      </c>
      <c r="AD122" s="54">
        <v>50152.64</v>
      </c>
      <c r="AE122" s="54">
        <v>75711.68</v>
      </c>
      <c r="AF122" s="54">
        <v>98150.6</v>
      </c>
      <c r="AG122" s="54">
        <v>99754.48</v>
      </c>
      <c r="AH122" s="54">
        <v>101414.15</v>
      </c>
      <c r="AI122" s="54">
        <v>102260.12</v>
      </c>
      <c r="AJ122" s="54">
        <v>101772.24</v>
      </c>
      <c r="AK122" s="54">
        <v>182622.03</v>
      </c>
      <c r="AL122" s="54">
        <v>201720.06</v>
      </c>
      <c r="AM122" s="54">
        <v>206168.64</v>
      </c>
      <c r="AN122" s="54">
        <v>209883.74</v>
      </c>
      <c r="AO122" s="54">
        <v>206949.11</v>
      </c>
      <c r="AP122" s="53">
        <v>208833.41</v>
      </c>
      <c r="AQ122" s="53">
        <v>210854.24</v>
      </c>
      <c r="AR122" s="53">
        <v>229237.29</v>
      </c>
      <c r="AS122" s="53">
        <v>228096.4</v>
      </c>
      <c r="AT122" s="53">
        <v>229529.1</v>
      </c>
      <c r="AU122" s="53">
        <f t="array" ref="AU122">XLOOKUP(C122,'PL TOTAL D0'!A:A,'PL TOTAL D0'!C:C,"")</f>
        <v>233003.1</v>
      </c>
    </row>
    <row r="123" ht="15.75" customHeight="1">
      <c r="A123" s="41" t="s">
        <v>43</v>
      </c>
      <c r="B123" s="42" t="s">
        <v>530</v>
      </c>
      <c r="C123" s="43" t="s">
        <v>531</v>
      </c>
      <c r="D123" s="44" t="s">
        <v>18</v>
      </c>
      <c r="E123" s="45" t="s">
        <v>176</v>
      </c>
      <c r="F123" s="44" t="s">
        <v>532</v>
      </c>
      <c r="G123" s="44" t="str">
        <f t="shared" si="1"/>
        <v>Bruno</v>
      </c>
      <c r="H123" s="46" t="s">
        <v>107</v>
      </c>
      <c r="I123" s="46" t="s">
        <v>24</v>
      </c>
      <c r="J123" s="44" t="str">
        <f t="shared" si="4"/>
        <v>Não</v>
      </c>
      <c r="K123" s="47">
        <v>45035.0</v>
      </c>
      <c r="L123" s="45"/>
      <c r="M123" s="45" t="s">
        <v>55</v>
      </c>
      <c r="N123" s="48">
        <v>0.007</v>
      </c>
      <c r="O123" s="44" t="s">
        <v>24</v>
      </c>
      <c r="P123" s="49">
        <v>0.0</v>
      </c>
      <c r="Q123" s="50"/>
      <c r="R123" s="50"/>
      <c r="S123" s="45" t="s">
        <v>108</v>
      </c>
      <c r="T123" s="24" t="s">
        <v>533</v>
      </c>
      <c r="U123" s="9" t="s">
        <v>34</v>
      </c>
      <c r="V123" s="51" t="str">
        <f t="shared" si="3"/>
        <v>Ativo</v>
      </c>
      <c r="W123" s="45"/>
      <c r="X123" s="52" t="s">
        <v>110</v>
      </c>
      <c r="Y123" s="54"/>
      <c r="Z123" s="54"/>
      <c r="AA123" s="54"/>
      <c r="AB123" s="54"/>
      <c r="AC123" s="54"/>
      <c r="AD123" s="54"/>
      <c r="AE123" s="54">
        <v>0.0</v>
      </c>
      <c r="AF123" s="54">
        <v>1642101.9</v>
      </c>
      <c r="AG123" s="54">
        <v>1728001.75</v>
      </c>
      <c r="AH123" s="54">
        <v>1735162.85</v>
      </c>
      <c r="AI123" s="54">
        <v>1750873.41</v>
      </c>
      <c r="AJ123" s="54">
        <v>1768651.3</v>
      </c>
      <c r="AK123" s="54">
        <v>1777349.32</v>
      </c>
      <c r="AL123" s="54">
        <v>1786530.17</v>
      </c>
      <c r="AM123" s="54">
        <v>1805961.93</v>
      </c>
      <c r="AN123" s="54">
        <v>1807968.44</v>
      </c>
      <c r="AO123" s="54">
        <v>1823522.49</v>
      </c>
      <c r="AP123" s="53">
        <v>1836277.05</v>
      </c>
      <c r="AQ123" s="53">
        <v>1833654.69</v>
      </c>
      <c r="AR123" s="53">
        <v>1848462.05</v>
      </c>
      <c r="AS123" s="53">
        <v>1863063.0</v>
      </c>
      <c r="AT123" s="53">
        <v>1877951.0</v>
      </c>
      <c r="AU123" s="53">
        <f t="array" ref="AU123">XLOOKUP(C123,'PL TOTAL D0'!A:A,'PL TOTAL D0'!C:C,"")</f>
        <v>1884571</v>
      </c>
    </row>
    <row r="124" ht="15.75" customHeight="1">
      <c r="A124" s="41" t="s">
        <v>43</v>
      </c>
      <c r="B124" s="64" t="s">
        <v>534</v>
      </c>
      <c r="C124" s="65" t="s">
        <v>535</v>
      </c>
      <c r="D124" s="9" t="s">
        <v>18</v>
      </c>
      <c r="E124" s="24" t="s">
        <v>29</v>
      </c>
      <c r="F124" s="9" t="s">
        <v>60</v>
      </c>
      <c r="G124" s="44" t="str">
        <f t="shared" si="1"/>
        <v>Augusto</v>
      </c>
      <c r="H124" s="51" t="s">
        <v>107</v>
      </c>
      <c r="I124" s="51" t="s">
        <v>24</v>
      </c>
      <c r="J124" s="44" t="str">
        <f t="shared" si="4"/>
        <v>Sim</v>
      </c>
      <c r="K124" s="57">
        <v>45426.0</v>
      </c>
      <c r="L124" s="45"/>
      <c r="M124" s="24" t="s">
        <v>55</v>
      </c>
      <c r="N124" s="58">
        <v>0.01</v>
      </c>
      <c r="O124" s="9" t="s">
        <v>24</v>
      </c>
      <c r="P124" s="59">
        <v>0.0</v>
      </c>
      <c r="Q124" s="60" t="s">
        <v>536</v>
      </c>
      <c r="R124" s="50"/>
      <c r="S124" s="24" t="s">
        <v>108</v>
      </c>
      <c r="T124" s="23" t="s">
        <v>537</v>
      </c>
      <c r="U124" s="9" t="s">
        <v>29</v>
      </c>
      <c r="V124" s="51" t="str">
        <f t="shared" si="3"/>
        <v>Ativo</v>
      </c>
      <c r="W124" s="24" t="s">
        <v>75</v>
      </c>
      <c r="X124" s="52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3"/>
      <c r="AQ124" s="53"/>
      <c r="AR124" s="53"/>
      <c r="AS124" s="53">
        <v>301117.9</v>
      </c>
      <c r="AT124" s="53">
        <v>303804.6</v>
      </c>
      <c r="AU124" s="53">
        <f t="array" ref="AU124">XLOOKUP(C124,'PL TOTAL D0'!A:A,'PL TOTAL D0'!C:C,"")</f>
        <v>304920</v>
      </c>
    </row>
    <row r="125" ht="15.75" customHeight="1">
      <c r="A125" s="41" t="s">
        <v>43</v>
      </c>
      <c r="B125" s="119" t="s">
        <v>538</v>
      </c>
      <c r="C125" s="120" t="s">
        <v>539</v>
      </c>
      <c r="D125" s="9" t="s">
        <v>18</v>
      </c>
      <c r="E125" s="24" t="s">
        <v>19</v>
      </c>
      <c r="F125" s="9" t="s">
        <v>122</v>
      </c>
      <c r="G125" s="44" t="str">
        <f t="shared" si="1"/>
        <v>Augusto</v>
      </c>
      <c r="H125" s="51" t="s">
        <v>123</v>
      </c>
      <c r="I125" s="51" t="s">
        <v>24</v>
      </c>
      <c r="J125" s="44" t="str">
        <f t="shared" si="4"/>
        <v>Sim</v>
      </c>
      <c r="K125" s="57">
        <v>45460.0</v>
      </c>
      <c r="L125" s="45"/>
      <c r="M125" s="24" t="s">
        <v>389</v>
      </c>
      <c r="N125" s="58">
        <v>0.007</v>
      </c>
      <c r="O125" s="9" t="s">
        <v>24</v>
      </c>
      <c r="P125" s="59">
        <v>0.0</v>
      </c>
      <c r="Q125" s="60" t="s">
        <v>540</v>
      </c>
      <c r="R125" s="50"/>
      <c r="S125" s="24" t="s">
        <v>369</v>
      </c>
      <c r="T125" s="23" t="s">
        <v>541</v>
      </c>
      <c r="U125" s="9" t="s">
        <v>19</v>
      </c>
      <c r="V125" s="51" t="str">
        <f t="shared" si="3"/>
        <v>Ativo</v>
      </c>
      <c r="W125" s="24" t="s">
        <v>75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/>
      <c r="AT125" s="53">
        <v>50121.53</v>
      </c>
      <c r="AU125" s="53">
        <f t="array" ref="AU125">XLOOKUP(C125,'PL TOTAL D0'!A:A,'PL TOTAL D0'!C:C,"")</f>
        <v>100453.3</v>
      </c>
    </row>
    <row r="126" ht="15.75" customHeight="1">
      <c r="A126" s="41" t="s">
        <v>43</v>
      </c>
      <c r="B126" s="119" t="s">
        <v>542</v>
      </c>
      <c r="C126" s="120" t="s">
        <v>543</v>
      </c>
      <c r="D126" s="9" t="s">
        <v>105</v>
      </c>
      <c r="E126" s="24" t="s">
        <v>29</v>
      </c>
      <c r="F126" s="9" t="s">
        <v>146</v>
      </c>
      <c r="G126" s="44" t="str">
        <f t="shared" si="1"/>
        <v>Augusto</v>
      </c>
      <c r="H126" s="51" t="s">
        <v>147</v>
      </c>
      <c r="I126" s="51" t="s">
        <v>148</v>
      </c>
      <c r="J126" s="44" t="str">
        <f t="shared" si="4"/>
        <v>Não</v>
      </c>
      <c r="K126" s="57">
        <v>45449.0</v>
      </c>
      <c r="L126" s="45"/>
      <c r="M126" s="24" t="s">
        <v>149</v>
      </c>
      <c r="N126" s="58">
        <v>0.003</v>
      </c>
      <c r="O126" s="9" t="s">
        <v>24</v>
      </c>
      <c r="P126" s="59">
        <v>0.0</v>
      </c>
      <c r="Q126" s="60"/>
      <c r="R126" s="50"/>
      <c r="S126" s="24" t="s">
        <v>108</v>
      </c>
      <c r="T126" s="23" t="s">
        <v>544</v>
      </c>
      <c r="U126" s="9" t="s">
        <v>152</v>
      </c>
      <c r="V126" s="51" t="str">
        <f t="shared" si="3"/>
        <v>Ativo</v>
      </c>
      <c r="W126" s="24" t="s">
        <v>63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/>
      <c r="AT126" s="53">
        <v>10.0</v>
      </c>
      <c r="AU126" s="53">
        <f t="array" ref="AU126">XLOOKUP(C126,'PL TOTAL D0'!A:A,'PL TOTAL D0'!C:C,"")</f>
        <v>10</v>
      </c>
    </row>
    <row r="127" ht="18.75" customHeight="1">
      <c r="A127" s="41" t="s">
        <v>43</v>
      </c>
      <c r="B127" s="42" t="s">
        <v>545</v>
      </c>
      <c r="C127" s="43" t="s">
        <v>546</v>
      </c>
      <c r="D127" s="44" t="s">
        <v>18</v>
      </c>
      <c r="E127" s="45" t="s">
        <v>29</v>
      </c>
      <c r="F127" s="44" t="s">
        <v>294</v>
      </c>
      <c r="G127" s="44" t="str">
        <f t="shared" si="1"/>
        <v>Augusto</v>
      </c>
      <c r="H127" s="46" t="s">
        <v>107</v>
      </c>
      <c r="I127" s="46" t="s">
        <v>24</v>
      </c>
      <c r="J127" s="44" t="str">
        <f t="shared" si="4"/>
        <v>Não</v>
      </c>
      <c r="K127" s="47">
        <v>45099.0</v>
      </c>
      <c r="L127" s="62"/>
      <c r="M127" s="45" t="s">
        <v>129</v>
      </c>
      <c r="N127" s="48">
        <v>0.0</v>
      </c>
      <c r="O127" s="44" t="s">
        <v>24</v>
      </c>
      <c r="P127" s="49">
        <v>0.0</v>
      </c>
      <c r="Q127" s="74"/>
      <c r="R127" s="50"/>
      <c r="S127" s="45" t="s">
        <v>108</v>
      </c>
      <c r="T127" s="24" t="s">
        <v>547</v>
      </c>
      <c r="U127" s="9" t="s">
        <v>34</v>
      </c>
      <c r="V127" s="51" t="str">
        <f t="shared" si="3"/>
        <v>Ativo</v>
      </c>
      <c r="W127" s="45"/>
      <c r="X127" s="52" t="s">
        <v>110</v>
      </c>
      <c r="Y127" s="54"/>
      <c r="Z127" s="54"/>
      <c r="AA127" s="54"/>
      <c r="AB127" s="54"/>
      <c r="AC127" s="54"/>
      <c r="AD127" s="54"/>
      <c r="AE127" s="54"/>
      <c r="AF127" s="54"/>
      <c r="AG127" s="54"/>
      <c r="AH127" s="54">
        <v>85172.94</v>
      </c>
      <c r="AI127" s="54">
        <v>43658.82</v>
      </c>
      <c r="AJ127" s="54">
        <v>44153.5</v>
      </c>
      <c r="AK127" s="54">
        <v>44559.33</v>
      </c>
      <c r="AL127" s="54">
        <v>45000.8</v>
      </c>
      <c r="AM127" s="54">
        <v>45384.13</v>
      </c>
      <c r="AN127" s="54">
        <v>45404.86</v>
      </c>
      <c r="AO127" s="54">
        <v>45834.66</v>
      </c>
      <c r="AP127" s="53">
        <v>46119.54</v>
      </c>
      <c r="AQ127" s="53">
        <v>46392.12</v>
      </c>
      <c r="AR127" s="53">
        <v>46602.85</v>
      </c>
      <c r="AS127" s="53">
        <v>46969.74</v>
      </c>
      <c r="AT127" s="53">
        <v>47057.42</v>
      </c>
      <c r="AU127" s="53">
        <f t="array" ref="AU127">XLOOKUP(C127,'PL TOTAL D0'!A:A,'PL TOTAL D0'!C:C,"")</f>
        <v>47285.27</v>
      </c>
    </row>
    <row r="128" ht="18.75" customHeight="1">
      <c r="A128" s="41" t="s">
        <v>43</v>
      </c>
      <c r="B128" s="64" t="s">
        <v>548</v>
      </c>
      <c r="C128" s="65" t="s">
        <v>549</v>
      </c>
      <c r="D128" s="9" t="s">
        <v>105</v>
      </c>
      <c r="E128" s="24" t="s">
        <v>29</v>
      </c>
      <c r="F128" s="9" t="s">
        <v>146</v>
      </c>
      <c r="G128" s="44" t="str">
        <f t="shared" si="1"/>
        <v>Augusto</v>
      </c>
      <c r="H128" s="51" t="s">
        <v>147</v>
      </c>
      <c r="I128" s="51" t="s">
        <v>148</v>
      </c>
      <c r="J128" s="44" t="str">
        <f t="shared" si="4"/>
        <v>Não</v>
      </c>
      <c r="K128" s="57">
        <v>45412.0</v>
      </c>
      <c r="L128" s="62"/>
      <c r="M128" s="24" t="s">
        <v>149</v>
      </c>
      <c r="N128" s="58">
        <v>0.003</v>
      </c>
      <c r="O128" s="9" t="s">
        <v>24</v>
      </c>
      <c r="P128" s="59">
        <v>0.0</v>
      </c>
      <c r="Q128" s="74"/>
      <c r="R128" s="50"/>
      <c r="S128" s="24" t="s">
        <v>108</v>
      </c>
      <c r="T128" s="23" t="s">
        <v>550</v>
      </c>
      <c r="U128" s="9" t="s">
        <v>34</v>
      </c>
      <c r="V128" s="51" t="str">
        <f t="shared" si="3"/>
        <v>Ativo</v>
      </c>
      <c r="W128" s="45"/>
      <c r="X128" s="52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3"/>
      <c r="AQ128" s="53"/>
      <c r="AR128" s="53">
        <v>0.0</v>
      </c>
      <c r="AS128" s="53">
        <v>727.17</v>
      </c>
      <c r="AT128" s="53">
        <v>732.24</v>
      </c>
      <c r="AU128" s="53">
        <f t="array" ref="AU128">XLOOKUP(C128,'PL TOTAL D0'!A:A,'PL TOTAL D0'!C:C,"")</f>
        <v>735.11</v>
      </c>
    </row>
    <row r="129">
      <c r="A129" s="41" t="s">
        <v>43</v>
      </c>
      <c r="B129" s="61" t="s">
        <v>551</v>
      </c>
      <c r="C129" s="43" t="s">
        <v>552</v>
      </c>
      <c r="D129" s="44" t="s">
        <v>18</v>
      </c>
      <c r="E129" s="45" t="s">
        <v>19</v>
      </c>
      <c r="F129" s="44" t="s">
        <v>256</v>
      </c>
      <c r="G129" s="44" t="str">
        <f t="shared" si="1"/>
        <v>Augusto</v>
      </c>
      <c r="H129" s="46" t="s">
        <v>107</v>
      </c>
      <c r="I129" s="46" t="s">
        <v>24</v>
      </c>
      <c r="J129" s="44" t="str">
        <f t="shared" si="4"/>
        <v>Não</v>
      </c>
      <c r="K129" s="47">
        <v>44916.0</v>
      </c>
      <c r="L129" s="45"/>
      <c r="M129" s="45" t="s">
        <v>79</v>
      </c>
      <c r="N129" s="48">
        <v>0.012</v>
      </c>
      <c r="O129" s="44" t="s">
        <v>24</v>
      </c>
      <c r="P129" s="49">
        <v>0.0</v>
      </c>
      <c r="Q129" s="50"/>
      <c r="R129" s="50"/>
      <c r="S129" s="45" t="s">
        <v>108</v>
      </c>
      <c r="T129" s="24" t="s">
        <v>553</v>
      </c>
      <c r="U129" s="9" t="s">
        <v>29</v>
      </c>
      <c r="V129" s="51" t="str">
        <f t="shared" si="3"/>
        <v>Ativo</v>
      </c>
      <c r="W129" s="45"/>
      <c r="X129" s="52" t="s">
        <v>119</v>
      </c>
      <c r="Y129" s="54"/>
      <c r="Z129" s="54"/>
      <c r="AA129" s="54"/>
      <c r="AB129" s="54">
        <v>50145.2</v>
      </c>
      <c r="AC129" s="54">
        <v>238921.36</v>
      </c>
      <c r="AD129" s="54">
        <v>240791.65</v>
      </c>
      <c r="AE129" s="54">
        <v>243357.27</v>
      </c>
      <c r="AF129" s="54">
        <v>245077.86</v>
      </c>
      <c r="AG129" s="54">
        <v>247554.61</v>
      </c>
      <c r="AH129" s="54">
        <v>249107.77</v>
      </c>
      <c r="AI129" s="54">
        <v>251183.31</v>
      </c>
      <c r="AJ129" s="54">
        <v>253258.18</v>
      </c>
      <c r="AK129" s="54">
        <v>254304.31</v>
      </c>
      <c r="AL129" s="54">
        <v>254816.15</v>
      </c>
      <c r="AM129" s="54">
        <v>258852.46</v>
      </c>
      <c r="AN129" s="54">
        <v>262315.47</v>
      </c>
      <c r="AO129" s="54">
        <v>261512.38</v>
      </c>
      <c r="AP129" s="53">
        <v>263682.22</v>
      </c>
      <c r="AQ129" s="53">
        <v>265297.84</v>
      </c>
      <c r="AR129" s="53">
        <v>265059.79</v>
      </c>
      <c r="AS129" s="53">
        <v>265615.5</v>
      </c>
      <c r="AT129" s="53">
        <v>267569.6</v>
      </c>
      <c r="AU129" s="53">
        <f t="array" ref="AU129">XLOOKUP(C129,'PL TOTAL D0'!A:A,'PL TOTAL D0'!C:C,"")</f>
        <v>268659.1</v>
      </c>
    </row>
    <row r="130" ht="15.75" customHeight="1">
      <c r="A130" s="41" t="s">
        <v>43</v>
      </c>
      <c r="B130" s="42" t="s">
        <v>554</v>
      </c>
      <c r="C130" s="43" t="s">
        <v>555</v>
      </c>
      <c r="D130" s="44" t="s">
        <v>18</v>
      </c>
      <c r="E130" s="45" t="s">
        <v>29</v>
      </c>
      <c r="F130" s="9" t="s">
        <v>78</v>
      </c>
      <c r="G130" s="44" t="str">
        <f t="shared" si="1"/>
        <v>Augusto</v>
      </c>
      <c r="H130" s="46" t="s">
        <v>107</v>
      </c>
      <c r="I130" s="46" t="s">
        <v>24</v>
      </c>
      <c r="J130" s="44" t="str">
        <f t="shared" si="4"/>
        <v>Não</v>
      </c>
      <c r="K130" s="47">
        <v>44993.0</v>
      </c>
      <c r="L130" s="45"/>
      <c r="M130" s="45" t="s">
        <v>55</v>
      </c>
      <c r="N130" s="48">
        <v>0.012</v>
      </c>
      <c r="O130" s="44" t="s">
        <v>24</v>
      </c>
      <c r="P130" s="49">
        <v>0.0</v>
      </c>
      <c r="Q130" s="60"/>
      <c r="R130" s="60" t="s">
        <v>556</v>
      </c>
      <c r="S130" s="45" t="s">
        <v>108</v>
      </c>
      <c r="T130" s="24" t="s">
        <v>557</v>
      </c>
      <c r="U130" s="9" t="s">
        <v>29</v>
      </c>
      <c r="V130" s="51" t="str">
        <f t="shared" si="3"/>
        <v>Ativo</v>
      </c>
      <c r="W130" s="45"/>
      <c r="X130" s="52" t="s">
        <v>119</v>
      </c>
      <c r="Y130" s="54"/>
      <c r="Z130" s="54"/>
      <c r="AA130" s="54"/>
      <c r="AB130" s="54"/>
      <c r="AC130" s="54"/>
      <c r="AD130" s="54"/>
      <c r="AE130" s="54">
        <v>77129.59</v>
      </c>
      <c r="AF130" s="54">
        <v>59816.41</v>
      </c>
      <c r="AG130" s="54">
        <v>210494.19</v>
      </c>
      <c r="AH130" s="54">
        <v>194253.16</v>
      </c>
      <c r="AI130" s="54">
        <v>196307.12</v>
      </c>
      <c r="AJ130" s="54">
        <v>196880.83</v>
      </c>
      <c r="AK130" s="54">
        <v>191557.41</v>
      </c>
      <c r="AL130" s="54">
        <v>189585.81</v>
      </c>
      <c r="AM130" s="54">
        <v>185233.66</v>
      </c>
      <c r="AN130" s="54">
        <v>177840.36</v>
      </c>
      <c r="AO130" s="54">
        <v>180851.73</v>
      </c>
      <c r="AP130" s="53">
        <v>141458.68</v>
      </c>
      <c r="AQ130" s="53">
        <v>137435.1</v>
      </c>
      <c r="AR130" s="53">
        <v>137408.65</v>
      </c>
      <c r="AS130" s="53">
        <v>131989.0</v>
      </c>
      <c r="AT130" s="53">
        <v>120566.9</v>
      </c>
      <c r="AU130" s="53">
        <f t="array" ref="AU130">XLOOKUP(C130,'PL TOTAL D0'!A:A,'PL TOTAL D0'!C:C,"")</f>
        <v>120976.8</v>
      </c>
    </row>
    <row r="131" ht="15.75" customHeight="1">
      <c r="A131" s="41" t="s">
        <v>43</v>
      </c>
      <c r="B131" s="42" t="s">
        <v>558</v>
      </c>
      <c r="C131" s="43" t="s">
        <v>559</v>
      </c>
      <c r="D131" s="44" t="s">
        <v>18</v>
      </c>
      <c r="E131" s="45" t="s">
        <v>176</v>
      </c>
      <c r="F131" s="44" t="s">
        <v>177</v>
      </c>
      <c r="G131" s="44" t="str">
        <f t="shared" si="1"/>
        <v>Augusto</v>
      </c>
      <c r="H131" s="46" t="s">
        <v>107</v>
      </c>
      <c r="I131" s="46" t="s">
        <v>24</v>
      </c>
      <c r="J131" s="44" t="str">
        <f t="shared" si="4"/>
        <v>Não</v>
      </c>
      <c r="K131" s="47">
        <v>45166.0</v>
      </c>
      <c r="L131" s="62"/>
      <c r="M131" s="45" t="s">
        <v>47</v>
      </c>
      <c r="N131" s="48">
        <v>0.015</v>
      </c>
      <c r="O131" s="44" t="s">
        <v>48</v>
      </c>
      <c r="P131" s="49">
        <v>0.1</v>
      </c>
      <c r="Q131" s="50"/>
      <c r="R131" s="60" t="s">
        <v>560</v>
      </c>
      <c r="S131" s="45" t="s">
        <v>108</v>
      </c>
      <c r="T131" s="24" t="s">
        <v>561</v>
      </c>
      <c r="U131" s="9" t="s">
        <v>180</v>
      </c>
      <c r="V131" s="51" t="str">
        <f t="shared" si="3"/>
        <v>Ativo</v>
      </c>
      <c r="W131" s="45"/>
      <c r="X131" s="52" t="s">
        <v>110</v>
      </c>
      <c r="Y131" s="54"/>
      <c r="Z131" s="54"/>
      <c r="AA131" s="54"/>
      <c r="AB131" s="54"/>
      <c r="AC131" s="54"/>
      <c r="AD131" s="54"/>
      <c r="AE131" s="54"/>
      <c r="AF131" s="54">
        <v>0.0</v>
      </c>
      <c r="AG131" s="54">
        <v>0.0</v>
      </c>
      <c r="AH131" s="54">
        <v>0.0</v>
      </c>
      <c r="AI131" s="54">
        <v>0.0</v>
      </c>
      <c r="AJ131" s="54">
        <v>0.0</v>
      </c>
      <c r="AK131" s="54">
        <v>407803.29</v>
      </c>
      <c r="AL131" s="54">
        <v>408062.01</v>
      </c>
      <c r="AM131" s="54">
        <v>417765.73</v>
      </c>
      <c r="AN131" s="54">
        <v>426540.4</v>
      </c>
      <c r="AO131" s="54">
        <v>419110.92</v>
      </c>
      <c r="AP131" s="53">
        <v>422670.41</v>
      </c>
      <c r="AQ131" s="53">
        <v>427432.58</v>
      </c>
      <c r="AR131" s="53">
        <v>359025.64</v>
      </c>
      <c r="AS131" s="53">
        <v>357581.9</v>
      </c>
      <c r="AT131" s="53">
        <v>359764.1</v>
      </c>
      <c r="AU131" s="53">
        <f t="array" ref="AU131">XLOOKUP(C131,'PL TOTAL D0'!A:A,'PL TOTAL D0'!C:C,"")</f>
        <v>365124.1</v>
      </c>
    </row>
    <row r="132" ht="15.75" customHeight="1">
      <c r="A132" s="41" t="s">
        <v>43</v>
      </c>
      <c r="B132" s="42" t="s">
        <v>562</v>
      </c>
      <c r="C132" s="43" t="s">
        <v>563</v>
      </c>
      <c r="D132" s="44" t="s">
        <v>18</v>
      </c>
      <c r="E132" s="45" t="s">
        <v>176</v>
      </c>
      <c r="F132" s="44" t="s">
        <v>177</v>
      </c>
      <c r="G132" s="44" t="str">
        <f t="shared" si="1"/>
        <v>Augusto</v>
      </c>
      <c r="H132" s="46" t="s">
        <v>107</v>
      </c>
      <c r="I132" s="46" t="s">
        <v>24</v>
      </c>
      <c r="J132" s="44" t="str">
        <f t="shared" si="4"/>
        <v>Não</v>
      </c>
      <c r="K132" s="47">
        <v>45141.0</v>
      </c>
      <c r="L132" s="62"/>
      <c r="M132" s="45" t="s">
        <v>55</v>
      </c>
      <c r="N132" s="48">
        <v>0.012</v>
      </c>
      <c r="O132" s="44" t="s">
        <v>24</v>
      </c>
      <c r="P132" s="49">
        <v>0.0</v>
      </c>
      <c r="Q132" s="74"/>
      <c r="R132" s="50"/>
      <c r="S132" s="45" t="s">
        <v>108</v>
      </c>
      <c r="T132" s="24" t="s">
        <v>564</v>
      </c>
      <c r="U132" s="9" t="s">
        <v>180</v>
      </c>
      <c r="V132" s="51" t="str">
        <f t="shared" si="3"/>
        <v>Ativo</v>
      </c>
      <c r="W132" s="45"/>
      <c r="X132" s="52" t="s">
        <v>110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>
        <v>0.0</v>
      </c>
      <c r="AI132" s="54">
        <v>0.0</v>
      </c>
      <c r="AJ132" s="54">
        <v>338513.34</v>
      </c>
      <c r="AK132" s="54">
        <v>341132.31</v>
      </c>
      <c r="AL132" s="54">
        <v>343653.3</v>
      </c>
      <c r="AM132" s="54">
        <v>346154.34</v>
      </c>
      <c r="AN132" s="54">
        <v>348818.11</v>
      </c>
      <c r="AO132" s="54">
        <v>351930.36</v>
      </c>
      <c r="AP132" s="53">
        <v>303944.09</v>
      </c>
      <c r="AQ132" s="53">
        <v>306615.91</v>
      </c>
      <c r="AR132" s="53">
        <v>309264.16</v>
      </c>
      <c r="AS132" s="53">
        <v>311423.6</v>
      </c>
      <c r="AT132" s="53">
        <v>313912.0</v>
      </c>
      <c r="AU132" s="53">
        <f t="array" ref="AU132">XLOOKUP(C132,'PL TOTAL D0'!A:A,'PL TOTAL D0'!C:C,"")</f>
        <v>315019.1</v>
      </c>
    </row>
    <row r="133" ht="15.75" customHeight="1">
      <c r="A133" s="41" t="s">
        <v>43</v>
      </c>
      <c r="B133" s="42" t="s">
        <v>562</v>
      </c>
      <c r="C133" s="43" t="s">
        <v>565</v>
      </c>
      <c r="D133" s="44" t="s">
        <v>18</v>
      </c>
      <c r="E133" s="45" t="s">
        <v>176</v>
      </c>
      <c r="F133" s="44" t="s">
        <v>177</v>
      </c>
      <c r="G133" s="44" t="str">
        <f t="shared" si="1"/>
        <v>Augusto</v>
      </c>
      <c r="H133" s="46" t="s">
        <v>107</v>
      </c>
      <c r="I133" s="46" t="s">
        <v>24</v>
      </c>
      <c r="J133" s="44" t="str">
        <f t="shared" si="4"/>
        <v>Não</v>
      </c>
      <c r="K133" s="47">
        <v>45140.0</v>
      </c>
      <c r="L133" s="62"/>
      <c r="M133" s="45" t="s">
        <v>190</v>
      </c>
      <c r="N133" s="48">
        <v>0.025</v>
      </c>
      <c r="O133" s="44" t="s">
        <v>191</v>
      </c>
      <c r="P133" s="49">
        <v>0.2</v>
      </c>
      <c r="Q133" s="50"/>
      <c r="R133" s="50"/>
      <c r="S133" s="45" t="s">
        <v>108</v>
      </c>
      <c r="T133" s="24" t="s">
        <v>564</v>
      </c>
      <c r="U133" s="9" t="s">
        <v>180</v>
      </c>
      <c r="V133" s="51" t="str">
        <f t="shared" si="3"/>
        <v>Ativo</v>
      </c>
      <c r="W133" s="45"/>
      <c r="X133" s="52" t="s">
        <v>110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>
        <v>0.0</v>
      </c>
      <c r="AI133" s="54">
        <v>0.0</v>
      </c>
      <c r="AJ133" s="54">
        <v>52239.98</v>
      </c>
      <c r="AK133" s="54">
        <v>52067.87</v>
      </c>
      <c r="AL133" s="54">
        <v>49764.17</v>
      </c>
      <c r="AM133" s="54">
        <v>53464.25</v>
      </c>
      <c r="AN133" s="54">
        <v>56014.37</v>
      </c>
      <c r="AO133" s="54">
        <v>52137.23</v>
      </c>
      <c r="AP133" s="53">
        <v>102726.79</v>
      </c>
      <c r="AQ133" s="53">
        <v>104501.31</v>
      </c>
      <c r="AR133" s="53">
        <v>99995.86</v>
      </c>
      <c r="AS133" s="53">
        <v>96913.29</v>
      </c>
      <c r="AT133" s="53">
        <v>97073.17</v>
      </c>
      <c r="AU133" s="53">
        <f t="array" ref="AU133">XLOOKUP(C133,'PL TOTAL D0'!A:A,'PL TOTAL D0'!C:C,"")</f>
        <v>101346</v>
      </c>
    </row>
    <row r="134" ht="15.75" customHeight="1">
      <c r="A134" s="41" t="s">
        <v>43</v>
      </c>
      <c r="B134" s="42" t="s">
        <v>566</v>
      </c>
      <c r="C134" s="43" t="s">
        <v>567</v>
      </c>
      <c r="D134" s="44" t="s">
        <v>18</v>
      </c>
      <c r="E134" s="45" t="s">
        <v>29</v>
      </c>
      <c r="F134" s="44" t="s">
        <v>60</v>
      </c>
      <c r="G134" s="44" t="str">
        <f t="shared" si="1"/>
        <v>#N/A</v>
      </c>
      <c r="H134" s="51" t="s">
        <v>147</v>
      </c>
      <c r="I134" s="51" t="s">
        <v>219</v>
      </c>
      <c r="J134" s="44" t="str">
        <f t="shared" si="4"/>
        <v>Não</v>
      </c>
      <c r="K134" s="47">
        <v>45264.0</v>
      </c>
      <c r="L134" s="62"/>
      <c r="M134" s="93" t="s">
        <v>278</v>
      </c>
      <c r="N134" s="48">
        <v>0.007</v>
      </c>
      <c r="O134" s="44" t="s">
        <v>24</v>
      </c>
      <c r="P134" s="49">
        <v>0.0</v>
      </c>
      <c r="Q134" s="74"/>
      <c r="R134" s="50"/>
      <c r="S134" s="45" t="s">
        <v>108</v>
      </c>
      <c r="T134" s="24" t="s">
        <v>568</v>
      </c>
      <c r="U134" s="9" t="s">
        <v>29</v>
      </c>
      <c r="V134" s="51" t="str">
        <f t="shared" si="3"/>
        <v>Ativo</v>
      </c>
      <c r="W134" s="45"/>
      <c r="X134" s="52" t="s">
        <v>119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>
        <v>0.0</v>
      </c>
      <c r="AN134" s="54">
        <v>0.0</v>
      </c>
      <c r="AO134" s="54">
        <v>0.0</v>
      </c>
      <c r="AP134" s="53">
        <v>0.0</v>
      </c>
      <c r="AQ134" s="53">
        <v>0.0</v>
      </c>
      <c r="AR134" s="53">
        <v>0.0</v>
      </c>
      <c r="AS134" s="53">
        <v>0.0</v>
      </c>
      <c r="AT134" s="53">
        <v>0.0</v>
      </c>
      <c r="AU134" s="53" t="str">
        <f t="array" ref="AU134">XLOOKUP(C134,'PL TOTAL D0'!A:A,'PL TOTAL D0'!C:C,"")</f>
        <v/>
      </c>
    </row>
    <row r="135" ht="15.75" customHeight="1">
      <c r="A135" s="41" t="s">
        <v>43</v>
      </c>
      <c r="B135" s="66" t="s">
        <v>569</v>
      </c>
      <c r="C135" s="67" t="s">
        <v>570</v>
      </c>
      <c r="D135" s="44" t="s">
        <v>105</v>
      </c>
      <c r="E135" s="45" t="s">
        <v>29</v>
      </c>
      <c r="F135" s="44" t="s">
        <v>106</v>
      </c>
      <c r="G135" s="44" t="str">
        <f t="shared" si="1"/>
        <v>Augusto</v>
      </c>
      <c r="H135" s="46" t="s">
        <v>107</v>
      </c>
      <c r="I135" s="46" t="s">
        <v>24</v>
      </c>
      <c r="J135" s="44" t="str">
        <f t="shared" si="4"/>
        <v>Não</v>
      </c>
      <c r="K135" s="47">
        <v>45189.0</v>
      </c>
      <c r="L135" s="62"/>
      <c r="M135" s="45" t="s">
        <v>79</v>
      </c>
      <c r="N135" s="48">
        <v>0.012</v>
      </c>
      <c r="O135" s="44" t="s">
        <v>48</v>
      </c>
      <c r="P135" s="49">
        <v>0.1</v>
      </c>
      <c r="Q135" s="74"/>
      <c r="R135" s="50"/>
      <c r="S135" s="45" t="s">
        <v>108</v>
      </c>
      <c r="T135" s="24" t="s">
        <v>571</v>
      </c>
      <c r="U135" s="9" t="s">
        <v>29</v>
      </c>
      <c r="V135" s="51" t="str">
        <f t="shared" si="3"/>
        <v>Ativo</v>
      </c>
      <c r="W135" s="45"/>
      <c r="X135" s="52" t="s">
        <v>119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>
        <v>110342.23</v>
      </c>
      <c r="AL135" s="54">
        <v>111394.25</v>
      </c>
      <c r="AM135" s="54">
        <v>112217.82</v>
      </c>
      <c r="AN135" s="54">
        <v>112923.13</v>
      </c>
      <c r="AO135" s="54">
        <v>117879.39</v>
      </c>
      <c r="AP135" s="53">
        <v>118972.12</v>
      </c>
      <c r="AQ135" s="53">
        <v>119862.32</v>
      </c>
      <c r="AR135" s="53">
        <v>119821.94</v>
      </c>
      <c r="AS135" s="53">
        <v>120079.5</v>
      </c>
      <c r="AT135" s="53">
        <v>112.72</v>
      </c>
      <c r="AU135" s="53">
        <f t="array" ref="AU135">XLOOKUP(C135,'PL TOTAL D0'!A:A,'PL TOTAL D0'!C:C,"")</f>
        <v>112.72</v>
      </c>
    </row>
    <row r="136" ht="15.75" customHeight="1">
      <c r="A136" s="41" t="s">
        <v>43</v>
      </c>
      <c r="B136" s="42" t="s">
        <v>572</v>
      </c>
      <c r="C136" s="56" t="s">
        <v>573</v>
      </c>
      <c r="D136" s="44" t="s">
        <v>18</v>
      </c>
      <c r="E136" s="45" t="s">
        <v>34</v>
      </c>
      <c r="F136" s="44" t="s">
        <v>574</v>
      </c>
      <c r="G136" s="44" t="str">
        <f t="shared" si="1"/>
        <v>Augusto</v>
      </c>
      <c r="H136" s="46" t="s">
        <v>107</v>
      </c>
      <c r="I136" s="46" t="s">
        <v>24</v>
      </c>
      <c r="J136" s="44" t="str">
        <f t="shared" si="4"/>
        <v>Não</v>
      </c>
      <c r="K136" s="47">
        <v>44952.0</v>
      </c>
      <c r="L136" s="45"/>
      <c r="M136" s="45" t="s">
        <v>47</v>
      </c>
      <c r="N136" s="48">
        <v>0.015</v>
      </c>
      <c r="O136" s="44" t="s">
        <v>48</v>
      </c>
      <c r="P136" s="49">
        <v>0.1</v>
      </c>
      <c r="Q136" s="50"/>
      <c r="R136" s="50"/>
      <c r="S136" s="45" t="s">
        <v>108</v>
      </c>
      <c r="T136" s="24" t="s">
        <v>575</v>
      </c>
      <c r="U136" s="9" t="s">
        <v>34</v>
      </c>
      <c r="V136" s="51" t="str">
        <f t="shared" si="3"/>
        <v>Ativo</v>
      </c>
      <c r="W136" s="45"/>
      <c r="X136" s="52" t="s">
        <v>119</v>
      </c>
      <c r="Y136" s="54"/>
      <c r="Z136" s="54"/>
      <c r="AA136" s="54"/>
      <c r="AB136" s="54"/>
      <c r="AC136" s="54">
        <v>11476.59</v>
      </c>
      <c r="AD136" s="54">
        <v>56393.03</v>
      </c>
      <c r="AE136" s="54">
        <v>100741.71</v>
      </c>
      <c r="AF136" s="54">
        <v>130309.69</v>
      </c>
      <c r="AG136" s="54">
        <v>131947.19</v>
      </c>
      <c r="AH136" s="54">
        <v>134395.32</v>
      </c>
      <c r="AI136" s="54">
        <v>135329.99</v>
      </c>
      <c r="AJ136" s="54">
        <v>134736.77</v>
      </c>
      <c r="AK136" s="54">
        <v>135367.96</v>
      </c>
      <c r="AL136" s="54">
        <v>135090.37</v>
      </c>
      <c r="AM136" s="54">
        <v>138094.13</v>
      </c>
      <c r="AN136" s="54">
        <v>140826.88</v>
      </c>
      <c r="AO136" s="54">
        <v>138732.48</v>
      </c>
      <c r="AP136" s="53">
        <v>140072.31</v>
      </c>
      <c r="AQ136" s="53">
        <v>141341.87</v>
      </c>
      <c r="AR136" s="53">
        <v>139947.76</v>
      </c>
      <c r="AS136" s="53">
        <v>140100.9</v>
      </c>
      <c r="AT136" s="53">
        <v>140925.9</v>
      </c>
      <c r="AU136" s="53">
        <f t="array" ref="AU136">XLOOKUP(C136,'PL TOTAL D0'!A:A,'PL TOTAL D0'!C:C,"")</f>
        <v>143068.1</v>
      </c>
    </row>
    <row r="137" ht="15.75" customHeight="1">
      <c r="A137" s="41" t="s">
        <v>43</v>
      </c>
      <c r="B137" s="42" t="s">
        <v>576</v>
      </c>
      <c r="C137" s="43" t="s">
        <v>577</v>
      </c>
      <c r="D137" s="44" t="s">
        <v>18</v>
      </c>
      <c r="E137" s="45" t="s">
        <v>19</v>
      </c>
      <c r="F137" s="44" t="s">
        <v>122</v>
      </c>
      <c r="G137" s="44" t="str">
        <f t="shared" si="1"/>
        <v>Augusto</v>
      </c>
      <c r="H137" s="46" t="s">
        <v>107</v>
      </c>
      <c r="I137" s="46" t="s">
        <v>24</v>
      </c>
      <c r="J137" s="44" t="str">
        <f t="shared" si="4"/>
        <v>Não</v>
      </c>
      <c r="K137" s="47">
        <v>44951.0</v>
      </c>
      <c r="L137" s="45"/>
      <c r="M137" s="45" t="s">
        <v>55</v>
      </c>
      <c r="N137" s="48">
        <v>0.01</v>
      </c>
      <c r="O137" s="44" t="s">
        <v>24</v>
      </c>
      <c r="P137" s="49">
        <v>0.0</v>
      </c>
      <c r="Q137" s="50"/>
      <c r="R137" s="50"/>
      <c r="S137" s="45" t="s">
        <v>108</v>
      </c>
      <c r="T137" s="24" t="s">
        <v>578</v>
      </c>
      <c r="U137" s="9" t="s">
        <v>504</v>
      </c>
      <c r="V137" s="51" t="str">
        <f t="shared" si="3"/>
        <v>Ativo</v>
      </c>
      <c r="W137" s="45"/>
      <c r="X137" s="52" t="s">
        <v>119</v>
      </c>
      <c r="Y137" s="54"/>
      <c r="Z137" s="54"/>
      <c r="AA137" s="54"/>
      <c r="AB137" s="54"/>
      <c r="AC137" s="54">
        <v>34444.79</v>
      </c>
      <c r="AD137" s="54">
        <v>24827.3</v>
      </c>
      <c r="AE137" s="54">
        <v>25083.91</v>
      </c>
      <c r="AF137" s="54">
        <v>25270.13</v>
      </c>
      <c r="AG137" s="54">
        <v>29257.61</v>
      </c>
      <c r="AH137" s="54">
        <v>31545.57</v>
      </c>
      <c r="AI137" s="54">
        <v>32831.67</v>
      </c>
      <c r="AJ137" s="54">
        <v>31614.77</v>
      </c>
      <c r="AK137" s="54">
        <v>27788.14</v>
      </c>
      <c r="AL137" s="54">
        <v>25899.62</v>
      </c>
      <c r="AM137" s="54">
        <v>27599.78</v>
      </c>
      <c r="AN137" s="54">
        <v>28863.14</v>
      </c>
      <c r="AO137" s="54">
        <v>28078.2</v>
      </c>
      <c r="AP137" s="53">
        <v>16394.32</v>
      </c>
      <c r="AQ137" s="53">
        <v>17659.52</v>
      </c>
      <c r="AR137" s="53">
        <v>21640.73</v>
      </c>
      <c r="AS137" s="53">
        <v>21833.69</v>
      </c>
      <c r="AT137" s="53">
        <v>29153.77</v>
      </c>
      <c r="AU137" s="53">
        <f t="array" ref="AU137">XLOOKUP(C137,'PL TOTAL D0'!A:A,'PL TOTAL D0'!C:C,"")</f>
        <v>29258.67</v>
      </c>
    </row>
    <row r="138" ht="15.75" customHeight="1">
      <c r="A138" s="41" t="s">
        <v>43</v>
      </c>
      <c r="B138" s="42" t="s">
        <v>579</v>
      </c>
      <c r="C138" s="43" t="s">
        <v>580</v>
      </c>
      <c r="D138" s="44" t="s">
        <v>18</v>
      </c>
      <c r="E138" s="45" t="s">
        <v>176</v>
      </c>
      <c r="F138" s="44" t="s">
        <v>197</v>
      </c>
      <c r="G138" s="44" t="str">
        <f t="shared" si="1"/>
        <v>#N/A</v>
      </c>
      <c r="H138" s="46" t="s">
        <v>186</v>
      </c>
      <c r="I138" s="46" t="s">
        <v>24</v>
      </c>
      <c r="J138" s="44" t="str">
        <f t="shared" si="4"/>
        <v>Não</v>
      </c>
      <c r="K138" s="47">
        <v>45092.0</v>
      </c>
      <c r="L138" s="72">
        <v>45152.0</v>
      </c>
      <c r="M138" s="45" t="s">
        <v>79</v>
      </c>
      <c r="N138" s="48">
        <v>0.012</v>
      </c>
      <c r="O138" s="44" t="s">
        <v>24</v>
      </c>
      <c r="P138" s="49">
        <v>0.0</v>
      </c>
      <c r="Q138" s="50"/>
      <c r="R138" s="50"/>
      <c r="S138" s="45" t="s">
        <v>108</v>
      </c>
      <c r="T138" s="24" t="s">
        <v>581</v>
      </c>
      <c r="U138" s="9" t="s">
        <v>180</v>
      </c>
      <c r="V138" s="51" t="str">
        <f t="shared" si="3"/>
        <v>Encerrado</v>
      </c>
      <c r="W138" s="45"/>
      <c r="X138" s="52"/>
      <c r="Y138" s="54"/>
      <c r="Z138" s="54"/>
      <c r="AA138" s="54"/>
      <c r="AB138" s="54"/>
      <c r="AC138" s="54"/>
      <c r="AD138" s="54"/>
      <c r="AE138" s="54"/>
      <c r="AF138" s="54">
        <v>0.0</v>
      </c>
      <c r="AG138" s="54">
        <v>0.0</v>
      </c>
      <c r="AH138" s="54">
        <v>10052.23</v>
      </c>
      <c r="AI138" s="54">
        <v>0.01</v>
      </c>
      <c r="AJ138" s="54">
        <v>0.0</v>
      </c>
      <c r="AK138" s="54">
        <v>0.0</v>
      </c>
      <c r="AL138" s="54">
        <v>0.0</v>
      </c>
      <c r="AM138" s="54">
        <v>0.0</v>
      </c>
      <c r="AN138" s="54">
        <v>0.0</v>
      </c>
      <c r="AO138" s="54">
        <v>0.0</v>
      </c>
      <c r="AP138" s="53">
        <v>0.0</v>
      </c>
      <c r="AQ138" s="53">
        <v>0.0</v>
      </c>
      <c r="AR138" s="53">
        <v>0.0</v>
      </c>
      <c r="AS138" s="53">
        <v>0.0</v>
      </c>
      <c r="AT138" s="53">
        <v>0.0</v>
      </c>
      <c r="AU138" s="53" t="str">
        <f t="array" ref="AU138">XLOOKUP(C138,'PL TOTAL D0'!A:A,'PL TOTAL D0'!C:C,"")</f>
        <v/>
      </c>
    </row>
    <row r="139" ht="15.75" customHeight="1">
      <c r="A139" s="41" t="s">
        <v>43</v>
      </c>
      <c r="B139" s="121" t="s">
        <v>582</v>
      </c>
      <c r="C139" s="43" t="s">
        <v>583</v>
      </c>
      <c r="D139" s="44" t="s">
        <v>18</v>
      </c>
      <c r="E139" s="45" t="s">
        <v>176</v>
      </c>
      <c r="F139" s="44" t="s">
        <v>197</v>
      </c>
      <c r="G139" s="44" t="str">
        <f t="shared" si="1"/>
        <v>Augusto</v>
      </c>
      <c r="H139" s="46" t="s">
        <v>107</v>
      </c>
      <c r="I139" s="46" t="s">
        <v>24</v>
      </c>
      <c r="J139" s="44" t="str">
        <f t="shared" si="4"/>
        <v>Sim</v>
      </c>
      <c r="K139" s="47">
        <v>45135.0</v>
      </c>
      <c r="L139" s="45"/>
      <c r="M139" s="45" t="s">
        <v>47</v>
      </c>
      <c r="N139" s="48">
        <v>0.015</v>
      </c>
      <c r="O139" s="44" t="s">
        <v>48</v>
      </c>
      <c r="P139" s="49">
        <v>0.1</v>
      </c>
      <c r="Q139" s="6" t="s">
        <v>584</v>
      </c>
      <c r="R139" s="60" t="s">
        <v>585</v>
      </c>
      <c r="S139" s="45" t="s">
        <v>108</v>
      </c>
      <c r="T139" s="24" t="s">
        <v>581</v>
      </c>
      <c r="U139" s="9" t="s">
        <v>180</v>
      </c>
      <c r="V139" s="51" t="str">
        <f t="shared" si="3"/>
        <v>Ativo</v>
      </c>
      <c r="W139" s="45"/>
      <c r="X139" s="52" t="s">
        <v>110</v>
      </c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>
        <v>10091.93</v>
      </c>
      <c r="AJ139" s="54">
        <v>111690.06</v>
      </c>
      <c r="AK139" s="54">
        <v>226896.08</v>
      </c>
      <c r="AL139" s="54">
        <v>256710.05</v>
      </c>
      <c r="AM139" s="54">
        <v>261983.09</v>
      </c>
      <c r="AN139" s="54">
        <v>266625.69</v>
      </c>
      <c r="AO139" s="54">
        <v>262459.89</v>
      </c>
      <c r="AP139" s="53">
        <v>266173.15</v>
      </c>
      <c r="AQ139" s="53">
        <v>268734.95</v>
      </c>
      <c r="AR139" s="53">
        <v>231977.24</v>
      </c>
      <c r="AS139" s="53">
        <v>231374.0</v>
      </c>
      <c r="AT139" s="53">
        <v>190442.4</v>
      </c>
      <c r="AU139" s="53">
        <f t="array" ref="AU139">XLOOKUP(C139,'PL TOTAL D0'!A:A,'PL TOTAL D0'!C:C,"")</f>
        <v>173386</v>
      </c>
    </row>
    <row r="140" ht="15.75" customHeight="1">
      <c r="A140" s="41" t="s">
        <v>43</v>
      </c>
      <c r="B140" s="42" t="s">
        <v>586</v>
      </c>
      <c r="C140" s="43" t="s">
        <v>587</v>
      </c>
      <c r="D140" s="44" t="s">
        <v>18</v>
      </c>
      <c r="E140" s="45" t="s">
        <v>176</v>
      </c>
      <c r="F140" s="44" t="s">
        <v>177</v>
      </c>
      <c r="G140" s="44" t="str">
        <f t="shared" si="1"/>
        <v>Augusto</v>
      </c>
      <c r="H140" s="46" t="s">
        <v>107</v>
      </c>
      <c r="I140" s="46" t="s">
        <v>24</v>
      </c>
      <c r="J140" s="44" t="str">
        <f t="shared" si="4"/>
        <v>Não</v>
      </c>
      <c r="K140" s="47">
        <v>45132.0</v>
      </c>
      <c r="L140" s="62"/>
      <c r="M140" s="122" t="s">
        <v>47</v>
      </c>
      <c r="N140" s="48">
        <v>0.015</v>
      </c>
      <c r="O140" s="44" t="s">
        <v>48</v>
      </c>
      <c r="P140" s="49">
        <v>0.1</v>
      </c>
      <c r="Q140" s="74"/>
      <c r="R140" s="74"/>
      <c r="S140" s="45" t="s">
        <v>108</v>
      </c>
      <c r="T140" s="24" t="s">
        <v>588</v>
      </c>
      <c r="U140" s="9" t="s">
        <v>180</v>
      </c>
      <c r="V140" s="51" t="str">
        <f t="shared" si="3"/>
        <v>Ativo</v>
      </c>
      <c r="W140" s="45"/>
      <c r="X140" s="52" t="s">
        <v>110</v>
      </c>
      <c r="Y140" s="54"/>
      <c r="Z140" s="54"/>
      <c r="AA140" s="54"/>
      <c r="AB140" s="54"/>
      <c r="AC140" s="54"/>
      <c r="AD140" s="54"/>
      <c r="AE140" s="54">
        <v>0.0</v>
      </c>
      <c r="AF140" s="54">
        <v>0.0</v>
      </c>
      <c r="AG140" s="54">
        <v>0.0</v>
      </c>
      <c r="AH140" s="54">
        <v>0.0</v>
      </c>
      <c r="AI140" s="54">
        <v>222554.38</v>
      </c>
      <c r="AJ140" s="54">
        <v>397321.78</v>
      </c>
      <c r="AK140" s="54">
        <v>413850.07</v>
      </c>
      <c r="AL140" s="54">
        <v>414069.55</v>
      </c>
      <c r="AM140" s="54">
        <v>339359.54</v>
      </c>
      <c r="AN140" s="54">
        <v>346092.39</v>
      </c>
      <c r="AO140" s="54">
        <v>340505.92</v>
      </c>
      <c r="AP140" s="53">
        <v>343818.5</v>
      </c>
      <c r="AQ140" s="53">
        <v>347570.86</v>
      </c>
      <c r="AR140" s="53">
        <v>345547.17</v>
      </c>
      <c r="AS140" s="53">
        <v>345333.2</v>
      </c>
      <c r="AT140" s="53">
        <v>347460.2</v>
      </c>
      <c r="AU140" s="53">
        <f t="array" ref="AU140">XLOOKUP(C140,'PL TOTAL D0'!A:A,'PL TOTAL D0'!C:C,"")</f>
        <v>352924.8</v>
      </c>
    </row>
    <row r="141" ht="15.75" customHeight="1">
      <c r="A141" s="41" t="s">
        <v>43</v>
      </c>
      <c r="B141" s="115" t="s">
        <v>589</v>
      </c>
      <c r="C141" s="43" t="s">
        <v>590</v>
      </c>
      <c r="D141" s="44" t="s">
        <v>18</v>
      </c>
      <c r="E141" s="45" t="s">
        <v>176</v>
      </c>
      <c r="F141" s="44" t="s">
        <v>177</v>
      </c>
      <c r="G141" s="44" t="str">
        <f t="shared" si="1"/>
        <v>#N/A</v>
      </c>
      <c r="H141" s="46" t="s">
        <v>186</v>
      </c>
      <c r="I141" s="51" t="s">
        <v>24</v>
      </c>
      <c r="J141" s="44" t="str">
        <f t="shared" si="4"/>
        <v>Não</v>
      </c>
      <c r="K141" s="47">
        <v>45034.0</v>
      </c>
      <c r="L141" s="123">
        <v>45274.0</v>
      </c>
      <c r="M141" s="45" t="s">
        <v>55</v>
      </c>
      <c r="N141" s="48">
        <v>0.012</v>
      </c>
      <c r="O141" s="44" t="s">
        <v>24</v>
      </c>
      <c r="P141" s="49">
        <v>0.0</v>
      </c>
      <c r="Q141" s="90"/>
      <c r="R141" s="124"/>
      <c r="S141" s="45" t="s">
        <v>108</v>
      </c>
      <c r="T141" s="24" t="s">
        <v>588</v>
      </c>
      <c r="U141" s="9" t="s">
        <v>180</v>
      </c>
      <c r="V141" s="51" t="str">
        <f t="shared" si="3"/>
        <v>Encerrado</v>
      </c>
      <c r="W141" s="45"/>
      <c r="X141" s="52"/>
      <c r="Y141" s="54"/>
      <c r="Z141" s="54"/>
      <c r="AA141" s="54"/>
      <c r="AB141" s="54"/>
      <c r="AC141" s="54"/>
      <c r="AD141" s="54"/>
      <c r="AE141" s="54">
        <v>0.0</v>
      </c>
      <c r="AF141" s="54">
        <v>701999.45</v>
      </c>
      <c r="AG141" s="54">
        <v>709503.56</v>
      </c>
      <c r="AH141" s="54">
        <v>386365.49</v>
      </c>
      <c r="AI141" s="54">
        <v>556458.33</v>
      </c>
      <c r="AJ141" s="54">
        <v>392514.41</v>
      </c>
      <c r="AK141" s="54">
        <v>409850.82</v>
      </c>
      <c r="AL141" s="54">
        <v>593.2</v>
      </c>
      <c r="AM141" s="54">
        <v>204.09</v>
      </c>
      <c r="AN141" s="54">
        <v>0.0</v>
      </c>
      <c r="AO141" s="54">
        <v>0.0</v>
      </c>
      <c r="AP141" s="53">
        <v>0.0</v>
      </c>
      <c r="AQ141" s="53">
        <v>0.0</v>
      </c>
      <c r="AR141" s="53">
        <v>0.0</v>
      </c>
      <c r="AS141" s="53">
        <v>0.0</v>
      </c>
      <c r="AT141" s="53">
        <v>0.0</v>
      </c>
      <c r="AU141" s="53" t="str">
        <f t="array" ref="AU141">XLOOKUP(C141,'PL TOTAL D0'!A:A,'PL TOTAL D0'!C:C,"")</f>
        <v/>
      </c>
    </row>
    <row r="142" ht="15.75" customHeight="1">
      <c r="A142" s="41" t="s">
        <v>43</v>
      </c>
      <c r="B142" s="61" t="s">
        <v>591</v>
      </c>
      <c r="C142" s="43" t="s">
        <v>592</v>
      </c>
      <c r="D142" s="44" t="s">
        <v>18</v>
      </c>
      <c r="E142" s="45" t="s">
        <v>19</v>
      </c>
      <c r="F142" s="44" t="s">
        <v>20</v>
      </c>
      <c r="G142" s="44" t="str">
        <f t="shared" si="1"/>
        <v>Augusto</v>
      </c>
      <c r="H142" s="51" t="s">
        <v>107</v>
      </c>
      <c r="I142" s="51" t="s">
        <v>24</v>
      </c>
      <c r="J142" s="44" t="str">
        <f t="shared" si="4"/>
        <v>Não</v>
      </c>
      <c r="K142" s="47">
        <v>44994.0</v>
      </c>
      <c r="L142" s="45"/>
      <c r="M142" s="125" t="s">
        <v>55</v>
      </c>
      <c r="N142" s="58">
        <v>0.012</v>
      </c>
      <c r="O142" s="9" t="s">
        <v>24</v>
      </c>
      <c r="P142" s="59">
        <v>0.0</v>
      </c>
      <c r="Q142" s="73"/>
      <c r="R142" s="73" t="s">
        <v>593</v>
      </c>
      <c r="S142" s="45" t="s">
        <v>108</v>
      </c>
      <c r="T142" s="24" t="s">
        <v>594</v>
      </c>
      <c r="U142" s="9" t="s">
        <v>19</v>
      </c>
      <c r="V142" s="51" t="str">
        <f t="shared" si="3"/>
        <v>Ativo</v>
      </c>
      <c r="W142" s="45"/>
      <c r="X142" s="52" t="s">
        <v>119</v>
      </c>
      <c r="Y142" s="54"/>
      <c r="Z142" s="54"/>
      <c r="AA142" s="54"/>
      <c r="AB142" s="54"/>
      <c r="AC142" s="54"/>
      <c r="AD142" s="54"/>
      <c r="AE142" s="54">
        <v>100452.44</v>
      </c>
      <c r="AF142" s="54">
        <v>105350.23</v>
      </c>
      <c r="AG142" s="54">
        <v>106502.53</v>
      </c>
      <c r="AH142" s="54">
        <v>107602.25</v>
      </c>
      <c r="AI142" s="54">
        <v>108468.23</v>
      </c>
      <c r="AJ142" s="54">
        <v>109535.09</v>
      </c>
      <c r="AK142" s="54">
        <v>110405.09</v>
      </c>
      <c r="AL142" s="54">
        <v>110715.87</v>
      </c>
      <c r="AM142" s="54">
        <v>111541.89</v>
      </c>
      <c r="AN142" s="54">
        <v>112383.29</v>
      </c>
      <c r="AO142" s="54">
        <v>113303.23</v>
      </c>
      <c r="AP142" s="53">
        <v>114098.77</v>
      </c>
      <c r="AQ142" s="53">
        <v>114381.89</v>
      </c>
      <c r="AR142" s="53">
        <v>115251.75</v>
      </c>
      <c r="AS142" s="53">
        <v>116117.7</v>
      </c>
      <c r="AT142" s="53">
        <v>117040.5</v>
      </c>
      <c r="AU142" s="53">
        <f t="array" ref="AU142">XLOOKUP(C142,'PL TOTAL D0'!A:A,'PL TOTAL D0'!C:C,"")</f>
        <v>116281.8</v>
      </c>
    </row>
    <row r="143" ht="15.75" customHeight="1">
      <c r="A143" s="41" t="s">
        <v>43</v>
      </c>
      <c r="B143" s="42" t="s">
        <v>595</v>
      </c>
      <c r="C143" s="43" t="s">
        <v>596</v>
      </c>
      <c r="D143" s="44" t="s">
        <v>18</v>
      </c>
      <c r="E143" s="45" t="s">
        <v>19</v>
      </c>
      <c r="F143" s="44" t="s">
        <v>256</v>
      </c>
      <c r="G143" s="44" t="str">
        <f t="shared" si="1"/>
        <v>Augusto</v>
      </c>
      <c r="H143" s="51" t="s">
        <v>147</v>
      </c>
      <c r="I143" s="51" t="s">
        <v>161</v>
      </c>
      <c r="J143" s="44" t="str">
        <f t="shared" si="4"/>
        <v>Não</v>
      </c>
      <c r="K143" s="47">
        <v>45100.0</v>
      </c>
      <c r="L143" s="62"/>
      <c r="M143" s="45" t="s">
        <v>55</v>
      </c>
      <c r="N143" s="48">
        <v>0.012</v>
      </c>
      <c r="O143" s="44" t="s">
        <v>24</v>
      </c>
      <c r="P143" s="49">
        <v>0.0</v>
      </c>
      <c r="Q143" s="74"/>
      <c r="R143" s="74"/>
      <c r="S143" s="45" t="s">
        <v>369</v>
      </c>
      <c r="T143" s="24" t="s">
        <v>597</v>
      </c>
      <c r="U143" s="9" t="s">
        <v>29</v>
      </c>
      <c r="V143" s="51" t="str">
        <f t="shared" si="3"/>
        <v>Ativo</v>
      </c>
      <c r="W143" s="45"/>
      <c r="X143" s="52" t="s">
        <v>119</v>
      </c>
      <c r="Y143" s="54"/>
      <c r="Z143" s="54"/>
      <c r="AA143" s="54"/>
      <c r="AB143" s="54"/>
      <c r="AC143" s="54"/>
      <c r="AD143" s="54"/>
      <c r="AE143" s="54"/>
      <c r="AF143" s="54">
        <v>0.0</v>
      </c>
      <c r="AG143" s="54">
        <v>0.0</v>
      </c>
      <c r="AH143" s="54">
        <v>1311380.19</v>
      </c>
      <c r="AI143" s="54">
        <v>2330169.23</v>
      </c>
      <c r="AJ143" s="54">
        <v>2254706.17</v>
      </c>
      <c r="AK143" s="54">
        <v>14478.09</v>
      </c>
      <c r="AL143" s="54">
        <v>13659.99</v>
      </c>
      <c r="AM143" s="54">
        <v>13767.03</v>
      </c>
      <c r="AN143" s="54">
        <v>13878.82</v>
      </c>
      <c r="AO143" s="54">
        <v>14000.74</v>
      </c>
      <c r="AP143" s="53">
        <v>14124.45</v>
      </c>
      <c r="AQ143" s="53">
        <v>14230.92</v>
      </c>
      <c r="AR143" s="53">
        <v>14345.37</v>
      </c>
      <c r="AS143" s="53">
        <v>14450.94</v>
      </c>
      <c r="AT143" s="53">
        <v>14553.95</v>
      </c>
      <c r="AU143" s="53">
        <f t="array" ref="AU143">XLOOKUP(C143,'PL TOTAL D0'!A:A,'PL TOTAL D0'!C:C,"")</f>
        <v>14598.4</v>
      </c>
    </row>
    <row r="144" ht="15.75" customHeight="1">
      <c r="A144" s="41" t="s">
        <v>43</v>
      </c>
      <c r="B144" s="42" t="s">
        <v>595</v>
      </c>
      <c r="C144" s="43" t="s">
        <v>598</v>
      </c>
      <c r="D144" s="44" t="s">
        <v>18</v>
      </c>
      <c r="E144" s="45" t="s">
        <v>19</v>
      </c>
      <c r="F144" s="44" t="s">
        <v>256</v>
      </c>
      <c r="G144" s="44" t="str">
        <f t="shared" si="1"/>
        <v>#N/A</v>
      </c>
      <c r="H144" s="51" t="s">
        <v>147</v>
      </c>
      <c r="I144" s="46" t="s">
        <v>219</v>
      </c>
      <c r="J144" s="44" t="str">
        <f t="shared" si="4"/>
        <v>Não</v>
      </c>
      <c r="K144" s="47">
        <v>45166.0</v>
      </c>
      <c r="L144" s="62"/>
      <c r="M144" s="45" t="s">
        <v>55</v>
      </c>
      <c r="N144" s="48">
        <v>0.012</v>
      </c>
      <c r="O144" s="44" t="s">
        <v>24</v>
      </c>
      <c r="P144" s="49">
        <v>0.0</v>
      </c>
      <c r="Q144" s="74"/>
      <c r="R144" s="74"/>
      <c r="S144" s="45" t="s">
        <v>369</v>
      </c>
      <c r="T144" s="24" t="s">
        <v>597</v>
      </c>
      <c r="U144" s="9" t="s">
        <v>29</v>
      </c>
      <c r="V144" s="51" t="str">
        <f t="shared" si="3"/>
        <v>Ativo</v>
      </c>
      <c r="W144" s="45"/>
      <c r="X144" s="52" t="s">
        <v>119</v>
      </c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>
        <v>0.0</v>
      </c>
      <c r="AJ144" s="54">
        <v>0.0</v>
      </c>
      <c r="AK144" s="54">
        <v>0.0</v>
      </c>
      <c r="AL144" s="54">
        <v>0.0</v>
      </c>
      <c r="AM144" s="54">
        <v>0.0</v>
      </c>
      <c r="AN144" s="54">
        <v>0.0</v>
      </c>
      <c r="AO144" s="54">
        <v>0.0</v>
      </c>
      <c r="AP144" s="53">
        <v>0.0</v>
      </c>
      <c r="AQ144" s="53">
        <v>0.0</v>
      </c>
      <c r="AR144" s="53">
        <v>0.0</v>
      </c>
      <c r="AS144" s="53">
        <v>0.0</v>
      </c>
      <c r="AT144" s="53">
        <v>0.0</v>
      </c>
      <c r="AU144" s="53" t="str">
        <f t="array" ref="AU144">XLOOKUP(C144,'PL TOTAL D0'!A:A,'PL TOTAL D0'!C:C,"")</f>
        <v/>
      </c>
    </row>
    <row r="145" ht="15.75" customHeight="1">
      <c r="A145" s="41" t="s">
        <v>43</v>
      </c>
      <c r="B145" s="42" t="s">
        <v>599</v>
      </c>
      <c r="C145" s="43" t="s">
        <v>600</v>
      </c>
      <c r="D145" s="44" t="s">
        <v>18</v>
      </c>
      <c r="E145" s="45" t="s">
        <v>176</v>
      </c>
      <c r="F145" s="44" t="s">
        <v>197</v>
      </c>
      <c r="G145" s="44" t="str">
        <f t="shared" si="1"/>
        <v>Breno</v>
      </c>
      <c r="H145" s="51" t="s">
        <v>107</v>
      </c>
      <c r="I145" s="46" t="s">
        <v>24</v>
      </c>
      <c r="J145" s="44" t="str">
        <f t="shared" si="4"/>
        <v>Não</v>
      </c>
      <c r="K145" s="47">
        <v>45149.0</v>
      </c>
      <c r="L145" s="62"/>
      <c r="M145" s="125" t="s">
        <v>79</v>
      </c>
      <c r="N145" s="48">
        <v>0.012</v>
      </c>
      <c r="O145" s="9" t="s">
        <v>48</v>
      </c>
      <c r="P145" s="49">
        <v>0.1</v>
      </c>
      <c r="Q145" s="41"/>
      <c r="R145" s="73" t="s">
        <v>601</v>
      </c>
      <c r="S145" s="45" t="s">
        <v>108</v>
      </c>
      <c r="T145" s="24" t="s">
        <v>602</v>
      </c>
      <c r="U145" s="9" t="s">
        <v>180</v>
      </c>
      <c r="V145" s="51" t="str">
        <f t="shared" si="3"/>
        <v>Ativo</v>
      </c>
      <c r="W145" s="45"/>
      <c r="X145" s="52" t="s">
        <v>110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>
        <v>20122.09</v>
      </c>
      <c r="AK145" s="54">
        <v>334465.94</v>
      </c>
      <c r="AL145" s="54">
        <v>335443.66</v>
      </c>
      <c r="AM145" s="54">
        <v>370027.02</v>
      </c>
      <c r="AN145" s="54">
        <v>515177.48</v>
      </c>
      <c r="AO145" s="54">
        <v>513140.4</v>
      </c>
      <c r="AP145" s="53">
        <v>514441.1</v>
      </c>
      <c r="AQ145" s="53">
        <v>519788.9</v>
      </c>
      <c r="AR145" s="53">
        <v>544028.83</v>
      </c>
      <c r="AS145" s="53">
        <v>544850.5</v>
      </c>
      <c r="AT145" s="53">
        <v>561634.3</v>
      </c>
      <c r="AU145" s="53">
        <f t="array" ref="AU145">XLOOKUP(C145,'PL TOTAL D0'!A:A,'PL TOTAL D0'!C:C,"")</f>
        <v>566701.2</v>
      </c>
    </row>
    <row r="146" ht="15.75" customHeight="1">
      <c r="A146" s="41" t="s">
        <v>43</v>
      </c>
      <c r="B146" s="42" t="s">
        <v>603</v>
      </c>
      <c r="C146" s="43" t="s">
        <v>604</v>
      </c>
      <c r="D146" s="44" t="s">
        <v>18</v>
      </c>
      <c r="E146" s="45" t="s">
        <v>19</v>
      </c>
      <c r="F146" s="44" t="s">
        <v>20</v>
      </c>
      <c r="G146" s="44" t="str">
        <f t="shared" si="1"/>
        <v>#N/A</v>
      </c>
      <c r="H146" s="51" t="s">
        <v>186</v>
      </c>
      <c r="I146" s="51" t="s">
        <v>24</v>
      </c>
      <c r="J146" s="44" t="str">
        <f t="shared" si="4"/>
        <v>Não</v>
      </c>
      <c r="K146" s="47">
        <v>44951.0</v>
      </c>
      <c r="L146" s="82">
        <v>45308.0</v>
      </c>
      <c r="M146" s="45" t="s">
        <v>47</v>
      </c>
      <c r="N146" s="48">
        <v>0.015</v>
      </c>
      <c r="O146" s="44" t="s">
        <v>48</v>
      </c>
      <c r="P146" s="49">
        <v>0.1</v>
      </c>
      <c r="Q146" s="50"/>
      <c r="R146" s="73" t="s">
        <v>239</v>
      </c>
      <c r="S146" s="45" t="s">
        <v>108</v>
      </c>
      <c r="T146" s="24" t="s">
        <v>605</v>
      </c>
      <c r="U146" s="9" t="s">
        <v>19</v>
      </c>
      <c r="V146" s="51" t="str">
        <f t="shared" si="3"/>
        <v>Encerrado</v>
      </c>
      <c r="W146" s="45"/>
      <c r="X146" s="52"/>
      <c r="Y146" s="54"/>
      <c r="Z146" s="54"/>
      <c r="AA146" s="54"/>
      <c r="AB146" s="54"/>
      <c r="AC146" s="54">
        <v>316204.27</v>
      </c>
      <c r="AD146" s="54">
        <v>304847.72</v>
      </c>
      <c r="AE146" s="54">
        <v>307682.12</v>
      </c>
      <c r="AF146" s="54">
        <v>309166.56</v>
      </c>
      <c r="AG146" s="54">
        <v>198416.28</v>
      </c>
      <c r="AH146" s="54">
        <v>199994.84</v>
      </c>
      <c r="AI146" s="54">
        <v>201266.25</v>
      </c>
      <c r="AJ146" s="54">
        <v>203028.42</v>
      </c>
      <c r="AK146" s="54">
        <v>204677.74</v>
      </c>
      <c r="AL146" s="54">
        <v>184.86</v>
      </c>
      <c r="AM146" s="54">
        <v>0.33</v>
      </c>
      <c r="AN146" s="54">
        <v>0.0</v>
      </c>
      <c r="AO146" s="54">
        <v>0.0</v>
      </c>
      <c r="AP146" s="53">
        <v>0.0</v>
      </c>
      <c r="AQ146" s="53">
        <v>0.0</v>
      </c>
      <c r="AR146" s="53">
        <v>0.0</v>
      </c>
      <c r="AS146" s="53">
        <v>0.0</v>
      </c>
      <c r="AT146" s="53">
        <v>0.0</v>
      </c>
      <c r="AU146" s="53" t="str">
        <f t="array" ref="AU146">XLOOKUP(C146,'PL TOTAL D0'!A:A,'PL TOTAL D0'!C:C,"")</f>
        <v/>
      </c>
    </row>
    <row r="147" ht="15.0" customHeight="1">
      <c r="A147" s="41" t="s">
        <v>43</v>
      </c>
      <c r="B147" s="42" t="s">
        <v>606</v>
      </c>
      <c r="C147" s="43" t="s">
        <v>607</v>
      </c>
      <c r="D147" s="44" t="s">
        <v>18</v>
      </c>
      <c r="E147" s="45" t="s">
        <v>19</v>
      </c>
      <c r="F147" s="44" t="s">
        <v>256</v>
      </c>
      <c r="G147" s="44" t="str">
        <f t="shared" si="1"/>
        <v>Augusto</v>
      </c>
      <c r="H147" s="46" t="s">
        <v>107</v>
      </c>
      <c r="I147" s="46" t="s">
        <v>24</v>
      </c>
      <c r="J147" s="44" t="str">
        <f t="shared" si="4"/>
        <v>Não</v>
      </c>
      <c r="K147" s="47">
        <v>45135.0</v>
      </c>
      <c r="L147" s="62"/>
      <c r="M147" s="45" t="s">
        <v>269</v>
      </c>
      <c r="N147" s="48">
        <v>0.02</v>
      </c>
      <c r="O147" s="44" t="s">
        <v>48</v>
      </c>
      <c r="P147" s="49">
        <v>0.2</v>
      </c>
      <c r="Q147" s="50"/>
      <c r="R147" s="50"/>
      <c r="S147" s="45" t="s">
        <v>108</v>
      </c>
      <c r="T147" s="24" t="s">
        <v>608</v>
      </c>
      <c r="U147" s="9" t="s">
        <v>152</v>
      </c>
      <c r="V147" s="51" t="str">
        <f t="shared" si="3"/>
        <v>Ativo</v>
      </c>
      <c r="W147" s="45"/>
      <c r="X147" s="52" t="s">
        <v>119</v>
      </c>
      <c r="Y147" s="54"/>
      <c r="Z147" s="54"/>
      <c r="AA147" s="54"/>
      <c r="AB147" s="54"/>
      <c r="AC147" s="54"/>
      <c r="AD147" s="54"/>
      <c r="AE147" s="54">
        <v>0.0</v>
      </c>
      <c r="AF147" s="54">
        <v>0.0</v>
      </c>
      <c r="AG147" s="54">
        <v>0.0</v>
      </c>
      <c r="AH147" s="54">
        <v>0.0</v>
      </c>
      <c r="AI147" s="54">
        <v>234730.68</v>
      </c>
      <c r="AJ147" s="54">
        <v>233004.03</v>
      </c>
      <c r="AK147" s="54">
        <v>232341.14</v>
      </c>
      <c r="AL147" s="54">
        <v>229759.5</v>
      </c>
      <c r="AM147" s="54">
        <v>239272.45</v>
      </c>
      <c r="AN147" s="54">
        <v>247282.04</v>
      </c>
      <c r="AO147" s="54">
        <v>233883.16</v>
      </c>
      <c r="AP147" s="53">
        <v>225320.9</v>
      </c>
      <c r="AQ147" s="53">
        <v>226091.54</v>
      </c>
      <c r="AR147" s="53">
        <v>220398.64</v>
      </c>
      <c r="AS147" s="53">
        <v>216926.8</v>
      </c>
      <c r="AT147" s="53">
        <v>205004.5</v>
      </c>
      <c r="AU147" s="53">
        <f t="array" ref="AU147">XLOOKUP(C147,'PL TOTAL D0'!A:A,'PL TOTAL D0'!C:C,"")</f>
        <v>211571.9</v>
      </c>
    </row>
    <row r="148" ht="15.75" customHeight="1">
      <c r="A148" s="41" t="s">
        <v>43</v>
      </c>
      <c r="B148" s="42" t="s">
        <v>609</v>
      </c>
      <c r="C148" s="43" t="s">
        <v>610</v>
      </c>
      <c r="D148" s="44" t="s">
        <v>105</v>
      </c>
      <c r="E148" s="45" t="s">
        <v>29</v>
      </c>
      <c r="F148" s="44" t="s">
        <v>412</v>
      </c>
      <c r="G148" s="44" t="str">
        <f t="shared" si="1"/>
        <v>Breno</v>
      </c>
      <c r="H148" s="46" t="s">
        <v>107</v>
      </c>
      <c r="I148" s="46" t="s">
        <v>24</v>
      </c>
      <c r="J148" s="44" t="str">
        <f t="shared" si="4"/>
        <v>Não</v>
      </c>
      <c r="K148" s="47">
        <v>45125.0</v>
      </c>
      <c r="L148" s="62"/>
      <c r="M148" s="45" t="s">
        <v>278</v>
      </c>
      <c r="N148" s="48">
        <v>0.0085</v>
      </c>
      <c r="O148" s="44" t="s">
        <v>24</v>
      </c>
      <c r="P148" s="49">
        <v>0.0</v>
      </c>
      <c r="Q148" s="50"/>
      <c r="R148" s="50"/>
      <c r="S148" s="45" t="s">
        <v>108</v>
      </c>
      <c r="T148" s="24" t="s">
        <v>611</v>
      </c>
      <c r="U148" s="9" t="s">
        <v>29</v>
      </c>
      <c r="V148" s="51" t="str">
        <f t="shared" si="3"/>
        <v>Ativo</v>
      </c>
      <c r="W148" s="45"/>
      <c r="X148" s="52" t="s">
        <v>110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>
        <v>398347.79</v>
      </c>
      <c r="AJ148" s="54">
        <v>403615.16</v>
      </c>
      <c r="AK148" s="54">
        <v>407487.54</v>
      </c>
      <c r="AL148" s="54">
        <v>411488.48</v>
      </c>
      <c r="AM148" s="54">
        <v>414768.22</v>
      </c>
      <c r="AN148" s="54">
        <v>418531.34</v>
      </c>
      <c r="AO148" s="54">
        <v>424134.4</v>
      </c>
      <c r="AP148" s="53">
        <v>427266.0</v>
      </c>
      <c r="AQ148" s="53">
        <v>430801.34</v>
      </c>
      <c r="AR148" s="53">
        <v>434385.6</v>
      </c>
      <c r="AS148" s="53">
        <v>437667.6</v>
      </c>
      <c r="AT148" s="53">
        <v>440898.9</v>
      </c>
      <c r="AU148" s="53">
        <f t="array" ref="AU148">XLOOKUP(C148,'PL TOTAL D0'!A:A,'PL TOTAL D0'!C:C,"")</f>
        <v>442383.1</v>
      </c>
    </row>
    <row r="149" ht="15.75" customHeight="1">
      <c r="A149" s="41" t="s">
        <v>43</v>
      </c>
      <c r="B149" s="42" t="s">
        <v>612</v>
      </c>
      <c r="C149" s="43" t="s">
        <v>613</v>
      </c>
      <c r="D149" s="44" t="s">
        <v>105</v>
      </c>
      <c r="E149" s="45" t="s">
        <v>29</v>
      </c>
      <c r="F149" s="44" t="s">
        <v>106</v>
      </c>
      <c r="G149" s="44" t="str">
        <f t="shared" si="1"/>
        <v>Bruno</v>
      </c>
      <c r="H149" s="46" t="s">
        <v>107</v>
      </c>
      <c r="I149" s="46" t="s">
        <v>24</v>
      </c>
      <c r="J149" s="44" t="str">
        <f t="shared" si="4"/>
        <v>Não</v>
      </c>
      <c r="K149" s="47">
        <v>45091.0</v>
      </c>
      <c r="L149" s="45"/>
      <c r="M149" s="45" t="s">
        <v>614</v>
      </c>
      <c r="N149" s="48">
        <v>0.008</v>
      </c>
      <c r="O149" s="44" t="s">
        <v>24</v>
      </c>
      <c r="P149" s="49">
        <v>0.0</v>
      </c>
      <c r="Q149" s="50"/>
      <c r="R149" s="50"/>
      <c r="S149" s="45" t="s">
        <v>108</v>
      </c>
      <c r="T149" s="24" t="s">
        <v>615</v>
      </c>
      <c r="U149" s="9" t="s">
        <v>29</v>
      </c>
      <c r="V149" s="51" t="str">
        <f t="shared" si="3"/>
        <v>Ativo</v>
      </c>
      <c r="W149" s="45"/>
      <c r="X149" s="52" t="s">
        <v>110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>
        <v>1008445.97</v>
      </c>
      <c r="AI149" s="54">
        <v>1374434.26</v>
      </c>
      <c r="AJ149" s="54">
        <v>1412260.71</v>
      </c>
      <c r="AK149" s="54">
        <v>1469971.37</v>
      </c>
      <c r="AL149" s="54">
        <v>1480823.47</v>
      </c>
      <c r="AM149" s="54">
        <v>1547379.69</v>
      </c>
      <c r="AN149" s="54">
        <v>1599126.7</v>
      </c>
      <c r="AO149" s="54">
        <v>1610207.1</v>
      </c>
      <c r="AP149" s="53">
        <v>1618981.81</v>
      </c>
      <c r="AQ149" s="53">
        <v>1633210.16</v>
      </c>
      <c r="AR149" s="53">
        <v>1685276.08</v>
      </c>
      <c r="AS149" s="53">
        <v>1695873.0</v>
      </c>
      <c r="AT149" s="53">
        <v>1754605.0</v>
      </c>
      <c r="AU149" s="53">
        <f t="array" ref="AU149">XLOOKUP(C149,'PL TOTAL D0'!A:A,'PL TOTAL D0'!C:C,"")</f>
        <v>1762954</v>
      </c>
    </row>
    <row r="150" ht="15.75" customHeight="1">
      <c r="A150" s="41" t="s">
        <v>43</v>
      </c>
      <c r="B150" s="126" t="s">
        <v>15</v>
      </c>
      <c r="C150" s="71" t="s">
        <v>616</v>
      </c>
      <c r="D150" s="44" t="s">
        <v>18</v>
      </c>
      <c r="E150" s="45" t="s">
        <v>19</v>
      </c>
      <c r="F150" s="44" t="s">
        <v>20</v>
      </c>
      <c r="G150" s="44" t="str">
        <f t="shared" si="1"/>
        <v>Augusto</v>
      </c>
      <c r="H150" s="46" t="s">
        <v>107</v>
      </c>
      <c r="I150" s="46" t="s">
        <v>24</v>
      </c>
      <c r="J150" s="44" t="str">
        <f t="shared" si="4"/>
        <v>Não</v>
      </c>
      <c r="K150" s="47">
        <v>45210.0</v>
      </c>
      <c r="L150" s="45"/>
      <c r="M150" s="45" t="s">
        <v>194</v>
      </c>
      <c r="N150" s="48">
        <v>0.008</v>
      </c>
      <c r="O150" s="44" t="s">
        <v>195</v>
      </c>
      <c r="P150" s="49">
        <v>0.1</v>
      </c>
      <c r="Q150" s="50"/>
      <c r="R150" s="50"/>
      <c r="S150" s="45" t="s">
        <v>108</v>
      </c>
      <c r="T150" s="24" t="s">
        <v>14</v>
      </c>
      <c r="U150" s="9" t="s">
        <v>19</v>
      </c>
      <c r="V150" s="51" t="str">
        <f t="shared" si="3"/>
        <v>Ativo</v>
      </c>
      <c r="W150" s="45"/>
      <c r="X150" s="52" t="s">
        <v>110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>
        <v>49615.32</v>
      </c>
      <c r="AM150" s="54">
        <v>50533.38</v>
      </c>
      <c r="AN150" s="54">
        <v>51759.93</v>
      </c>
      <c r="AO150" s="54">
        <v>101839.47</v>
      </c>
      <c r="AP150" s="53">
        <v>103856.32</v>
      </c>
      <c r="AQ150" s="53">
        <v>104663.11</v>
      </c>
      <c r="AR150" s="53">
        <v>103279.46</v>
      </c>
      <c r="AS150" s="53">
        <v>102932.0</v>
      </c>
      <c r="AT150" s="53">
        <v>102317.6</v>
      </c>
      <c r="AU150" s="53">
        <f t="array" ref="AU150">XLOOKUP(C150,'PL TOTAL D0'!A:A,'PL TOTAL D0'!C:C,"")</f>
        <v>103433.7</v>
      </c>
    </row>
    <row r="151" ht="15.75" customHeight="1">
      <c r="A151" s="41" t="s">
        <v>43</v>
      </c>
      <c r="B151" s="42" t="s">
        <v>617</v>
      </c>
      <c r="C151" s="75" t="s">
        <v>618</v>
      </c>
      <c r="D151" s="44" t="s">
        <v>18</v>
      </c>
      <c r="E151" s="45" t="s">
        <v>19</v>
      </c>
      <c r="F151" s="44" t="s">
        <v>20</v>
      </c>
      <c r="G151" s="44" t="str">
        <f t="shared" si="1"/>
        <v>Bruno</v>
      </c>
      <c r="H151" s="46" t="s">
        <v>107</v>
      </c>
      <c r="I151" s="46" t="s">
        <v>24</v>
      </c>
      <c r="J151" s="44" t="str">
        <f t="shared" si="4"/>
        <v>Não</v>
      </c>
      <c r="K151" s="47">
        <v>45012.0</v>
      </c>
      <c r="L151" s="45"/>
      <c r="M151" s="45" t="s">
        <v>55</v>
      </c>
      <c r="N151" s="48">
        <v>0.012</v>
      </c>
      <c r="O151" s="44" t="s">
        <v>24</v>
      </c>
      <c r="P151" s="49">
        <v>0.0</v>
      </c>
      <c r="Q151" s="50"/>
      <c r="R151" s="50"/>
      <c r="S151" s="45" t="s">
        <v>108</v>
      </c>
      <c r="T151" s="24" t="s">
        <v>14</v>
      </c>
      <c r="U151" s="9" t="s">
        <v>19</v>
      </c>
      <c r="V151" s="51" t="str">
        <f t="shared" si="3"/>
        <v>Ativo</v>
      </c>
      <c r="W151" s="45"/>
      <c r="X151" s="52" t="s">
        <v>110</v>
      </c>
      <c r="Y151" s="54"/>
      <c r="Z151" s="54"/>
      <c r="AA151" s="54"/>
      <c r="AB151" s="54"/>
      <c r="AC151" s="54"/>
      <c r="AD151" s="54"/>
      <c r="AE151" s="54">
        <v>872141.19</v>
      </c>
      <c r="AF151" s="54">
        <v>776700.26</v>
      </c>
      <c r="AG151" s="54">
        <v>832614.92</v>
      </c>
      <c r="AH151" s="54">
        <v>986813.1</v>
      </c>
      <c r="AI151" s="54">
        <v>994494.78</v>
      </c>
      <c r="AJ151" s="54">
        <v>1002548.97</v>
      </c>
      <c r="AK151" s="54">
        <v>1010372.48</v>
      </c>
      <c r="AL151" s="54">
        <v>1018991.99</v>
      </c>
      <c r="AM151" s="54">
        <v>1025563.17</v>
      </c>
      <c r="AN151" s="54">
        <v>1033375.41</v>
      </c>
      <c r="AO151" s="54">
        <v>980323.12</v>
      </c>
      <c r="AP151" s="53">
        <v>988192.13</v>
      </c>
      <c r="AQ151" s="53">
        <v>996713.38</v>
      </c>
      <c r="AR151" s="53">
        <v>1003549.62</v>
      </c>
      <c r="AS151" s="53">
        <v>1010548.0</v>
      </c>
      <c r="AT151" s="53">
        <v>1018149.0</v>
      </c>
      <c r="AU151" s="53">
        <f t="array" ref="AU151">XLOOKUP(C151,'PL TOTAL D0'!A:A,'PL TOTAL D0'!C:C,"")</f>
        <v>1021169</v>
      </c>
    </row>
    <row r="152" ht="15.75" customHeight="1">
      <c r="A152" s="41" t="s">
        <v>43</v>
      </c>
      <c r="B152" s="42" t="s">
        <v>619</v>
      </c>
      <c r="C152" s="43" t="s">
        <v>620</v>
      </c>
      <c r="D152" s="44" t="s">
        <v>18</v>
      </c>
      <c r="E152" s="45" t="s">
        <v>29</v>
      </c>
      <c r="F152" s="44" t="s">
        <v>294</v>
      </c>
      <c r="G152" s="44" t="str">
        <f t="shared" si="1"/>
        <v>Augusto</v>
      </c>
      <c r="H152" s="51" t="s">
        <v>107</v>
      </c>
      <c r="I152" s="51" t="s">
        <v>24</v>
      </c>
      <c r="J152" s="44" t="str">
        <f t="shared" si="4"/>
        <v>Não</v>
      </c>
      <c r="K152" s="47">
        <v>45070.0</v>
      </c>
      <c r="L152" s="45"/>
      <c r="M152" s="24" t="s">
        <v>129</v>
      </c>
      <c r="N152" s="58">
        <v>0.0</v>
      </c>
      <c r="O152" s="9" t="s">
        <v>24</v>
      </c>
      <c r="P152" s="59">
        <v>0.0</v>
      </c>
      <c r="Q152" s="60"/>
      <c r="R152" s="60" t="s">
        <v>621</v>
      </c>
      <c r="S152" s="45" t="s">
        <v>108</v>
      </c>
      <c r="T152" s="24" t="s">
        <v>622</v>
      </c>
      <c r="U152" s="9" t="s">
        <v>29</v>
      </c>
      <c r="V152" s="51" t="str">
        <f t="shared" si="3"/>
        <v>Ativo</v>
      </c>
      <c r="W152" s="45"/>
      <c r="X152" s="52" t="s">
        <v>119</v>
      </c>
      <c r="Y152" s="54"/>
      <c r="Z152" s="54"/>
      <c r="AA152" s="54"/>
      <c r="AB152" s="54"/>
      <c r="AC152" s="54"/>
      <c r="AD152" s="54">
        <v>0.0</v>
      </c>
      <c r="AE152" s="54">
        <v>0.0</v>
      </c>
      <c r="AF152" s="54">
        <v>0.0</v>
      </c>
      <c r="AG152" s="54">
        <v>40189.89</v>
      </c>
      <c r="AH152" s="54">
        <v>40597.33</v>
      </c>
      <c r="AI152" s="54">
        <v>40979.01</v>
      </c>
      <c r="AJ152" s="54">
        <v>41391.99</v>
      </c>
      <c r="AK152" s="54">
        <v>41327.2</v>
      </c>
      <c r="AL152" s="54">
        <v>41555.67</v>
      </c>
      <c r="AM152" s="54">
        <v>42154.81</v>
      </c>
      <c r="AN152" s="54">
        <v>42921.06</v>
      </c>
      <c r="AO152" s="54">
        <v>42240.85</v>
      </c>
      <c r="AP152" s="53">
        <v>42592.39</v>
      </c>
      <c r="AQ152" s="53">
        <v>43052.43</v>
      </c>
      <c r="AR152" s="53">
        <v>42823.71</v>
      </c>
      <c r="AS152" s="53">
        <v>42990.73</v>
      </c>
      <c r="AT152" s="53">
        <v>43328.18</v>
      </c>
      <c r="AU152" s="53">
        <f t="array" ref="AU152">XLOOKUP(C152,'PL TOTAL D0'!A:A,'PL TOTAL D0'!C:C,"")</f>
        <v>43506.55</v>
      </c>
    </row>
    <row r="153" ht="15.75" customHeight="1">
      <c r="A153" s="41" t="s">
        <v>43</v>
      </c>
      <c r="B153" s="61" t="s">
        <v>623</v>
      </c>
      <c r="C153" s="81" t="s">
        <v>624</v>
      </c>
      <c r="D153" s="44" t="s">
        <v>18</v>
      </c>
      <c r="E153" s="45" t="s">
        <v>19</v>
      </c>
      <c r="F153" s="44" t="s">
        <v>625</v>
      </c>
      <c r="G153" s="44" t="str">
        <f t="shared" si="1"/>
        <v>#N/A</v>
      </c>
      <c r="H153" s="51" t="s">
        <v>186</v>
      </c>
      <c r="I153" s="51" t="s">
        <v>24</v>
      </c>
      <c r="J153" s="44" t="str">
        <f>IF(R153=0,"Não","Sim")</f>
        <v>Sim</v>
      </c>
      <c r="K153" s="47">
        <v>45016.0</v>
      </c>
      <c r="L153" s="82">
        <v>45449.0</v>
      </c>
      <c r="M153" s="45" t="s">
        <v>55</v>
      </c>
      <c r="N153" s="48">
        <v>0.012</v>
      </c>
      <c r="O153" s="44" t="s">
        <v>24</v>
      </c>
      <c r="P153" s="49">
        <v>0.0</v>
      </c>
      <c r="Q153" s="83"/>
      <c r="R153" s="73" t="s">
        <v>239</v>
      </c>
      <c r="S153" s="45" t="s">
        <v>108</v>
      </c>
      <c r="T153" s="24" t="s">
        <v>626</v>
      </c>
      <c r="U153" s="9" t="s">
        <v>29</v>
      </c>
      <c r="V153" s="51" t="str">
        <f t="shared" si="3"/>
        <v>Encerrado</v>
      </c>
      <c r="W153" s="45"/>
      <c r="X153" s="52" t="s">
        <v>119</v>
      </c>
      <c r="Y153" s="54"/>
      <c r="Z153" s="54"/>
      <c r="AA153" s="54"/>
      <c r="AB153" s="54"/>
      <c r="AC153" s="54"/>
      <c r="AD153" s="54"/>
      <c r="AE153" s="54">
        <v>150000.0</v>
      </c>
      <c r="AF153" s="54">
        <v>402278.31</v>
      </c>
      <c r="AG153" s="54">
        <v>607920.45</v>
      </c>
      <c r="AH153" s="54">
        <v>545178.37</v>
      </c>
      <c r="AI153" s="54">
        <v>153657.18</v>
      </c>
      <c r="AJ153" s="54">
        <v>155248.84</v>
      </c>
      <c r="AK153" s="54">
        <v>156276.72</v>
      </c>
      <c r="AL153" s="54">
        <v>157671.03</v>
      </c>
      <c r="AM153" s="54">
        <v>158858.37</v>
      </c>
      <c r="AN153" s="54">
        <v>159521.69</v>
      </c>
      <c r="AO153" s="54">
        <v>160872.74</v>
      </c>
      <c r="AP153" s="53">
        <v>161705.45</v>
      </c>
      <c r="AQ153" s="53">
        <v>0.0</v>
      </c>
      <c r="AR153" s="53">
        <v>0.0</v>
      </c>
      <c r="AS153" s="53">
        <v>0.0</v>
      </c>
      <c r="AT153" s="53">
        <v>0.0</v>
      </c>
      <c r="AU153" s="53" t="str">
        <f t="array" ref="AU153">XLOOKUP(C153,'PL TOTAL D0'!A:A,'PL TOTAL D0'!C:C,"")</f>
        <v/>
      </c>
    </row>
    <row r="154" ht="15.75" customHeight="1">
      <c r="A154" s="41" t="s">
        <v>43</v>
      </c>
      <c r="B154" s="115" t="s">
        <v>627</v>
      </c>
      <c r="C154" s="127" t="s">
        <v>628</v>
      </c>
      <c r="D154" s="9" t="s">
        <v>18</v>
      </c>
      <c r="E154" s="24" t="s">
        <v>29</v>
      </c>
      <c r="F154" s="9" t="s">
        <v>60</v>
      </c>
      <c r="G154" s="44" t="str">
        <f t="shared" si="1"/>
        <v>Augusto</v>
      </c>
      <c r="H154" s="51" t="s">
        <v>107</v>
      </c>
      <c r="I154" s="51" t="s">
        <v>24</v>
      </c>
      <c r="J154" s="44" t="str">
        <f t="shared" ref="J154:J257" si="5">IF(Q154=0,"Não","Sim")</f>
        <v>Não</v>
      </c>
      <c r="K154" s="57">
        <v>45446.0</v>
      </c>
      <c r="L154" s="45"/>
      <c r="M154" s="24" t="s">
        <v>79</v>
      </c>
      <c r="N154" s="58">
        <v>0.012</v>
      </c>
      <c r="O154" s="9" t="s">
        <v>48</v>
      </c>
      <c r="P154" s="59">
        <v>0.1</v>
      </c>
      <c r="Q154" s="60"/>
      <c r="R154" s="50"/>
      <c r="S154" s="24" t="s">
        <v>108</v>
      </c>
      <c r="T154" s="24" t="s">
        <v>629</v>
      </c>
      <c r="U154" s="9" t="s">
        <v>29</v>
      </c>
      <c r="V154" s="51" t="str">
        <f t="shared" si="3"/>
        <v>Ativo</v>
      </c>
      <c r="W154" s="24" t="s">
        <v>75</v>
      </c>
      <c r="X154" s="52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3"/>
      <c r="AQ154" s="53"/>
      <c r="AR154" s="53"/>
      <c r="AS154" s="53"/>
      <c r="AT154" s="53">
        <v>179280.5</v>
      </c>
      <c r="AU154" s="53">
        <f t="array" ref="AU154">XLOOKUP(C154,'PL TOTAL D0'!A:A,'PL TOTAL D0'!C:C,"")</f>
        <v>178558.3</v>
      </c>
    </row>
    <row r="155" ht="15.75" customHeight="1">
      <c r="A155" s="41" t="s">
        <v>43</v>
      </c>
      <c r="B155" s="128" t="s">
        <v>630</v>
      </c>
      <c r="C155" s="43" t="s">
        <v>631</v>
      </c>
      <c r="D155" s="44" t="s">
        <v>18</v>
      </c>
      <c r="E155" s="45" t="s">
        <v>29</v>
      </c>
      <c r="F155" s="9" t="s">
        <v>632</v>
      </c>
      <c r="G155" s="44" t="str">
        <f t="shared" si="1"/>
        <v>Bruno</v>
      </c>
      <c r="H155" s="51" t="s">
        <v>107</v>
      </c>
      <c r="I155" s="51" t="s">
        <v>24</v>
      </c>
      <c r="J155" s="44" t="str">
        <f t="shared" si="5"/>
        <v>Não</v>
      </c>
      <c r="K155" s="47">
        <v>45117.0</v>
      </c>
      <c r="L155" s="45"/>
      <c r="M155" s="24" t="s">
        <v>55</v>
      </c>
      <c r="N155" s="58">
        <v>0.008</v>
      </c>
      <c r="O155" s="44" t="s">
        <v>24</v>
      </c>
      <c r="P155" s="49">
        <v>0.0</v>
      </c>
      <c r="Q155" s="50"/>
      <c r="R155" s="70" t="s">
        <v>633</v>
      </c>
      <c r="S155" s="45" t="s">
        <v>108</v>
      </c>
      <c r="T155" s="24" t="s">
        <v>634</v>
      </c>
      <c r="U155" s="9" t="s">
        <v>19</v>
      </c>
      <c r="V155" s="51" t="str">
        <f t="shared" si="3"/>
        <v>Ativo</v>
      </c>
      <c r="W155" s="45"/>
      <c r="X155" s="52" t="s">
        <v>119</v>
      </c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>
        <v>753620.12</v>
      </c>
      <c r="AJ155" s="54">
        <v>1013078.07</v>
      </c>
      <c r="AK155" s="54">
        <v>1022017.89</v>
      </c>
      <c r="AL155" s="54">
        <v>1030597.86</v>
      </c>
      <c r="AM155" s="54">
        <v>1038949.52</v>
      </c>
      <c r="AN155" s="54">
        <v>1044650.86</v>
      </c>
      <c r="AO155" s="54">
        <v>1052286.48</v>
      </c>
      <c r="AP155" s="53">
        <v>1060541.73</v>
      </c>
      <c r="AQ155" s="53">
        <v>1069095.93</v>
      </c>
      <c r="AR155" s="53">
        <v>1072500.39</v>
      </c>
      <c r="AS155" s="53">
        <v>1081149.0</v>
      </c>
      <c r="AT155" s="53">
        <v>1090697.0</v>
      </c>
      <c r="AU155" s="53">
        <f t="array" ref="AU155">XLOOKUP(C155,'PL TOTAL D0'!A:A,'PL TOTAL D0'!C:C,"")</f>
        <v>1094923</v>
      </c>
    </row>
    <row r="156" ht="15.75" customHeight="1">
      <c r="A156" s="41" t="s">
        <v>43</v>
      </c>
      <c r="B156" s="64" t="s">
        <v>635</v>
      </c>
      <c r="C156" s="65" t="s">
        <v>636</v>
      </c>
      <c r="D156" s="9" t="s">
        <v>70</v>
      </c>
      <c r="E156" s="45" t="s">
        <v>29</v>
      </c>
      <c r="F156" s="9" t="s">
        <v>637</v>
      </c>
      <c r="G156" s="44" t="str">
        <f t="shared" si="1"/>
        <v>Breno</v>
      </c>
      <c r="H156" s="51" t="s">
        <v>107</v>
      </c>
      <c r="I156" s="51" t="s">
        <v>24</v>
      </c>
      <c r="J156" s="44" t="str">
        <f t="shared" si="5"/>
        <v>Sim</v>
      </c>
      <c r="K156" s="57">
        <v>45418.0</v>
      </c>
      <c r="L156" s="45"/>
      <c r="M156" s="24" t="s">
        <v>55</v>
      </c>
      <c r="N156" s="58">
        <v>0.012</v>
      </c>
      <c r="O156" s="9" t="s">
        <v>24</v>
      </c>
      <c r="P156" s="59">
        <v>0.0</v>
      </c>
      <c r="Q156" s="60" t="s">
        <v>638</v>
      </c>
      <c r="R156" s="129"/>
      <c r="S156" s="24" t="s">
        <v>108</v>
      </c>
      <c r="T156" s="24" t="s">
        <v>639</v>
      </c>
      <c r="U156" s="9" t="s">
        <v>34</v>
      </c>
      <c r="V156" s="51" t="str">
        <f t="shared" si="3"/>
        <v>Ativo</v>
      </c>
      <c r="W156" s="24" t="s">
        <v>67</v>
      </c>
      <c r="X156" s="52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3"/>
      <c r="AQ156" s="53"/>
      <c r="AR156" s="53"/>
      <c r="AS156" s="53">
        <v>934377.7</v>
      </c>
      <c r="AT156" s="53">
        <v>942612.6</v>
      </c>
      <c r="AU156" s="53">
        <f t="array" ref="AU156">XLOOKUP(C156,'PL TOTAL D0'!A:A,'PL TOTAL D0'!C:C,"")</f>
        <v>946236.2</v>
      </c>
    </row>
    <row r="157" ht="15.75" customHeight="1">
      <c r="A157" s="41" t="s">
        <v>43</v>
      </c>
      <c r="B157" s="55" t="s">
        <v>640</v>
      </c>
      <c r="C157" s="43" t="s">
        <v>641</v>
      </c>
      <c r="D157" s="44" t="s">
        <v>18</v>
      </c>
      <c r="E157" s="45" t="s">
        <v>176</v>
      </c>
      <c r="F157" s="44" t="s">
        <v>177</v>
      </c>
      <c r="G157" s="44" t="str">
        <f t="shared" si="1"/>
        <v>Augusto</v>
      </c>
      <c r="H157" s="46" t="s">
        <v>107</v>
      </c>
      <c r="I157" s="46" t="s">
        <v>24</v>
      </c>
      <c r="J157" s="44" t="str">
        <f t="shared" si="5"/>
        <v>Não</v>
      </c>
      <c r="K157" s="47">
        <v>45097.0</v>
      </c>
      <c r="L157" s="62"/>
      <c r="M157" s="24" t="s">
        <v>190</v>
      </c>
      <c r="N157" s="58">
        <v>0.025</v>
      </c>
      <c r="O157" s="9" t="s">
        <v>191</v>
      </c>
      <c r="P157" s="59">
        <v>0.2</v>
      </c>
      <c r="Q157" s="63"/>
      <c r="R157" s="60" t="s">
        <v>642</v>
      </c>
      <c r="S157" s="45" t="s">
        <v>108</v>
      </c>
      <c r="T157" s="24" t="s">
        <v>643</v>
      </c>
      <c r="U157" s="9" t="s">
        <v>180</v>
      </c>
      <c r="V157" s="51" t="str">
        <f t="shared" si="3"/>
        <v>Ativo</v>
      </c>
      <c r="W157" s="45"/>
      <c r="X157" s="52" t="s">
        <v>110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>
        <v>0.0</v>
      </c>
      <c r="AI157" s="54">
        <v>0.0</v>
      </c>
      <c r="AJ157" s="54">
        <v>0.0</v>
      </c>
      <c r="AK157" s="54">
        <v>30921.9</v>
      </c>
      <c r="AL157" s="54">
        <v>34481.94</v>
      </c>
      <c r="AM157" s="54">
        <v>34514.41</v>
      </c>
      <c r="AN157" s="54">
        <v>35510.54</v>
      </c>
      <c r="AO157" s="54">
        <v>35609.49</v>
      </c>
      <c r="AP157" s="53">
        <v>55722.41</v>
      </c>
      <c r="AQ157" s="53">
        <v>103114.97</v>
      </c>
      <c r="AR157" s="53">
        <v>98761.01</v>
      </c>
      <c r="AS157" s="53">
        <v>96514.12</v>
      </c>
      <c r="AT157" s="53">
        <v>96362.25</v>
      </c>
      <c r="AU157" s="53">
        <f t="array" ref="AU157">XLOOKUP(C157,'PL TOTAL D0'!A:A,'PL TOTAL D0'!C:C,"")</f>
        <v>99889.69</v>
      </c>
    </row>
    <row r="158" ht="15.75" customHeight="1">
      <c r="A158" s="41" t="s">
        <v>43</v>
      </c>
      <c r="B158" s="55" t="s">
        <v>640</v>
      </c>
      <c r="C158" s="43" t="s">
        <v>644</v>
      </c>
      <c r="D158" s="44" t="s">
        <v>18</v>
      </c>
      <c r="E158" s="45" t="s">
        <v>176</v>
      </c>
      <c r="F158" s="44" t="s">
        <v>177</v>
      </c>
      <c r="G158" s="44" t="str">
        <f t="shared" si="1"/>
        <v>Augusto</v>
      </c>
      <c r="H158" s="46" t="s">
        <v>107</v>
      </c>
      <c r="I158" s="46" t="s">
        <v>24</v>
      </c>
      <c r="J158" s="44" t="str">
        <f t="shared" si="5"/>
        <v>Não</v>
      </c>
      <c r="K158" s="47">
        <v>45098.0</v>
      </c>
      <c r="L158" s="62"/>
      <c r="M158" s="45" t="s">
        <v>55</v>
      </c>
      <c r="N158" s="48">
        <v>0.012</v>
      </c>
      <c r="O158" s="44" t="s">
        <v>24</v>
      </c>
      <c r="P158" s="49">
        <v>0.0</v>
      </c>
      <c r="Q158" s="50"/>
      <c r="R158" s="60" t="s">
        <v>645</v>
      </c>
      <c r="S158" s="45" t="s">
        <v>108</v>
      </c>
      <c r="T158" s="24" t="s">
        <v>643</v>
      </c>
      <c r="U158" s="9" t="s">
        <v>180</v>
      </c>
      <c r="V158" s="51" t="str">
        <f t="shared" si="3"/>
        <v>Ativo</v>
      </c>
      <c r="W158" s="45"/>
      <c r="X158" s="52" t="s">
        <v>110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>
        <v>0.0</v>
      </c>
      <c r="AI158" s="54">
        <v>0.0</v>
      </c>
      <c r="AJ158" s="54">
        <v>261132.35</v>
      </c>
      <c r="AK158" s="54">
        <v>262140.8</v>
      </c>
      <c r="AL158" s="54">
        <v>263304.76</v>
      </c>
      <c r="AM158" s="54">
        <v>266819.38</v>
      </c>
      <c r="AN158" s="54">
        <v>269514.99</v>
      </c>
      <c r="AO158" s="54">
        <v>271647.22</v>
      </c>
      <c r="AP158" s="53">
        <v>273260.47</v>
      </c>
      <c r="AQ158" s="53">
        <v>256018.7</v>
      </c>
      <c r="AR158" s="53">
        <v>257255.62</v>
      </c>
      <c r="AS158" s="53">
        <v>258687.4</v>
      </c>
      <c r="AT158" s="53">
        <v>260231.4</v>
      </c>
      <c r="AU158" s="53">
        <f t="array" ref="AU158">XLOOKUP(C158,'PL TOTAL D0'!A:A,'PL TOTAL D0'!C:C,"")</f>
        <v>260418.1</v>
      </c>
    </row>
    <row r="159" ht="15.75" customHeight="1">
      <c r="A159" s="41" t="s">
        <v>43</v>
      </c>
      <c r="B159" s="114" t="s">
        <v>646</v>
      </c>
      <c r="C159" s="65" t="s">
        <v>647</v>
      </c>
      <c r="D159" s="9" t="s">
        <v>18</v>
      </c>
      <c r="E159" s="24" t="s">
        <v>29</v>
      </c>
      <c r="F159" s="9" t="s">
        <v>60</v>
      </c>
      <c r="G159" s="44" t="str">
        <f t="shared" si="1"/>
        <v>Augusto</v>
      </c>
      <c r="H159" s="51" t="s">
        <v>107</v>
      </c>
      <c r="I159" s="51" t="s">
        <v>24</v>
      </c>
      <c r="J159" s="44" t="str">
        <f t="shared" si="5"/>
        <v>Não</v>
      </c>
      <c r="K159" s="57">
        <v>45440.0</v>
      </c>
      <c r="L159" s="62"/>
      <c r="M159" s="130" t="s">
        <v>55</v>
      </c>
      <c r="N159" s="86">
        <v>0.012</v>
      </c>
      <c r="O159" s="87" t="s">
        <v>24</v>
      </c>
      <c r="P159" s="88">
        <v>0.0</v>
      </c>
      <c r="Q159" s="50"/>
      <c r="R159" s="60"/>
      <c r="S159" s="24" t="s">
        <v>108</v>
      </c>
      <c r="T159" s="23" t="s">
        <v>648</v>
      </c>
      <c r="U159" s="9" t="s">
        <v>29</v>
      </c>
      <c r="V159" s="51" t="str">
        <f t="shared" si="3"/>
        <v>Ativo</v>
      </c>
      <c r="W159" s="24" t="s">
        <v>75</v>
      </c>
      <c r="X159" s="52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3"/>
      <c r="AQ159" s="53"/>
      <c r="AR159" s="53"/>
      <c r="AS159" s="53">
        <v>0.0</v>
      </c>
      <c r="AT159" s="53">
        <v>50181.39</v>
      </c>
      <c r="AU159" s="53">
        <f t="array" ref="AU159">XLOOKUP(C159,'PL TOTAL D0'!A:A,'PL TOTAL D0'!C:C,"")</f>
        <v>90374.63</v>
      </c>
    </row>
    <row r="160" ht="15.75" customHeight="1">
      <c r="A160" s="41" t="s">
        <v>43</v>
      </c>
      <c r="B160" s="61" t="s">
        <v>649</v>
      </c>
      <c r="C160" s="43" t="s">
        <v>650</v>
      </c>
      <c r="D160" s="44" t="s">
        <v>18</v>
      </c>
      <c r="E160" s="45" t="s">
        <v>176</v>
      </c>
      <c r="F160" s="44" t="s">
        <v>177</v>
      </c>
      <c r="G160" s="44" t="str">
        <f t="shared" si="1"/>
        <v>#N/A</v>
      </c>
      <c r="H160" s="46" t="s">
        <v>186</v>
      </c>
      <c r="I160" s="46" t="s">
        <v>24</v>
      </c>
      <c r="J160" s="44" t="str">
        <f t="shared" si="5"/>
        <v>Não</v>
      </c>
      <c r="K160" s="47">
        <v>45166.0</v>
      </c>
      <c r="L160" s="62">
        <v>45177.0</v>
      </c>
      <c r="M160" s="45" t="s">
        <v>194</v>
      </c>
      <c r="N160" s="48">
        <v>0.008</v>
      </c>
      <c r="O160" s="44" t="s">
        <v>195</v>
      </c>
      <c r="P160" s="49">
        <v>0.1</v>
      </c>
      <c r="Q160" s="50"/>
      <c r="R160" s="50"/>
      <c r="S160" s="45" t="s">
        <v>108</v>
      </c>
      <c r="T160" s="24" t="s">
        <v>651</v>
      </c>
      <c r="U160" s="9" t="s">
        <v>180</v>
      </c>
      <c r="V160" s="51" t="str">
        <f t="shared" si="3"/>
        <v>Encerrado</v>
      </c>
      <c r="W160" s="45"/>
      <c r="X160" s="52"/>
      <c r="Y160" s="54"/>
      <c r="Z160" s="54"/>
      <c r="AA160" s="54"/>
      <c r="AB160" s="54"/>
      <c r="AC160" s="54"/>
      <c r="AD160" s="54"/>
      <c r="AE160" s="54">
        <v>0.0</v>
      </c>
      <c r="AF160" s="54">
        <v>0.0</v>
      </c>
      <c r="AG160" s="54">
        <v>0.0</v>
      </c>
      <c r="AH160" s="54">
        <v>0.0</v>
      </c>
      <c r="AI160" s="54">
        <v>0.0</v>
      </c>
      <c r="AJ160" s="54">
        <v>0.0</v>
      </c>
      <c r="AK160" s="54">
        <v>0.0</v>
      </c>
      <c r="AL160" s="54">
        <v>0.0</v>
      </c>
      <c r="AM160" s="54">
        <v>0.0</v>
      </c>
      <c r="AN160" s="54">
        <v>0.0</v>
      </c>
      <c r="AO160" s="54">
        <v>0.0</v>
      </c>
      <c r="AP160" s="53">
        <v>0.0</v>
      </c>
      <c r="AQ160" s="53">
        <v>0.0</v>
      </c>
      <c r="AR160" s="53">
        <v>0.0</v>
      </c>
      <c r="AS160" s="53">
        <v>0.0</v>
      </c>
      <c r="AT160" s="53">
        <v>0.0</v>
      </c>
      <c r="AU160" s="53" t="str">
        <f t="array" ref="AU160">XLOOKUP(C160,'PL TOTAL D0'!A:A,'PL TOTAL D0'!C:C,"")</f>
        <v/>
      </c>
    </row>
    <row r="161" ht="15.75" customHeight="1">
      <c r="A161" s="41" t="s">
        <v>43</v>
      </c>
      <c r="B161" s="61" t="s">
        <v>649</v>
      </c>
      <c r="C161" s="43" t="s">
        <v>652</v>
      </c>
      <c r="D161" s="44" t="s">
        <v>18</v>
      </c>
      <c r="E161" s="45" t="s">
        <v>176</v>
      </c>
      <c r="F161" s="44" t="s">
        <v>177</v>
      </c>
      <c r="G161" s="44" t="str">
        <f t="shared" si="1"/>
        <v>#N/A</v>
      </c>
      <c r="H161" s="46" t="s">
        <v>186</v>
      </c>
      <c r="I161" s="46" t="s">
        <v>24</v>
      </c>
      <c r="J161" s="44" t="str">
        <f t="shared" si="5"/>
        <v>Não</v>
      </c>
      <c r="K161" s="47">
        <v>45166.0</v>
      </c>
      <c r="L161" s="62">
        <v>45177.0</v>
      </c>
      <c r="M161" s="45" t="s">
        <v>55</v>
      </c>
      <c r="N161" s="48">
        <v>0.012</v>
      </c>
      <c r="O161" s="44" t="s">
        <v>24</v>
      </c>
      <c r="P161" s="49">
        <v>0.0</v>
      </c>
      <c r="Q161" s="50"/>
      <c r="R161" s="50"/>
      <c r="S161" s="45" t="s">
        <v>108</v>
      </c>
      <c r="T161" s="24" t="s">
        <v>651</v>
      </c>
      <c r="U161" s="9" t="s">
        <v>180</v>
      </c>
      <c r="V161" s="51" t="str">
        <f t="shared" si="3"/>
        <v>Encerrado</v>
      </c>
      <c r="W161" s="45"/>
      <c r="X161" s="52"/>
      <c r="Y161" s="54"/>
      <c r="Z161" s="54"/>
      <c r="AA161" s="54"/>
      <c r="AB161" s="54"/>
      <c r="AC161" s="54"/>
      <c r="AD161" s="54"/>
      <c r="AE161" s="54">
        <v>0.0</v>
      </c>
      <c r="AF161" s="54">
        <v>0.0</v>
      </c>
      <c r="AG161" s="54">
        <v>0.0</v>
      </c>
      <c r="AH161" s="54">
        <v>0.0</v>
      </c>
      <c r="AI161" s="54">
        <v>0.0</v>
      </c>
      <c r="AJ161" s="54">
        <v>0.0</v>
      </c>
      <c r="AK161" s="54">
        <v>0.0</v>
      </c>
      <c r="AL161" s="54">
        <v>0.0</v>
      </c>
      <c r="AM161" s="54">
        <v>0.0</v>
      </c>
      <c r="AN161" s="54">
        <v>0.0</v>
      </c>
      <c r="AO161" s="54">
        <v>0.0</v>
      </c>
      <c r="AP161" s="53">
        <v>0.0</v>
      </c>
      <c r="AQ161" s="53">
        <v>0.0</v>
      </c>
      <c r="AR161" s="53">
        <v>0.0</v>
      </c>
      <c r="AS161" s="53">
        <v>0.0</v>
      </c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55" t="s">
        <v>653</v>
      </c>
      <c r="C162" s="43" t="s">
        <v>654</v>
      </c>
      <c r="D162" s="45" t="s">
        <v>18</v>
      </c>
      <c r="E162" s="45" t="s">
        <v>176</v>
      </c>
      <c r="F162" s="45" t="s">
        <v>177</v>
      </c>
      <c r="G162" s="44" t="str">
        <f t="shared" si="1"/>
        <v>Breno</v>
      </c>
      <c r="H162" s="131" t="s">
        <v>147</v>
      </c>
      <c r="I162" s="51" t="s">
        <v>24</v>
      </c>
      <c r="J162" s="44" t="str">
        <f t="shared" si="5"/>
        <v>Sim</v>
      </c>
      <c r="K162" s="62">
        <v>45170.0</v>
      </c>
      <c r="L162" s="45"/>
      <c r="M162" s="9" t="s">
        <v>55</v>
      </c>
      <c r="N162" s="48">
        <v>0.012</v>
      </c>
      <c r="O162" s="9" t="s">
        <v>24</v>
      </c>
      <c r="P162" s="59">
        <v>0.0</v>
      </c>
      <c r="Q162" s="6" t="s">
        <v>655</v>
      </c>
      <c r="R162" s="60" t="s">
        <v>656</v>
      </c>
      <c r="S162" s="45" t="s">
        <v>108</v>
      </c>
      <c r="T162" s="24" t="s">
        <v>651</v>
      </c>
      <c r="U162" s="9" t="s">
        <v>180</v>
      </c>
      <c r="V162" s="51" t="str">
        <f t="shared" si="3"/>
        <v>Ativo</v>
      </c>
      <c r="W162" s="45"/>
      <c r="X162" s="53" t="s">
        <v>110</v>
      </c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132"/>
      <c r="AJ162" s="132">
        <v>0.0</v>
      </c>
      <c r="AK162" s="54">
        <v>0.0</v>
      </c>
      <c r="AL162" s="54">
        <v>395593.05</v>
      </c>
      <c r="AM162" s="54">
        <v>401654.87</v>
      </c>
      <c r="AN162" s="54">
        <v>406919.13</v>
      </c>
      <c r="AO162" s="54">
        <v>402261.55</v>
      </c>
      <c r="AP162" s="53">
        <v>404749.58</v>
      </c>
      <c r="AQ162" s="53">
        <v>407678.64</v>
      </c>
      <c r="AR162" s="53">
        <v>407317.32</v>
      </c>
      <c r="AS162" s="53">
        <v>406950.7</v>
      </c>
      <c r="AT162" s="53">
        <v>408881.0</v>
      </c>
      <c r="AU162" s="53">
        <f t="array" ref="AU162">XLOOKUP(C162,'PL TOTAL D0'!A:A,'PL TOTAL D0'!C:C,"")</f>
        <v>410748.2</v>
      </c>
    </row>
    <row r="163" ht="15.75" customHeight="1">
      <c r="A163" s="41" t="s">
        <v>43</v>
      </c>
      <c r="B163" s="55" t="s">
        <v>657</v>
      </c>
      <c r="C163" s="56" t="s">
        <v>658</v>
      </c>
      <c r="D163" s="24" t="s">
        <v>18</v>
      </c>
      <c r="E163" s="24" t="s">
        <v>29</v>
      </c>
      <c r="F163" s="24" t="s">
        <v>373</v>
      </c>
      <c r="G163" s="44" t="str">
        <f t="shared" si="1"/>
        <v>Breno</v>
      </c>
      <c r="H163" s="131" t="s">
        <v>107</v>
      </c>
      <c r="I163" s="51" t="s">
        <v>219</v>
      </c>
      <c r="J163" s="44" t="str">
        <f t="shared" si="5"/>
        <v>Não</v>
      </c>
      <c r="K163" s="68">
        <v>45464.0</v>
      </c>
      <c r="L163" s="45"/>
      <c r="M163" s="9" t="s">
        <v>55</v>
      </c>
      <c r="N163" s="58">
        <v>0.0</v>
      </c>
      <c r="O163" s="9" t="s">
        <v>24</v>
      </c>
      <c r="P163" s="59">
        <v>0.0</v>
      </c>
      <c r="Q163" s="6"/>
      <c r="R163" s="60"/>
      <c r="S163" s="24" t="s">
        <v>369</v>
      </c>
      <c r="T163" s="24" t="s">
        <v>659</v>
      </c>
      <c r="U163" s="9" t="s">
        <v>29</v>
      </c>
      <c r="V163" s="51" t="str">
        <f t="shared" si="3"/>
        <v>Ativo</v>
      </c>
      <c r="W163" s="24" t="s">
        <v>75</v>
      </c>
      <c r="X163" s="53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132"/>
      <c r="AJ163" s="132"/>
      <c r="AK163" s="54"/>
      <c r="AL163" s="54"/>
      <c r="AM163" s="54"/>
      <c r="AN163" s="54"/>
      <c r="AO163" s="54"/>
      <c r="AP163" s="53"/>
      <c r="AQ163" s="53"/>
      <c r="AR163" s="53"/>
      <c r="AS163" s="53"/>
      <c r="AT163" s="53">
        <v>0.0</v>
      </c>
      <c r="AU163" s="53">
        <f t="array" ref="AU163">XLOOKUP(C163,'PL TOTAL D0'!A:A,'PL TOTAL D0'!C:C,"")</f>
        <v>453603.7</v>
      </c>
    </row>
    <row r="164" ht="15.75" customHeight="1">
      <c r="A164" s="41" t="s">
        <v>43</v>
      </c>
      <c r="B164" s="42" t="s">
        <v>660</v>
      </c>
      <c r="C164" s="43" t="s">
        <v>661</v>
      </c>
      <c r="D164" s="44" t="s">
        <v>18</v>
      </c>
      <c r="E164" s="45" t="s">
        <v>19</v>
      </c>
      <c r="F164" s="44" t="s">
        <v>20</v>
      </c>
      <c r="G164" s="44" t="str">
        <f t="shared" si="1"/>
        <v>Augusto</v>
      </c>
      <c r="H164" s="51" t="s">
        <v>107</v>
      </c>
      <c r="I164" s="51" t="s">
        <v>24</v>
      </c>
      <c r="J164" s="44" t="str">
        <f t="shared" si="5"/>
        <v>Sim</v>
      </c>
      <c r="K164" s="47">
        <v>45121.0</v>
      </c>
      <c r="L164" s="62"/>
      <c r="M164" s="45" t="s">
        <v>389</v>
      </c>
      <c r="N164" s="48">
        <v>0.008</v>
      </c>
      <c r="O164" s="44" t="s">
        <v>24</v>
      </c>
      <c r="P164" s="49">
        <v>0.0</v>
      </c>
      <c r="Q164" s="60" t="s">
        <v>662</v>
      </c>
      <c r="R164" s="60" t="s">
        <v>663</v>
      </c>
      <c r="S164" s="45" t="s">
        <v>369</v>
      </c>
      <c r="T164" s="24" t="s">
        <v>664</v>
      </c>
      <c r="U164" s="9" t="s">
        <v>19</v>
      </c>
      <c r="V164" s="51" t="str">
        <f t="shared" si="3"/>
        <v>Ativo</v>
      </c>
      <c r="W164" s="45"/>
      <c r="X164" s="52" t="s">
        <v>119</v>
      </c>
      <c r="Y164" s="54"/>
      <c r="Z164" s="54"/>
      <c r="AA164" s="54"/>
      <c r="AB164" s="54"/>
      <c r="AC164" s="54"/>
      <c r="AD164" s="54"/>
      <c r="AE164" s="54"/>
      <c r="AF164" s="54">
        <v>0.0</v>
      </c>
      <c r="AG164" s="54">
        <v>0.0</v>
      </c>
      <c r="AH164" s="54">
        <v>0.0</v>
      </c>
      <c r="AI164" s="54">
        <v>1962080.6</v>
      </c>
      <c r="AJ164" s="54">
        <v>2780342.13</v>
      </c>
      <c r="AK164" s="54">
        <v>3753566.0</v>
      </c>
      <c r="AL164" s="54">
        <v>2774840.6</v>
      </c>
      <c r="AM164" s="54">
        <v>2360999.31</v>
      </c>
      <c r="AN164" s="54">
        <v>2426239.48</v>
      </c>
      <c r="AO164" s="54">
        <v>2298507.66</v>
      </c>
      <c r="AP164" s="53">
        <v>1521862.72</v>
      </c>
      <c r="AQ164" s="53">
        <v>1293675.25</v>
      </c>
      <c r="AR164" s="53">
        <v>638708.18</v>
      </c>
      <c r="AS164" s="53">
        <v>827636.0</v>
      </c>
      <c r="AT164" s="53">
        <v>834104.0</v>
      </c>
      <c r="AU164" s="53">
        <f t="array" ref="AU164">XLOOKUP(C164,'PL TOTAL D0'!A:A,'PL TOTAL D0'!C:C,"")</f>
        <v>230665.8</v>
      </c>
    </row>
    <row r="165" ht="15.75" customHeight="1">
      <c r="A165" s="41" t="s">
        <v>43</v>
      </c>
      <c r="B165" s="42" t="s">
        <v>665</v>
      </c>
      <c r="C165" s="43" t="s">
        <v>666</v>
      </c>
      <c r="D165" s="44" t="s">
        <v>105</v>
      </c>
      <c r="E165" s="45" t="s">
        <v>29</v>
      </c>
      <c r="F165" s="44" t="s">
        <v>106</v>
      </c>
      <c r="G165" s="44" t="str">
        <f t="shared" si="1"/>
        <v>Bruno</v>
      </c>
      <c r="H165" s="46" t="s">
        <v>107</v>
      </c>
      <c r="I165" s="46" t="s">
        <v>24</v>
      </c>
      <c r="J165" s="44" t="str">
        <f t="shared" si="5"/>
        <v>Sim</v>
      </c>
      <c r="K165" s="47">
        <v>45166.0</v>
      </c>
      <c r="L165" s="45"/>
      <c r="M165" s="45" t="s">
        <v>47</v>
      </c>
      <c r="N165" s="48">
        <v>0.01</v>
      </c>
      <c r="O165" s="44" t="s">
        <v>48</v>
      </c>
      <c r="P165" s="49">
        <v>0.1</v>
      </c>
      <c r="Q165" s="60" t="s">
        <v>667</v>
      </c>
      <c r="R165" s="50"/>
      <c r="S165" s="45" t="s">
        <v>108</v>
      </c>
      <c r="T165" s="24" t="s">
        <v>668</v>
      </c>
      <c r="U165" s="9" t="s">
        <v>29</v>
      </c>
      <c r="V165" s="51" t="str">
        <f t="shared" si="3"/>
        <v>Ativo</v>
      </c>
      <c r="W165" s="45"/>
      <c r="X165" s="52" t="s">
        <v>110</v>
      </c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>
        <v>831837.71</v>
      </c>
      <c r="AK165" s="54">
        <v>952999.84</v>
      </c>
      <c r="AL165" s="54">
        <v>994357.77</v>
      </c>
      <c r="AM165" s="54">
        <v>1014786.01</v>
      </c>
      <c r="AN165" s="54">
        <v>1035142.28</v>
      </c>
      <c r="AO165" s="54">
        <v>1060144.59</v>
      </c>
      <c r="AP165" s="53">
        <v>1072327.59</v>
      </c>
      <c r="AQ165" s="53">
        <v>1077534.52</v>
      </c>
      <c r="AR165" s="53">
        <v>1061620.33</v>
      </c>
      <c r="AS165" s="53">
        <v>1264675.0</v>
      </c>
      <c r="AT165" s="53">
        <v>1266399.0</v>
      </c>
      <c r="AU165" s="53">
        <f t="array" ref="AU165">XLOOKUP(C165,'PL TOTAL D0'!A:A,'PL TOTAL D0'!C:C,"")</f>
        <v>1282980</v>
      </c>
    </row>
    <row r="166" ht="15.75" customHeight="1">
      <c r="A166" s="41" t="s">
        <v>43</v>
      </c>
      <c r="B166" s="64" t="s">
        <v>669</v>
      </c>
      <c r="C166" s="65" t="s">
        <v>670</v>
      </c>
      <c r="D166" s="9" t="s">
        <v>70</v>
      </c>
      <c r="E166" s="24" t="s">
        <v>29</v>
      </c>
      <c r="F166" s="9" t="s">
        <v>71</v>
      </c>
      <c r="G166" s="44" t="str">
        <f t="shared" si="1"/>
        <v>Augusto</v>
      </c>
      <c r="H166" s="51" t="s">
        <v>107</v>
      </c>
      <c r="I166" s="51" t="s">
        <v>24</v>
      </c>
      <c r="J166" s="44" t="str">
        <f t="shared" si="5"/>
        <v>Não</v>
      </c>
      <c r="K166" s="57">
        <v>45418.0</v>
      </c>
      <c r="L166" s="62"/>
      <c r="M166" s="24" t="s">
        <v>79</v>
      </c>
      <c r="N166" s="58">
        <v>0.012</v>
      </c>
      <c r="O166" s="9" t="s">
        <v>48</v>
      </c>
      <c r="P166" s="59">
        <v>0.1</v>
      </c>
      <c r="Q166" s="60"/>
      <c r="R166" s="50"/>
      <c r="S166" s="24" t="s">
        <v>108</v>
      </c>
      <c r="T166" s="24" t="s">
        <v>671</v>
      </c>
      <c r="U166" s="9" t="s">
        <v>29</v>
      </c>
      <c r="V166" s="51" t="str">
        <f t="shared" si="3"/>
        <v>Ativo</v>
      </c>
      <c r="W166" s="24" t="s">
        <v>75</v>
      </c>
      <c r="X166" s="52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3"/>
      <c r="AQ166" s="53"/>
      <c r="AR166" s="53"/>
      <c r="AS166" s="53">
        <v>237924.0</v>
      </c>
      <c r="AT166" s="53">
        <v>239680.4</v>
      </c>
      <c r="AU166" s="53">
        <f t="array" ref="AU166">XLOOKUP(C166,'PL TOTAL D0'!A:A,'PL TOTAL D0'!C:C,"")</f>
        <v>241375.3</v>
      </c>
    </row>
    <row r="167" ht="15.75" customHeight="1">
      <c r="A167" s="41" t="s">
        <v>43</v>
      </c>
      <c r="B167" s="133" t="s">
        <v>672</v>
      </c>
      <c r="C167" s="134" t="s">
        <v>673</v>
      </c>
      <c r="D167" s="44" t="s">
        <v>105</v>
      </c>
      <c r="E167" s="45" t="s">
        <v>29</v>
      </c>
      <c r="F167" s="44" t="s">
        <v>412</v>
      </c>
      <c r="G167" s="44" t="str">
        <f t="shared" si="1"/>
        <v>Breno</v>
      </c>
      <c r="H167" s="46" t="s">
        <v>107</v>
      </c>
      <c r="I167" s="46" t="s">
        <v>24</v>
      </c>
      <c r="J167" s="44" t="str">
        <f t="shared" si="5"/>
        <v>Não</v>
      </c>
      <c r="K167" s="47">
        <v>45175.0</v>
      </c>
      <c r="L167" s="62"/>
      <c r="M167" s="45" t="s">
        <v>55</v>
      </c>
      <c r="N167" s="48">
        <v>0.0085</v>
      </c>
      <c r="O167" s="44" t="s">
        <v>24</v>
      </c>
      <c r="P167" s="49">
        <v>0.0</v>
      </c>
      <c r="Q167" s="60"/>
      <c r="R167" s="50"/>
      <c r="S167" s="45" t="s">
        <v>108</v>
      </c>
      <c r="T167" s="24" t="s">
        <v>674</v>
      </c>
      <c r="U167" s="9" t="s">
        <v>29</v>
      </c>
      <c r="V167" s="51" t="str">
        <f t="shared" si="3"/>
        <v>Ativo</v>
      </c>
      <c r="W167" s="45"/>
      <c r="X167" s="52" t="s">
        <v>110</v>
      </c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>
        <v>0.0</v>
      </c>
      <c r="AK167" s="54">
        <v>834256.32</v>
      </c>
      <c r="AL167" s="54">
        <v>841298.65</v>
      </c>
      <c r="AM167" s="54">
        <v>846883.93</v>
      </c>
      <c r="AN167" s="54">
        <v>840711.98</v>
      </c>
      <c r="AO167" s="54">
        <v>850636.02</v>
      </c>
      <c r="AP167" s="53">
        <v>836464.59</v>
      </c>
      <c r="AQ167" s="53">
        <v>850022.2</v>
      </c>
      <c r="AR167" s="53">
        <v>851195.49</v>
      </c>
      <c r="AS167" s="53">
        <v>861555.1</v>
      </c>
      <c r="AT167" s="53">
        <v>868921.9</v>
      </c>
      <c r="AU167" s="53">
        <f t="array" ref="AU167">XLOOKUP(C167,'PL TOTAL D0'!A:A,'PL TOTAL D0'!C:C,"")</f>
        <v>871370.1</v>
      </c>
    </row>
    <row r="168" ht="15.75" customHeight="1">
      <c r="A168" s="41" t="s">
        <v>43</v>
      </c>
      <c r="B168" s="42" t="s">
        <v>675</v>
      </c>
      <c r="C168" s="43" t="s">
        <v>676</v>
      </c>
      <c r="D168" s="44" t="s">
        <v>18</v>
      </c>
      <c r="E168" s="45" t="s">
        <v>29</v>
      </c>
      <c r="F168" s="44" t="s">
        <v>168</v>
      </c>
      <c r="G168" s="44" t="str">
        <f t="shared" si="1"/>
        <v>Augusto</v>
      </c>
      <c r="H168" s="46" t="s">
        <v>107</v>
      </c>
      <c r="I168" s="46" t="s">
        <v>24</v>
      </c>
      <c r="J168" s="44" t="str">
        <f t="shared" si="5"/>
        <v>Não</v>
      </c>
      <c r="K168" s="47">
        <v>45001.0</v>
      </c>
      <c r="L168" s="45"/>
      <c r="M168" s="45" t="s">
        <v>55</v>
      </c>
      <c r="N168" s="48">
        <v>0.012</v>
      </c>
      <c r="O168" s="44" t="s">
        <v>24</v>
      </c>
      <c r="P168" s="49">
        <v>0.0</v>
      </c>
      <c r="Q168" s="50"/>
      <c r="R168" s="50"/>
      <c r="S168" s="45" t="s">
        <v>108</v>
      </c>
      <c r="T168" s="24" t="s">
        <v>677</v>
      </c>
      <c r="U168" s="9" t="s">
        <v>29</v>
      </c>
      <c r="V168" s="51" t="str">
        <f t="shared" si="3"/>
        <v>Ativo</v>
      </c>
      <c r="W168" s="45"/>
      <c r="X168" s="52" t="s">
        <v>119</v>
      </c>
      <c r="Y168" s="54"/>
      <c r="Z168" s="54"/>
      <c r="AA168" s="54"/>
      <c r="AB168" s="54"/>
      <c r="AC168" s="54">
        <v>0.0</v>
      </c>
      <c r="AD168" s="54">
        <v>0.0</v>
      </c>
      <c r="AE168" s="54">
        <v>50312.94</v>
      </c>
      <c r="AF168" s="54">
        <v>274798.86</v>
      </c>
      <c r="AG168" s="54">
        <v>276929.5</v>
      </c>
      <c r="AH168" s="54">
        <v>278882.47</v>
      </c>
      <c r="AI168" s="54">
        <v>281372.59</v>
      </c>
      <c r="AJ168" s="54">
        <v>283651.31</v>
      </c>
      <c r="AK168" s="54">
        <v>285135.3</v>
      </c>
      <c r="AL168" s="54">
        <v>286695.65</v>
      </c>
      <c r="AM168" s="54">
        <v>289667.39</v>
      </c>
      <c r="AN168" s="54">
        <v>292447.17</v>
      </c>
      <c r="AO168" s="54">
        <v>294428.81</v>
      </c>
      <c r="AP168" s="53">
        <v>295923.1</v>
      </c>
      <c r="AQ168" s="53">
        <v>297895.15</v>
      </c>
      <c r="AR168" s="53">
        <v>299481.73</v>
      </c>
      <c r="AS168" s="53">
        <v>300414.7</v>
      </c>
      <c r="AT168" s="53">
        <v>302343.1</v>
      </c>
      <c r="AU168" s="53">
        <f t="array" ref="AU168">XLOOKUP(C168,'PL TOTAL D0'!A:A,'PL TOTAL D0'!C:C,"")</f>
        <v>302265.8</v>
      </c>
    </row>
    <row r="169" ht="15.75" customHeight="1">
      <c r="A169" s="41" t="s">
        <v>43</v>
      </c>
      <c r="B169" s="61" t="s">
        <v>678</v>
      </c>
      <c r="C169" s="43" t="s">
        <v>679</v>
      </c>
      <c r="D169" s="44" t="s">
        <v>18</v>
      </c>
      <c r="E169" s="45" t="s">
        <v>19</v>
      </c>
      <c r="F169" s="44" t="s">
        <v>20</v>
      </c>
      <c r="G169" s="44" t="str">
        <f t="shared" si="1"/>
        <v>Augusto</v>
      </c>
      <c r="H169" s="51" t="s">
        <v>147</v>
      </c>
      <c r="I169" s="51" t="s">
        <v>219</v>
      </c>
      <c r="J169" s="44" t="str">
        <f t="shared" si="5"/>
        <v>Não</v>
      </c>
      <c r="K169" s="47">
        <v>45029.0</v>
      </c>
      <c r="L169" s="45"/>
      <c r="M169" s="45" t="s">
        <v>55</v>
      </c>
      <c r="N169" s="48">
        <v>0.01</v>
      </c>
      <c r="O169" s="44" t="s">
        <v>24</v>
      </c>
      <c r="P169" s="49">
        <v>0.0</v>
      </c>
      <c r="Q169" s="50"/>
      <c r="R169" s="50"/>
      <c r="S169" s="45" t="s">
        <v>108</v>
      </c>
      <c r="T169" s="24" t="s">
        <v>680</v>
      </c>
      <c r="U169" s="9" t="s">
        <v>19</v>
      </c>
      <c r="V169" s="51" t="str">
        <f t="shared" si="3"/>
        <v>Ativo</v>
      </c>
      <c r="W169" s="45"/>
      <c r="X169" s="52" t="s">
        <v>119</v>
      </c>
      <c r="Y169" s="54"/>
      <c r="Z169" s="54"/>
      <c r="AA169" s="54"/>
      <c r="AB169" s="54"/>
      <c r="AC169" s="54"/>
      <c r="AD169" s="54"/>
      <c r="AE169" s="54">
        <v>0.0</v>
      </c>
      <c r="AF169" s="54">
        <v>15390.31</v>
      </c>
      <c r="AG169" s="54">
        <v>15561.04</v>
      </c>
      <c r="AH169" s="54">
        <v>15708.24</v>
      </c>
      <c r="AI169" s="54">
        <v>12752.84</v>
      </c>
      <c r="AJ169" s="54">
        <v>12827.29</v>
      </c>
      <c r="AK169" s="54">
        <v>12895.51</v>
      </c>
      <c r="AL169" s="54">
        <v>12973.3</v>
      </c>
      <c r="AM169" s="54">
        <v>13073.88</v>
      </c>
      <c r="AN169" s="54">
        <v>16404.95</v>
      </c>
      <c r="AO169" s="54">
        <v>13511.52</v>
      </c>
      <c r="AP169" s="53">
        <v>13608.52</v>
      </c>
      <c r="AQ169" s="53">
        <v>13716.42</v>
      </c>
      <c r="AR169" s="53">
        <v>13712.25</v>
      </c>
      <c r="AS169" s="53">
        <v>0.0</v>
      </c>
      <c r="AT169" s="53">
        <v>0.62</v>
      </c>
      <c r="AU169" s="53">
        <f t="array" ref="AU169">XLOOKUP(C169,'PL TOTAL D0'!A:A,'PL TOTAL D0'!C:C,"")</f>
        <v>0.62</v>
      </c>
    </row>
    <row r="170" ht="15.75" customHeight="1">
      <c r="A170" s="41" t="s">
        <v>43</v>
      </c>
      <c r="B170" s="55" t="s">
        <v>681</v>
      </c>
      <c r="C170" s="43" t="s">
        <v>682</v>
      </c>
      <c r="D170" s="44" t="s">
        <v>105</v>
      </c>
      <c r="E170" s="45" t="s">
        <v>29</v>
      </c>
      <c r="F170" s="44" t="s">
        <v>683</v>
      </c>
      <c r="G170" s="44" t="str">
        <f t="shared" si="1"/>
        <v>#N/A</v>
      </c>
      <c r="H170" s="46" t="s">
        <v>107</v>
      </c>
      <c r="I170" s="46" t="s">
        <v>24</v>
      </c>
      <c r="J170" s="44" t="str">
        <f t="shared" si="5"/>
        <v>Não</v>
      </c>
      <c r="K170" s="47">
        <v>44935.0</v>
      </c>
      <c r="L170" s="45"/>
      <c r="M170" s="45" t="s">
        <v>55</v>
      </c>
      <c r="N170" s="48">
        <v>0.01</v>
      </c>
      <c r="O170" s="44" t="s">
        <v>24</v>
      </c>
      <c r="P170" s="49">
        <v>0.0</v>
      </c>
      <c r="Q170" s="50"/>
      <c r="R170" s="50"/>
      <c r="S170" s="45" t="s">
        <v>108</v>
      </c>
      <c r="T170" s="24" t="s">
        <v>684</v>
      </c>
      <c r="U170" s="9" t="s">
        <v>29</v>
      </c>
      <c r="V170" s="51" t="str">
        <f t="shared" si="3"/>
        <v>Ativo</v>
      </c>
      <c r="W170" s="45"/>
      <c r="X170" s="52" t="s">
        <v>119</v>
      </c>
      <c r="Y170" s="54"/>
      <c r="Z170" s="54"/>
      <c r="AA170" s="54"/>
      <c r="AB170" s="54">
        <v>381298.58</v>
      </c>
      <c r="AC170" s="54">
        <v>265464.98</v>
      </c>
      <c r="AD170" s="54">
        <v>267762.35</v>
      </c>
      <c r="AE170" s="54">
        <v>255619.92</v>
      </c>
      <c r="AF170" s="54">
        <v>257567.67</v>
      </c>
      <c r="AG170" s="54">
        <v>260425.27</v>
      </c>
      <c r="AH170" s="54">
        <v>263021.44</v>
      </c>
      <c r="AI170" s="54">
        <v>265529.31</v>
      </c>
      <c r="AJ170" s="54">
        <v>268251.05</v>
      </c>
      <c r="AK170" s="54">
        <v>270578.92</v>
      </c>
      <c r="AL170" s="54">
        <v>273195.75</v>
      </c>
      <c r="AM170" s="54">
        <v>275485.49</v>
      </c>
      <c r="AN170" s="54">
        <v>277899.52</v>
      </c>
      <c r="AO170" s="54">
        <v>94278.48</v>
      </c>
      <c r="AP170" s="53">
        <v>95103.42</v>
      </c>
      <c r="AQ170" s="53">
        <v>96166.27</v>
      </c>
      <c r="AR170" s="53">
        <v>96200.17</v>
      </c>
      <c r="AS170" s="53">
        <v>85914.29</v>
      </c>
      <c r="AT170" s="53">
        <v>86332.19</v>
      </c>
      <c r="AU170" s="53" t="str">
        <f t="array" ref="AU170">XLOOKUP(C170,'PL TOTAL D0'!A:A,'PL TOTAL D0'!C:C,"")</f>
        <v/>
      </c>
    </row>
    <row r="171" ht="15.75" customHeight="1">
      <c r="A171" s="41" t="s">
        <v>43</v>
      </c>
      <c r="B171" s="42" t="s">
        <v>685</v>
      </c>
      <c r="C171" s="43" t="s">
        <v>686</v>
      </c>
      <c r="D171" s="44" t="s">
        <v>105</v>
      </c>
      <c r="E171" s="45" t="s">
        <v>29</v>
      </c>
      <c r="F171" s="44" t="s">
        <v>685</v>
      </c>
      <c r="G171" s="44" t="str">
        <f t="shared" si="1"/>
        <v>Augusto</v>
      </c>
      <c r="H171" s="46" t="s">
        <v>107</v>
      </c>
      <c r="I171" s="46" t="s">
        <v>24</v>
      </c>
      <c r="J171" s="44" t="str">
        <f t="shared" si="5"/>
        <v>Não</v>
      </c>
      <c r="K171" s="47">
        <v>45000.0</v>
      </c>
      <c r="L171" s="45"/>
      <c r="M171" s="45" t="s">
        <v>269</v>
      </c>
      <c r="N171" s="48">
        <v>0.02</v>
      </c>
      <c r="O171" s="44" t="s">
        <v>48</v>
      </c>
      <c r="P171" s="49">
        <v>0.2</v>
      </c>
      <c r="Q171" s="50"/>
      <c r="R171" s="50"/>
      <c r="S171" s="45" t="s">
        <v>108</v>
      </c>
      <c r="T171" s="24" t="s">
        <v>687</v>
      </c>
      <c r="U171" s="9" t="s">
        <v>29</v>
      </c>
      <c r="V171" s="51" t="str">
        <f t="shared" si="3"/>
        <v>Ativo</v>
      </c>
      <c r="W171" s="45"/>
      <c r="X171" s="52" t="s">
        <v>110</v>
      </c>
      <c r="Y171" s="54"/>
      <c r="Z171" s="54"/>
      <c r="AA171" s="54"/>
      <c r="AB171" s="54"/>
      <c r="AC171" s="54">
        <v>0.0</v>
      </c>
      <c r="AD171" s="54">
        <v>0.0</v>
      </c>
      <c r="AE171" s="54">
        <v>17955.96</v>
      </c>
      <c r="AF171" s="54">
        <v>18549.92</v>
      </c>
      <c r="AG171" s="54">
        <v>1010.11</v>
      </c>
      <c r="AH171" s="54">
        <v>1019.44</v>
      </c>
      <c r="AI171" s="54">
        <v>1029.1</v>
      </c>
      <c r="AJ171" s="54">
        <v>1041.12</v>
      </c>
      <c r="AK171" s="54">
        <v>1051.55</v>
      </c>
      <c r="AL171" s="54">
        <v>1062.82</v>
      </c>
      <c r="AM171" s="54">
        <v>1072.3</v>
      </c>
      <c r="AN171" s="54">
        <v>1082.15</v>
      </c>
      <c r="AO171" s="54">
        <v>1092.88</v>
      </c>
      <c r="AP171" s="53">
        <v>1104.97</v>
      </c>
      <c r="AQ171" s="53">
        <v>1119.31</v>
      </c>
      <c r="AR171" s="53">
        <v>1111.57</v>
      </c>
      <c r="AS171" s="53">
        <v>1106.65</v>
      </c>
      <c r="AT171" s="53">
        <v>1113.67</v>
      </c>
      <c r="AU171" s="53">
        <f t="array" ref="AU171">XLOOKUP(C171,'PL TOTAL D0'!A:A,'PL TOTAL D0'!C:C,"")</f>
        <v>1133.46</v>
      </c>
    </row>
    <row r="172" ht="15.75" customHeight="1">
      <c r="A172" s="41" t="s">
        <v>43</v>
      </c>
      <c r="B172" s="42" t="s">
        <v>688</v>
      </c>
      <c r="C172" s="43" t="s">
        <v>689</v>
      </c>
      <c r="D172" s="44" t="s">
        <v>18</v>
      </c>
      <c r="E172" s="45" t="s">
        <v>29</v>
      </c>
      <c r="F172" s="44" t="s">
        <v>294</v>
      </c>
      <c r="G172" s="44" t="str">
        <f t="shared" si="1"/>
        <v>Augusto</v>
      </c>
      <c r="H172" s="46" t="s">
        <v>107</v>
      </c>
      <c r="I172" s="46" t="s">
        <v>24</v>
      </c>
      <c r="J172" s="44" t="str">
        <f t="shared" si="5"/>
        <v>Não</v>
      </c>
      <c r="K172" s="47">
        <v>44921.0</v>
      </c>
      <c r="L172" s="45"/>
      <c r="M172" s="45" t="s">
        <v>47</v>
      </c>
      <c r="N172" s="48">
        <v>0.015</v>
      </c>
      <c r="O172" s="44" t="s">
        <v>48</v>
      </c>
      <c r="P172" s="49">
        <v>0.1</v>
      </c>
      <c r="Q172" s="60"/>
      <c r="R172" s="50"/>
      <c r="S172" s="45" t="s">
        <v>108</v>
      </c>
      <c r="T172" s="24" t="s">
        <v>690</v>
      </c>
      <c r="U172" s="9" t="s">
        <v>29</v>
      </c>
      <c r="V172" s="51" t="str">
        <f t="shared" si="3"/>
        <v>Ativo</v>
      </c>
      <c r="W172" s="45"/>
      <c r="X172" s="52" t="s">
        <v>119</v>
      </c>
      <c r="Y172" s="54"/>
      <c r="Z172" s="54"/>
      <c r="AA172" s="54"/>
      <c r="AB172" s="54">
        <v>120188.38</v>
      </c>
      <c r="AC172" s="54">
        <v>212304.81</v>
      </c>
      <c r="AD172" s="54">
        <v>214097.75</v>
      </c>
      <c r="AE172" s="54">
        <v>215903.39</v>
      </c>
      <c r="AF172" s="54">
        <v>237121.83</v>
      </c>
      <c r="AG172" s="54">
        <v>241167.17</v>
      </c>
      <c r="AH172" s="54">
        <v>265869.69</v>
      </c>
      <c r="AI172" s="54">
        <v>269316.47</v>
      </c>
      <c r="AJ172" s="54">
        <v>268103.17</v>
      </c>
      <c r="AK172" s="54">
        <v>156243.89</v>
      </c>
      <c r="AL172" s="54">
        <v>153223.7</v>
      </c>
      <c r="AM172" s="54">
        <v>166687.26</v>
      </c>
      <c r="AN172" s="54">
        <v>173716.99</v>
      </c>
      <c r="AO172" s="54">
        <v>168275.08</v>
      </c>
      <c r="AP172" s="53">
        <v>169818.22</v>
      </c>
      <c r="AQ172" s="53">
        <v>171477.4</v>
      </c>
      <c r="AR172" s="53">
        <v>170570.62</v>
      </c>
      <c r="AS172" s="53">
        <v>169722.4</v>
      </c>
      <c r="AT172" s="53">
        <v>170733.8</v>
      </c>
      <c r="AU172" s="53">
        <f t="array" ref="AU172">XLOOKUP(C172,'PL TOTAL D0'!A:A,'PL TOTAL D0'!C:C,"")</f>
        <v>173270.9</v>
      </c>
    </row>
    <row r="173" ht="15.75" customHeight="1">
      <c r="A173" s="41" t="s">
        <v>43</v>
      </c>
      <c r="B173" s="42" t="s">
        <v>691</v>
      </c>
      <c r="C173" s="43" t="s">
        <v>692</v>
      </c>
      <c r="D173" s="44" t="s">
        <v>18</v>
      </c>
      <c r="E173" s="45" t="s">
        <v>29</v>
      </c>
      <c r="F173" s="44" t="s">
        <v>60</v>
      </c>
      <c r="G173" s="44" t="str">
        <f t="shared" si="1"/>
        <v>Augusto</v>
      </c>
      <c r="H173" s="51" t="s">
        <v>147</v>
      </c>
      <c r="I173" s="51" t="s">
        <v>693</v>
      </c>
      <c r="J173" s="44" t="str">
        <f t="shared" si="5"/>
        <v>Não</v>
      </c>
      <c r="K173" s="47">
        <v>45061.0</v>
      </c>
      <c r="L173" s="45"/>
      <c r="M173" s="45" t="s">
        <v>55</v>
      </c>
      <c r="N173" s="48">
        <v>0.012</v>
      </c>
      <c r="O173" s="44" t="s">
        <v>24</v>
      </c>
      <c r="P173" s="49">
        <v>0.0</v>
      </c>
      <c r="Q173" s="50"/>
      <c r="R173" s="60" t="s">
        <v>694</v>
      </c>
      <c r="S173" s="45" t="s">
        <v>108</v>
      </c>
      <c r="T173" s="24" t="s">
        <v>695</v>
      </c>
      <c r="U173" s="9" t="s">
        <v>29</v>
      </c>
      <c r="V173" s="51" t="str">
        <f t="shared" si="3"/>
        <v>Ativo</v>
      </c>
      <c r="W173" s="45"/>
      <c r="X173" s="52" t="s">
        <v>119</v>
      </c>
      <c r="Y173" s="54"/>
      <c r="Z173" s="54"/>
      <c r="AA173" s="54"/>
      <c r="AB173" s="54"/>
      <c r="AC173" s="54"/>
      <c r="AD173" s="54"/>
      <c r="AE173" s="54"/>
      <c r="AF173" s="54">
        <v>0.0</v>
      </c>
      <c r="AG173" s="54">
        <v>274818.05</v>
      </c>
      <c r="AH173" s="54">
        <v>277673.23</v>
      </c>
      <c r="AI173" s="54">
        <v>279989.85</v>
      </c>
      <c r="AJ173" s="54">
        <v>282280.53</v>
      </c>
      <c r="AK173" s="54">
        <v>283963.38</v>
      </c>
      <c r="AL173" s="54">
        <v>285881.02</v>
      </c>
      <c r="AM173" s="54">
        <v>286365.27</v>
      </c>
      <c r="AN173" s="54">
        <v>288801.62</v>
      </c>
      <c r="AO173" s="54">
        <v>291247.23</v>
      </c>
      <c r="AP173" s="53">
        <v>293121.54</v>
      </c>
      <c r="AQ173" s="53">
        <v>294500.57</v>
      </c>
      <c r="AR173" s="53">
        <v>296062.37</v>
      </c>
      <c r="AS173" s="53">
        <v>287928.3</v>
      </c>
      <c r="AT173" s="53">
        <v>114030.8</v>
      </c>
      <c r="AU173" s="53">
        <f t="array" ref="AU173">XLOOKUP(C173,'PL TOTAL D0'!A:A,'PL TOTAL D0'!C:C,"")</f>
        <v>114477.9</v>
      </c>
    </row>
    <row r="174" ht="15.75" customHeight="1">
      <c r="A174" s="41" t="s">
        <v>43</v>
      </c>
      <c r="B174" s="42" t="s">
        <v>696</v>
      </c>
      <c r="C174" s="43" t="s">
        <v>697</v>
      </c>
      <c r="D174" s="44" t="s">
        <v>105</v>
      </c>
      <c r="E174" s="45" t="s">
        <v>29</v>
      </c>
      <c r="F174" s="44" t="s">
        <v>698</v>
      </c>
      <c r="G174" s="44" t="str">
        <f t="shared" si="1"/>
        <v>Breno</v>
      </c>
      <c r="H174" s="46" t="s">
        <v>107</v>
      </c>
      <c r="I174" s="46" t="s">
        <v>24</v>
      </c>
      <c r="J174" s="44" t="str">
        <f t="shared" si="5"/>
        <v>Não</v>
      </c>
      <c r="K174" s="47">
        <v>45006.0</v>
      </c>
      <c r="L174" s="45"/>
      <c r="M174" s="45" t="s">
        <v>55</v>
      </c>
      <c r="N174" s="48">
        <v>0.007</v>
      </c>
      <c r="O174" s="44" t="s">
        <v>24</v>
      </c>
      <c r="P174" s="49">
        <v>0.0</v>
      </c>
      <c r="Q174" s="60"/>
      <c r="R174" s="50"/>
      <c r="S174" s="45" t="s">
        <v>108</v>
      </c>
      <c r="T174" s="24" t="s">
        <v>699</v>
      </c>
      <c r="U174" s="9" t="s">
        <v>29</v>
      </c>
      <c r="V174" s="51" t="str">
        <f t="shared" si="3"/>
        <v>Ativo</v>
      </c>
      <c r="W174" s="45"/>
      <c r="X174" s="52" t="s">
        <v>119</v>
      </c>
      <c r="Y174" s="54"/>
      <c r="Z174" s="54"/>
      <c r="AA174" s="54"/>
      <c r="AB174" s="54"/>
      <c r="AC174" s="54">
        <v>0.0</v>
      </c>
      <c r="AD174" s="54">
        <v>0.0</v>
      </c>
      <c r="AE174" s="54">
        <v>745648.09</v>
      </c>
      <c r="AF174" s="54">
        <v>749900.83</v>
      </c>
      <c r="AG174" s="54">
        <v>756752.38</v>
      </c>
      <c r="AH174" s="54">
        <v>772289.75</v>
      </c>
      <c r="AI174" s="54">
        <v>788470.5</v>
      </c>
      <c r="AJ174" s="54">
        <v>788285.49</v>
      </c>
      <c r="AK174" s="54">
        <v>791403.78</v>
      </c>
      <c r="AL174" s="54">
        <v>794481.47</v>
      </c>
      <c r="AM174" s="54">
        <v>802400.49</v>
      </c>
      <c r="AN174" s="54">
        <v>810142.87</v>
      </c>
      <c r="AO174" s="54">
        <v>811716.97</v>
      </c>
      <c r="AP174" s="53">
        <v>815236.74</v>
      </c>
      <c r="AQ174" s="53">
        <v>818622.85</v>
      </c>
      <c r="AR174" s="53">
        <v>821463.2</v>
      </c>
      <c r="AS174" s="53">
        <v>826979.6</v>
      </c>
      <c r="AT174" s="53">
        <v>832263.8</v>
      </c>
      <c r="AU174" s="53">
        <f t="array" ref="AU174">XLOOKUP(C174,'PL TOTAL D0'!A:A,'PL TOTAL D0'!C:C,"")</f>
        <v>834667.7</v>
      </c>
    </row>
    <row r="175" ht="15.75" customHeight="1">
      <c r="A175" s="41" t="s">
        <v>43</v>
      </c>
      <c r="B175" s="42" t="s">
        <v>696</v>
      </c>
      <c r="C175" s="43" t="s">
        <v>700</v>
      </c>
      <c r="D175" s="44" t="s">
        <v>105</v>
      </c>
      <c r="E175" s="45" t="s">
        <v>29</v>
      </c>
      <c r="F175" s="44" t="s">
        <v>698</v>
      </c>
      <c r="G175" s="44" t="str">
        <f t="shared" si="1"/>
        <v>Bruno</v>
      </c>
      <c r="H175" s="46" t="s">
        <v>107</v>
      </c>
      <c r="I175" s="46" t="s">
        <v>24</v>
      </c>
      <c r="J175" s="44" t="str">
        <f t="shared" si="5"/>
        <v>Não</v>
      </c>
      <c r="K175" s="47">
        <v>44910.0</v>
      </c>
      <c r="L175" s="45"/>
      <c r="M175" s="45" t="s">
        <v>55</v>
      </c>
      <c r="N175" s="48">
        <v>0.007</v>
      </c>
      <c r="O175" s="44" t="s">
        <v>24</v>
      </c>
      <c r="P175" s="49">
        <v>0.0</v>
      </c>
      <c r="Q175" s="50"/>
      <c r="R175" s="135" t="s">
        <v>701</v>
      </c>
      <c r="S175" s="45" t="s">
        <v>108</v>
      </c>
      <c r="T175" s="24" t="s">
        <v>699</v>
      </c>
      <c r="U175" s="9" t="s">
        <v>29</v>
      </c>
      <c r="V175" s="51" t="str">
        <f t="shared" si="3"/>
        <v>Ativo</v>
      </c>
      <c r="W175" s="45"/>
      <c r="X175" s="52" t="s">
        <v>119</v>
      </c>
      <c r="Y175" s="54"/>
      <c r="Z175" s="54"/>
      <c r="AA175" s="54"/>
      <c r="AB175" s="54">
        <v>3002969.87</v>
      </c>
      <c r="AC175" s="54">
        <v>3002364.42</v>
      </c>
      <c r="AD175" s="54">
        <v>2994048.19</v>
      </c>
      <c r="AE175" s="54">
        <v>3037619.94</v>
      </c>
      <c r="AF175" s="54">
        <v>3055373.84</v>
      </c>
      <c r="AG175" s="54">
        <v>3188978.01</v>
      </c>
      <c r="AH175" s="54">
        <v>3221516.64</v>
      </c>
      <c r="AI175" s="54">
        <v>3255128.52</v>
      </c>
      <c r="AJ175" s="54">
        <v>3293994.07</v>
      </c>
      <c r="AK175" s="54">
        <v>3329507.61</v>
      </c>
      <c r="AL175" s="54">
        <v>3358659.09</v>
      </c>
      <c r="AM175" s="54">
        <v>3393453.45</v>
      </c>
      <c r="AN175" s="54">
        <v>3619844.51</v>
      </c>
      <c r="AO175" s="54">
        <v>3753742.36</v>
      </c>
      <c r="AP175" s="53">
        <v>3791308.5</v>
      </c>
      <c r="AQ175" s="53">
        <v>3839579.0</v>
      </c>
      <c r="AR175" s="53">
        <v>3988290.83</v>
      </c>
      <c r="AS175" s="53">
        <v>3584126.0</v>
      </c>
      <c r="AT175" s="53">
        <v>3610119.0</v>
      </c>
      <c r="AU175" s="53">
        <f t="array" ref="AU175">XLOOKUP(C175,'PL TOTAL D0'!A:A,'PL TOTAL D0'!C:C,"")</f>
        <v>3651844</v>
      </c>
    </row>
    <row r="176" ht="15.75" customHeight="1">
      <c r="A176" s="41" t="s">
        <v>43</v>
      </c>
      <c r="B176" s="42" t="s">
        <v>702</v>
      </c>
      <c r="C176" s="43" t="s">
        <v>703</v>
      </c>
      <c r="D176" s="44" t="s">
        <v>18</v>
      </c>
      <c r="E176" s="45" t="s">
        <v>29</v>
      </c>
      <c r="F176" s="9" t="s">
        <v>704</v>
      </c>
      <c r="G176" s="44" t="str">
        <f t="shared" si="1"/>
        <v>Augusto</v>
      </c>
      <c r="H176" s="51" t="s">
        <v>107</v>
      </c>
      <c r="I176" s="51" t="s">
        <v>24</v>
      </c>
      <c r="J176" s="44" t="str">
        <f t="shared" si="5"/>
        <v>Não</v>
      </c>
      <c r="K176" s="47">
        <v>45278.0</v>
      </c>
      <c r="L176" s="45"/>
      <c r="M176" s="45" t="s">
        <v>55</v>
      </c>
      <c r="N176" s="94">
        <v>0.01</v>
      </c>
      <c r="O176" s="95" t="s">
        <v>24</v>
      </c>
      <c r="P176" s="96">
        <v>0.0</v>
      </c>
      <c r="Q176" s="50"/>
      <c r="R176" s="135"/>
      <c r="S176" s="45" t="s">
        <v>108</v>
      </c>
      <c r="T176" s="24" t="s">
        <v>705</v>
      </c>
      <c r="U176" s="9" t="s">
        <v>706</v>
      </c>
      <c r="V176" s="51" t="str">
        <f t="shared" si="3"/>
        <v>Ativo</v>
      </c>
      <c r="W176" s="45"/>
      <c r="X176" s="52" t="s">
        <v>119</v>
      </c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>
        <v>63831.77</v>
      </c>
      <c r="AO176" s="54">
        <v>56173.7</v>
      </c>
      <c r="AP176" s="53">
        <v>44145.23</v>
      </c>
      <c r="AQ176" s="53">
        <v>44497.8</v>
      </c>
      <c r="AR176" s="53">
        <v>41989.04</v>
      </c>
      <c r="AS176" s="53">
        <v>42254.65</v>
      </c>
      <c r="AT176" s="53">
        <v>40983.3</v>
      </c>
      <c r="AU176" s="53">
        <f t="array" ref="AU176">XLOOKUP(C176,'PL TOTAL D0'!A:A,'PL TOTAL D0'!C:C,"")</f>
        <v>41133.69</v>
      </c>
    </row>
    <row r="177" ht="15.75" customHeight="1">
      <c r="A177" s="41" t="s">
        <v>43</v>
      </c>
      <c r="B177" s="42" t="s">
        <v>707</v>
      </c>
      <c r="C177" s="43" t="s">
        <v>708</v>
      </c>
      <c r="D177" s="44" t="s">
        <v>18</v>
      </c>
      <c r="E177" s="45" t="s">
        <v>29</v>
      </c>
      <c r="F177" s="44" t="s">
        <v>168</v>
      </c>
      <c r="G177" s="44" t="str">
        <f t="shared" si="1"/>
        <v>#N/A</v>
      </c>
      <c r="H177" s="51" t="s">
        <v>147</v>
      </c>
      <c r="I177" s="46" t="s">
        <v>219</v>
      </c>
      <c r="J177" s="44" t="str">
        <f t="shared" si="5"/>
        <v>Não</v>
      </c>
      <c r="K177" s="47">
        <v>44888.0</v>
      </c>
      <c r="L177" s="45"/>
      <c r="M177" s="45" t="s">
        <v>55</v>
      </c>
      <c r="N177" s="48">
        <v>0.01</v>
      </c>
      <c r="O177" s="44" t="s">
        <v>24</v>
      </c>
      <c r="P177" s="49">
        <v>0.0</v>
      </c>
      <c r="Q177" s="50"/>
      <c r="R177" s="50"/>
      <c r="S177" s="45" t="s">
        <v>108</v>
      </c>
      <c r="T177" s="24" t="s">
        <v>709</v>
      </c>
      <c r="U177" s="9" t="s">
        <v>29</v>
      </c>
      <c r="V177" s="51" t="str">
        <f t="shared" si="3"/>
        <v>Inativo</v>
      </c>
      <c r="W177" s="45"/>
      <c r="X177" s="52" t="s">
        <v>119</v>
      </c>
      <c r="Y177" s="54"/>
      <c r="Z177" s="54"/>
      <c r="AA177" s="54"/>
      <c r="AB177" s="54">
        <v>152964.17</v>
      </c>
      <c r="AC177" s="54">
        <v>0.0</v>
      </c>
      <c r="AD177" s="54">
        <v>0.0</v>
      </c>
      <c r="AE177" s="54">
        <v>0.0</v>
      </c>
      <c r="AF177" s="54">
        <v>0.0</v>
      </c>
      <c r="AG177" s="54">
        <v>0.0</v>
      </c>
      <c r="AH177" s="54">
        <v>0.0</v>
      </c>
      <c r="AI177" s="54">
        <v>0.0</v>
      </c>
      <c r="AJ177" s="54">
        <v>0.0</v>
      </c>
      <c r="AK177" s="54">
        <v>0.0</v>
      </c>
      <c r="AL177" s="54">
        <v>0.0</v>
      </c>
      <c r="AM177" s="54">
        <v>0.0</v>
      </c>
      <c r="AN177" s="54">
        <v>0.0</v>
      </c>
      <c r="AO177" s="54">
        <v>0.0</v>
      </c>
      <c r="AP177" s="53">
        <v>0.0</v>
      </c>
      <c r="AQ177" s="53">
        <v>0.0</v>
      </c>
      <c r="AR177" s="53">
        <v>0.0</v>
      </c>
      <c r="AS177" s="53">
        <v>0.0</v>
      </c>
      <c r="AT177" s="53">
        <v>0.0</v>
      </c>
      <c r="AU177" s="53" t="str">
        <f t="array" ref="AU177">XLOOKUP(C177,'PL TOTAL D0'!A:A,'PL TOTAL D0'!C:C,"")</f>
        <v/>
      </c>
    </row>
    <row r="178" ht="15.75" customHeight="1">
      <c r="A178" s="41" t="s">
        <v>43</v>
      </c>
      <c r="B178" s="42" t="s">
        <v>710</v>
      </c>
      <c r="C178" s="43" t="s">
        <v>711</v>
      </c>
      <c r="D178" s="44" t="s">
        <v>18</v>
      </c>
      <c r="E178" s="45" t="s">
        <v>29</v>
      </c>
      <c r="F178" s="44" t="s">
        <v>168</v>
      </c>
      <c r="G178" s="44" t="str">
        <f t="shared" si="1"/>
        <v>Augusto</v>
      </c>
      <c r="H178" s="51" t="s">
        <v>147</v>
      </c>
      <c r="I178" s="51" t="s">
        <v>219</v>
      </c>
      <c r="J178" s="44" t="str">
        <f t="shared" si="5"/>
        <v>Não</v>
      </c>
      <c r="K178" s="47">
        <v>44928.0</v>
      </c>
      <c r="L178" s="45"/>
      <c r="M178" s="45" t="s">
        <v>55</v>
      </c>
      <c r="N178" s="48">
        <v>0.01</v>
      </c>
      <c r="O178" s="44" t="s">
        <v>24</v>
      </c>
      <c r="P178" s="49">
        <v>0.0</v>
      </c>
      <c r="Q178" s="50"/>
      <c r="R178" s="50"/>
      <c r="S178" s="45" t="s">
        <v>108</v>
      </c>
      <c r="T178" s="24" t="s">
        <v>709</v>
      </c>
      <c r="U178" s="9" t="s">
        <v>29</v>
      </c>
      <c r="V178" s="51" t="str">
        <f t="shared" si="3"/>
        <v>Ativo</v>
      </c>
      <c r="W178" s="45"/>
      <c r="X178" s="52" t="s">
        <v>119</v>
      </c>
      <c r="Y178" s="54"/>
      <c r="Z178" s="54"/>
      <c r="AA178" s="54"/>
      <c r="AB178" s="54">
        <v>101311.76</v>
      </c>
      <c r="AC178" s="54">
        <v>247661.67</v>
      </c>
      <c r="AD178" s="54">
        <v>249563.53</v>
      </c>
      <c r="AE178" s="54">
        <v>242169.05</v>
      </c>
      <c r="AF178" s="54">
        <v>243989.82</v>
      </c>
      <c r="AG178" s="54">
        <v>134113.35</v>
      </c>
      <c r="AH178" s="54">
        <v>135314.45</v>
      </c>
      <c r="AI178" s="54">
        <v>154121.1</v>
      </c>
      <c r="AJ178" s="54">
        <v>114705.22</v>
      </c>
      <c r="AK178" s="54">
        <v>115669.04</v>
      </c>
      <c r="AL178" s="54">
        <v>116779.86</v>
      </c>
      <c r="AM178" s="54">
        <v>117032.81</v>
      </c>
      <c r="AN178" s="54">
        <v>117996.13</v>
      </c>
      <c r="AO178" s="54">
        <v>119101.48</v>
      </c>
      <c r="AP178" s="53">
        <v>270.23</v>
      </c>
      <c r="AQ178" s="53">
        <v>209.26</v>
      </c>
      <c r="AR178" s="53">
        <v>210.76</v>
      </c>
      <c r="AS178" s="53">
        <v>210.87</v>
      </c>
      <c r="AT178" s="53">
        <v>212.98</v>
      </c>
      <c r="AU178" s="53">
        <f t="array" ref="AU178">XLOOKUP(C178,'PL TOTAL D0'!A:A,'PL TOTAL D0'!C:C,"")</f>
        <v>213.66</v>
      </c>
    </row>
    <row r="179" ht="15.75" customHeight="1">
      <c r="A179" s="41" t="s">
        <v>43</v>
      </c>
      <c r="B179" s="42" t="s">
        <v>712</v>
      </c>
      <c r="C179" s="43" t="s">
        <v>713</v>
      </c>
      <c r="D179" s="44" t="s">
        <v>18</v>
      </c>
      <c r="E179" s="45" t="s">
        <v>176</v>
      </c>
      <c r="F179" s="44" t="s">
        <v>177</v>
      </c>
      <c r="G179" s="44" t="str">
        <f t="shared" si="1"/>
        <v>Augusto</v>
      </c>
      <c r="H179" s="46" t="s">
        <v>107</v>
      </c>
      <c r="I179" s="46" t="s">
        <v>24</v>
      </c>
      <c r="J179" s="44" t="str">
        <f t="shared" si="5"/>
        <v>Não</v>
      </c>
      <c r="K179" s="47">
        <v>44973.0</v>
      </c>
      <c r="L179" s="45"/>
      <c r="M179" s="45" t="s">
        <v>55</v>
      </c>
      <c r="N179" s="48">
        <v>0.012</v>
      </c>
      <c r="O179" s="44" t="s">
        <v>24</v>
      </c>
      <c r="P179" s="49">
        <v>0.0</v>
      </c>
      <c r="Q179" s="50"/>
      <c r="R179" s="50"/>
      <c r="S179" s="45" t="s">
        <v>108</v>
      </c>
      <c r="T179" s="24" t="s">
        <v>714</v>
      </c>
      <c r="U179" s="9" t="s">
        <v>180</v>
      </c>
      <c r="V179" s="51" t="str">
        <f t="shared" si="3"/>
        <v>Ativo</v>
      </c>
      <c r="W179" s="45"/>
      <c r="X179" s="52" t="s">
        <v>119</v>
      </c>
      <c r="Y179" s="54"/>
      <c r="Z179" s="54"/>
      <c r="AA179" s="54"/>
      <c r="AB179" s="54"/>
      <c r="AC179" s="54"/>
      <c r="AD179" s="54">
        <v>34505.57</v>
      </c>
      <c r="AE179" s="54">
        <v>36392.24</v>
      </c>
      <c r="AF179" s="54">
        <v>38036.68</v>
      </c>
      <c r="AG179" s="54">
        <v>39676.93</v>
      </c>
      <c r="AH179" s="54">
        <v>41444.93</v>
      </c>
      <c r="AI179" s="54">
        <v>43329.27</v>
      </c>
      <c r="AJ179" s="54">
        <v>45255.67</v>
      </c>
      <c r="AK179" s="54">
        <v>47114.01</v>
      </c>
      <c r="AL179" s="54">
        <v>49049.48</v>
      </c>
      <c r="AM179" s="54">
        <v>50795.0</v>
      </c>
      <c r="AN179" s="54">
        <v>52451.76</v>
      </c>
      <c r="AO179" s="54">
        <v>54435.03</v>
      </c>
      <c r="AP179" s="53">
        <v>56356.83</v>
      </c>
      <c r="AQ179" s="53">
        <v>58345.64</v>
      </c>
      <c r="AR179" s="53">
        <v>60280.95</v>
      </c>
      <c r="AS179" s="53">
        <v>62245.71</v>
      </c>
      <c r="AT179" s="53">
        <v>64239.05</v>
      </c>
      <c r="AU179" s="53">
        <f t="array" ref="AU179">XLOOKUP(C179,'PL TOTAL D0'!A:A,'PL TOTAL D0'!C:C,"")</f>
        <v>64444.87</v>
      </c>
    </row>
    <row r="180" ht="15.75" customHeight="1">
      <c r="A180" s="41" t="s">
        <v>43</v>
      </c>
      <c r="B180" s="61" t="s">
        <v>715</v>
      </c>
      <c r="C180" s="43" t="s">
        <v>716</v>
      </c>
      <c r="D180" s="44" t="s">
        <v>18</v>
      </c>
      <c r="E180" s="45" t="s">
        <v>29</v>
      </c>
      <c r="F180" s="44" t="s">
        <v>704</v>
      </c>
      <c r="G180" s="44" t="str">
        <f t="shared" si="1"/>
        <v>Augusto</v>
      </c>
      <c r="H180" s="51" t="s">
        <v>107</v>
      </c>
      <c r="I180" s="51" t="s">
        <v>24</v>
      </c>
      <c r="J180" s="44" t="str">
        <f t="shared" si="5"/>
        <v>Não</v>
      </c>
      <c r="K180" s="47">
        <v>45166.0</v>
      </c>
      <c r="L180" s="62"/>
      <c r="M180" s="45" t="s">
        <v>47</v>
      </c>
      <c r="N180" s="48">
        <v>0.015</v>
      </c>
      <c r="O180" s="44" t="s">
        <v>48</v>
      </c>
      <c r="P180" s="49">
        <v>0.1</v>
      </c>
      <c r="Q180" s="50"/>
      <c r="R180" s="50"/>
      <c r="S180" s="45" t="s">
        <v>108</v>
      </c>
      <c r="T180" s="24" t="s">
        <v>717</v>
      </c>
      <c r="U180" s="9" t="s">
        <v>29</v>
      </c>
      <c r="V180" s="51" t="str">
        <f t="shared" si="3"/>
        <v>Ativo</v>
      </c>
      <c r="W180" s="45"/>
      <c r="X180" s="52" t="s">
        <v>119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>
        <v>0.0</v>
      </c>
      <c r="AI180" s="54">
        <v>0.0</v>
      </c>
      <c r="AJ180" s="54">
        <v>0.0</v>
      </c>
      <c r="AK180" s="54">
        <v>0.0</v>
      </c>
      <c r="AL180" s="54">
        <v>0.0</v>
      </c>
      <c r="AM180" s="54">
        <v>0.0</v>
      </c>
      <c r="AN180" s="54">
        <v>0.0</v>
      </c>
      <c r="AO180" s="54">
        <v>32543.86</v>
      </c>
      <c r="AP180" s="53">
        <v>32793.11</v>
      </c>
      <c r="AQ180" s="53">
        <v>28025.44</v>
      </c>
      <c r="AR180" s="53">
        <v>28211.93</v>
      </c>
      <c r="AS180" s="53">
        <v>28402.57</v>
      </c>
      <c r="AT180" s="53">
        <v>28600.12</v>
      </c>
      <c r="AU180" s="53">
        <f t="array" ref="AU180">XLOOKUP(C180,'PL TOTAL D0'!A:A,'PL TOTAL D0'!C:C,"")</f>
        <v>28671.13</v>
      </c>
    </row>
    <row r="181" ht="15.75" customHeight="1">
      <c r="A181" s="41" t="s">
        <v>43</v>
      </c>
      <c r="B181" s="97" t="s">
        <v>718</v>
      </c>
      <c r="C181" s="71" t="s">
        <v>719</v>
      </c>
      <c r="D181" s="44" t="s">
        <v>18</v>
      </c>
      <c r="E181" s="45" t="s">
        <v>176</v>
      </c>
      <c r="F181" s="44" t="s">
        <v>197</v>
      </c>
      <c r="G181" s="44" t="str">
        <f t="shared" si="1"/>
        <v>#N/A</v>
      </c>
      <c r="H181" s="51" t="s">
        <v>147</v>
      </c>
      <c r="I181" s="46" t="s">
        <v>219</v>
      </c>
      <c r="J181" s="44" t="str">
        <f t="shared" si="5"/>
        <v>Não</v>
      </c>
      <c r="K181" s="47">
        <v>45233.0</v>
      </c>
      <c r="L181" s="62"/>
      <c r="M181" s="45" t="s">
        <v>79</v>
      </c>
      <c r="N181" s="48">
        <v>0.012</v>
      </c>
      <c r="O181" s="44" t="s">
        <v>48</v>
      </c>
      <c r="P181" s="49">
        <v>0.1</v>
      </c>
      <c r="Q181" s="50"/>
      <c r="R181" s="50"/>
      <c r="S181" s="45" t="s">
        <v>108</v>
      </c>
      <c r="T181" s="24" t="s">
        <v>720</v>
      </c>
      <c r="U181" s="9" t="s">
        <v>180</v>
      </c>
      <c r="V181" s="51" t="str">
        <f t="shared" si="3"/>
        <v>Ativo</v>
      </c>
      <c r="W181" s="45"/>
      <c r="X181" s="52" t="s">
        <v>110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>
        <v>0.0</v>
      </c>
      <c r="AM181" s="54">
        <v>0.0</v>
      </c>
      <c r="AN181" s="54">
        <v>0.0</v>
      </c>
      <c r="AO181" s="54">
        <v>0.0</v>
      </c>
      <c r="AP181" s="53">
        <v>0.0</v>
      </c>
      <c r="AQ181" s="53">
        <v>0.0</v>
      </c>
      <c r="AR181" s="53">
        <v>0.0</v>
      </c>
      <c r="AS181" s="53">
        <v>0.0</v>
      </c>
      <c r="AT181" s="53">
        <v>0.0</v>
      </c>
      <c r="AU181" s="53" t="str">
        <f t="array" ref="AU181">XLOOKUP(C181,'PL TOTAL D0'!A:A,'PL TOTAL D0'!C:C,"")</f>
        <v/>
      </c>
    </row>
    <row r="182" ht="15.75" customHeight="1">
      <c r="A182" s="41" t="s">
        <v>43</v>
      </c>
      <c r="B182" s="42" t="s">
        <v>721</v>
      </c>
      <c r="C182" s="43" t="s">
        <v>722</v>
      </c>
      <c r="D182" s="44" t="s">
        <v>105</v>
      </c>
      <c r="E182" s="45" t="s">
        <v>29</v>
      </c>
      <c r="F182" s="44" t="s">
        <v>106</v>
      </c>
      <c r="G182" s="44" t="str">
        <f t="shared" si="1"/>
        <v>Augusto</v>
      </c>
      <c r="H182" s="46" t="s">
        <v>107</v>
      </c>
      <c r="I182" s="46" t="s">
        <v>24</v>
      </c>
      <c r="J182" s="44" t="str">
        <f t="shared" si="5"/>
        <v>Sim</v>
      </c>
      <c r="K182" s="47">
        <v>45145.0</v>
      </c>
      <c r="L182" s="62"/>
      <c r="M182" s="24" t="s">
        <v>723</v>
      </c>
      <c r="N182" s="48">
        <v>0.014</v>
      </c>
      <c r="O182" s="44" t="s">
        <v>48</v>
      </c>
      <c r="P182" s="49">
        <v>0.2</v>
      </c>
      <c r="Q182" s="60" t="s">
        <v>724</v>
      </c>
      <c r="R182" s="50"/>
      <c r="S182" s="45" t="s">
        <v>108</v>
      </c>
      <c r="T182" s="24" t="s">
        <v>725</v>
      </c>
      <c r="U182" s="9" t="s">
        <v>29</v>
      </c>
      <c r="V182" s="51" t="str">
        <f t="shared" si="3"/>
        <v>Ativo</v>
      </c>
      <c r="W182" s="45"/>
      <c r="X182" s="52" t="s">
        <v>110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>
        <v>255749.46</v>
      </c>
      <c r="AK182" s="54">
        <v>209381.88</v>
      </c>
      <c r="AL182" s="54">
        <v>215286.59</v>
      </c>
      <c r="AM182" s="54">
        <v>224844.95</v>
      </c>
      <c r="AN182" s="54">
        <v>227630.38</v>
      </c>
      <c r="AO182" s="54">
        <v>227458.26</v>
      </c>
      <c r="AP182" s="53">
        <v>234568.96</v>
      </c>
      <c r="AQ182" s="53">
        <v>205870.37</v>
      </c>
      <c r="AR182" s="53">
        <v>205542.55</v>
      </c>
      <c r="AS182" s="53">
        <v>208999.7</v>
      </c>
      <c r="AT182" s="53">
        <v>214466.4</v>
      </c>
      <c r="AU182" s="53">
        <f t="array" ref="AU182">XLOOKUP(C182,'PL TOTAL D0'!A:A,'PL TOTAL D0'!C:C,"")</f>
        <v>216119.8</v>
      </c>
    </row>
    <row r="183" ht="15.75" customHeight="1">
      <c r="A183" s="41" t="s">
        <v>43</v>
      </c>
      <c r="B183" s="126" t="s">
        <v>726</v>
      </c>
      <c r="C183" s="71" t="s">
        <v>727</v>
      </c>
      <c r="D183" s="44" t="s">
        <v>18</v>
      </c>
      <c r="E183" s="45" t="s">
        <v>19</v>
      </c>
      <c r="F183" s="44" t="s">
        <v>122</v>
      </c>
      <c r="G183" s="44" t="str">
        <f t="shared" si="1"/>
        <v>Augusto</v>
      </c>
      <c r="H183" s="46" t="s">
        <v>107</v>
      </c>
      <c r="I183" s="46" t="s">
        <v>24</v>
      </c>
      <c r="J183" s="44" t="str">
        <f t="shared" si="5"/>
        <v>Sim</v>
      </c>
      <c r="K183" s="47">
        <v>45217.0</v>
      </c>
      <c r="L183" s="62"/>
      <c r="M183" s="45" t="s">
        <v>55</v>
      </c>
      <c r="N183" s="48">
        <v>0.012</v>
      </c>
      <c r="O183" s="44" t="s">
        <v>24</v>
      </c>
      <c r="P183" s="49">
        <v>0.0</v>
      </c>
      <c r="Q183" s="15" t="s">
        <v>728</v>
      </c>
      <c r="R183" s="50"/>
      <c r="S183" s="45" t="s">
        <v>108</v>
      </c>
      <c r="T183" s="24" t="s">
        <v>729</v>
      </c>
      <c r="U183" s="9" t="s">
        <v>19</v>
      </c>
      <c r="V183" s="51" t="str">
        <f t="shared" si="3"/>
        <v>Ativo</v>
      </c>
      <c r="W183" s="45"/>
      <c r="X183" s="52" t="s">
        <v>119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>
        <v>105231.89</v>
      </c>
      <c r="AM183" s="54">
        <v>106174.67</v>
      </c>
      <c r="AN183" s="54">
        <v>107005.83</v>
      </c>
      <c r="AO183" s="54">
        <v>127908.6</v>
      </c>
      <c r="AP183" s="53">
        <v>128815.46</v>
      </c>
      <c r="AQ183" s="53">
        <v>176404.8</v>
      </c>
      <c r="AR183" s="53">
        <v>177438.57</v>
      </c>
      <c r="AS183" s="53">
        <v>178726.7</v>
      </c>
      <c r="AT183" s="53">
        <v>179781.7</v>
      </c>
      <c r="AU183" s="53">
        <f t="array" ref="AU183">XLOOKUP(C183,'PL TOTAL D0'!A:A,'PL TOTAL D0'!C:C,"")</f>
        <v>190476.4</v>
      </c>
    </row>
    <row r="184" ht="15.75" customHeight="1">
      <c r="A184" s="41" t="s">
        <v>43</v>
      </c>
      <c r="B184" s="136" t="s">
        <v>730</v>
      </c>
      <c r="C184" s="137" t="s">
        <v>731</v>
      </c>
      <c r="D184" s="9" t="s">
        <v>18</v>
      </c>
      <c r="E184" s="24" t="s">
        <v>19</v>
      </c>
      <c r="F184" s="44" t="s">
        <v>122</v>
      </c>
      <c r="G184" s="44" t="str">
        <f t="shared" si="1"/>
        <v>Augusto</v>
      </c>
      <c r="H184" s="51" t="s">
        <v>123</v>
      </c>
      <c r="I184" s="51" t="s">
        <v>24</v>
      </c>
      <c r="J184" s="44" t="str">
        <f t="shared" si="5"/>
        <v>Não</v>
      </c>
      <c r="K184" s="57">
        <v>45462.0</v>
      </c>
      <c r="L184" s="62"/>
      <c r="M184" s="24" t="s">
        <v>55</v>
      </c>
      <c r="N184" s="58">
        <v>0.012</v>
      </c>
      <c r="O184" s="9" t="s">
        <v>24</v>
      </c>
      <c r="P184" s="59">
        <v>0.0</v>
      </c>
      <c r="Q184" s="15"/>
      <c r="R184" s="50"/>
      <c r="S184" s="24" t="s">
        <v>108</v>
      </c>
      <c r="T184" s="24" t="s">
        <v>732</v>
      </c>
      <c r="U184" s="9" t="s">
        <v>19</v>
      </c>
      <c r="V184" s="51" t="str">
        <f t="shared" si="3"/>
        <v>Ativo</v>
      </c>
      <c r="W184" s="24" t="s">
        <v>75</v>
      </c>
      <c r="X184" s="52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3"/>
      <c r="AQ184" s="53"/>
      <c r="AR184" s="53"/>
      <c r="AS184" s="53"/>
      <c r="AT184" s="53">
        <v>341552.3</v>
      </c>
      <c r="AU184" s="53">
        <f t="array" ref="AU184">XLOOKUP(C184,'PL TOTAL D0'!A:A,'PL TOTAL D0'!C:C,"")</f>
        <v>345094.3</v>
      </c>
    </row>
    <row r="185" ht="15.75" customHeight="1">
      <c r="A185" s="41" t="s">
        <v>43</v>
      </c>
      <c r="B185" s="61" t="s">
        <v>733</v>
      </c>
      <c r="C185" s="43" t="s">
        <v>734</v>
      </c>
      <c r="D185" s="44" t="s">
        <v>105</v>
      </c>
      <c r="E185" s="45" t="s">
        <v>29</v>
      </c>
      <c r="F185" s="44" t="s">
        <v>209</v>
      </c>
      <c r="G185" s="44" t="str">
        <f t="shared" si="1"/>
        <v>Augusto</v>
      </c>
      <c r="H185" s="46" t="s">
        <v>107</v>
      </c>
      <c r="I185" s="46" t="s">
        <v>24</v>
      </c>
      <c r="J185" s="44" t="str">
        <f t="shared" si="5"/>
        <v>Não</v>
      </c>
      <c r="K185" s="47">
        <v>45002.0</v>
      </c>
      <c r="L185" s="45"/>
      <c r="M185" s="45" t="s">
        <v>55</v>
      </c>
      <c r="N185" s="48">
        <v>0.012</v>
      </c>
      <c r="O185" s="44" t="s">
        <v>24</v>
      </c>
      <c r="P185" s="49">
        <v>0.0</v>
      </c>
      <c r="Q185" s="50"/>
      <c r="R185" s="50"/>
      <c r="S185" s="45" t="s">
        <v>108</v>
      </c>
      <c r="T185" s="24" t="s">
        <v>735</v>
      </c>
      <c r="U185" s="9" t="s">
        <v>29</v>
      </c>
      <c r="V185" s="51" t="str">
        <f t="shared" si="3"/>
        <v>Ativo</v>
      </c>
      <c r="W185" s="45"/>
      <c r="X185" s="52" t="s">
        <v>110</v>
      </c>
      <c r="Y185" s="54"/>
      <c r="Z185" s="54"/>
      <c r="AA185" s="54"/>
      <c r="AB185" s="54"/>
      <c r="AC185" s="54"/>
      <c r="AD185" s="54"/>
      <c r="AE185" s="54">
        <v>325628.19</v>
      </c>
      <c r="AF185" s="54">
        <v>328553.35</v>
      </c>
      <c r="AG185" s="54">
        <v>331938.47</v>
      </c>
      <c r="AH185" s="54">
        <v>335213.54</v>
      </c>
      <c r="AI185" s="54">
        <v>338304.64</v>
      </c>
      <c r="AJ185" s="54">
        <v>340950.0</v>
      </c>
      <c r="AK185" s="54">
        <v>342659.29</v>
      </c>
      <c r="AL185" s="54">
        <v>344570.82</v>
      </c>
      <c r="AM185" s="54">
        <v>348347.11</v>
      </c>
      <c r="AN185" s="54">
        <v>351813.62</v>
      </c>
      <c r="AO185" s="54">
        <v>354585.95</v>
      </c>
      <c r="AP185" s="53">
        <v>356355.74</v>
      </c>
      <c r="AQ185" s="53">
        <v>356098.04</v>
      </c>
      <c r="AR185" s="53">
        <v>356326.09</v>
      </c>
      <c r="AS185" s="53">
        <v>358995.3</v>
      </c>
      <c r="AT185" s="53">
        <v>361202.8</v>
      </c>
      <c r="AU185" s="53">
        <f t="array" ref="AU185">XLOOKUP(C185,'PL TOTAL D0'!A:A,'PL TOTAL D0'!C:C,"")</f>
        <v>361424</v>
      </c>
    </row>
    <row r="186" ht="15.75" customHeight="1">
      <c r="A186" s="41" t="s">
        <v>43</v>
      </c>
      <c r="B186" s="42" t="s">
        <v>736</v>
      </c>
      <c r="C186" s="43" t="s">
        <v>737</v>
      </c>
      <c r="D186" s="44" t="s">
        <v>18</v>
      </c>
      <c r="E186" s="45" t="s">
        <v>19</v>
      </c>
      <c r="F186" s="44" t="s">
        <v>122</v>
      </c>
      <c r="G186" s="44" t="str">
        <f t="shared" si="1"/>
        <v>Breno</v>
      </c>
      <c r="H186" s="46" t="s">
        <v>107</v>
      </c>
      <c r="I186" s="46" t="s">
        <v>24</v>
      </c>
      <c r="J186" s="44" t="str">
        <f t="shared" si="5"/>
        <v>Sim</v>
      </c>
      <c r="K186" s="47">
        <v>45058.0</v>
      </c>
      <c r="L186" s="45"/>
      <c r="M186" s="45" t="s">
        <v>55</v>
      </c>
      <c r="N186" s="48">
        <v>0.012</v>
      </c>
      <c r="O186" s="44" t="s">
        <v>24</v>
      </c>
      <c r="P186" s="49">
        <v>0.0</v>
      </c>
      <c r="Q186" s="60" t="s">
        <v>738</v>
      </c>
      <c r="R186" s="50"/>
      <c r="S186" s="45" t="s">
        <v>108</v>
      </c>
      <c r="T186" s="24" t="s">
        <v>739</v>
      </c>
      <c r="U186" s="9" t="s">
        <v>19</v>
      </c>
      <c r="V186" s="51" t="str">
        <f t="shared" si="3"/>
        <v>Ativo</v>
      </c>
      <c r="W186" s="45"/>
      <c r="X186" s="52" t="s">
        <v>119</v>
      </c>
      <c r="Y186" s="54"/>
      <c r="Z186" s="54"/>
      <c r="AA186" s="54"/>
      <c r="AB186" s="54"/>
      <c r="AC186" s="54"/>
      <c r="AD186" s="54"/>
      <c r="AE186" s="54"/>
      <c r="AF186" s="54">
        <v>0.0</v>
      </c>
      <c r="AG186" s="54">
        <v>70426.32</v>
      </c>
      <c r="AH186" s="54">
        <v>71091.48</v>
      </c>
      <c r="AI186" s="54">
        <v>132133.96</v>
      </c>
      <c r="AJ186" s="54">
        <v>133449.27</v>
      </c>
      <c r="AK186" s="54">
        <v>130973.02</v>
      </c>
      <c r="AL186" s="54">
        <v>132119.61</v>
      </c>
      <c r="AM186" s="54">
        <v>133068.23</v>
      </c>
      <c r="AN186" s="54">
        <v>159262.64</v>
      </c>
      <c r="AO186" s="54">
        <v>160613.1</v>
      </c>
      <c r="AP186" s="53">
        <v>726092.48</v>
      </c>
      <c r="AQ186" s="53">
        <v>892261.1</v>
      </c>
      <c r="AR186" s="53">
        <v>901416.63</v>
      </c>
      <c r="AS186" s="53">
        <v>978304.2</v>
      </c>
      <c r="AT186" s="53">
        <v>966122.9</v>
      </c>
      <c r="AU186" s="53">
        <f t="array" ref="AU186">XLOOKUP(C186,'PL TOTAL D0'!A:A,'PL TOTAL D0'!C:C,"")</f>
        <v>989018.6</v>
      </c>
    </row>
    <row r="187" ht="15.75" customHeight="1">
      <c r="A187" s="6" t="s">
        <v>43</v>
      </c>
      <c r="B187" s="55" t="s">
        <v>740</v>
      </c>
      <c r="C187" s="56" t="s">
        <v>741</v>
      </c>
      <c r="D187" s="9" t="s">
        <v>105</v>
      </c>
      <c r="E187" s="24" t="s">
        <v>29</v>
      </c>
      <c r="F187" s="9" t="s">
        <v>106</v>
      </c>
      <c r="G187" s="44" t="str">
        <f t="shared" si="1"/>
        <v>Augusto</v>
      </c>
      <c r="H187" s="51" t="s">
        <v>107</v>
      </c>
      <c r="I187" s="51" t="s">
        <v>24</v>
      </c>
      <c r="J187" s="44" t="str">
        <f t="shared" si="5"/>
        <v>Não</v>
      </c>
      <c r="K187" s="57">
        <v>45313.0</v>
      </c>
      <c r="L187" s="45"/>
      <c r="M187" s="24" t="s">
        <v>55</v>
      </c>
      <c r="N187" s="58">
        <v>0.012</v>
      </c>
      <c r="O187" s="9" t="s">
        <v>24</v>
      </c>
      <c r="P187" s="59">
        <v>0.0</v>
      </c>
      <c r="Q187" s="50"/>
      <c r="R187" s="50"/>
      <c r="S187" s="24" t="s">
        <v>108</v>
      </c>
      <c r="T187" s="24" t="s">
        <v>742</v>
      </c>
      <c r="U187" s="9" t="s">
        <v>29</v>
      </c>
      <c r="V187" s="51" t="str">
        <f t="shared" si="3"/>
        <v>Ativo</v>
      </c>
      <c r="W187" s="45"/>
      <c r="X187" s="52" t="s">
        <v>119</v>
      </c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>
        <v>0.0</v>
      </c>
      <c r="AP187" s="53">
        <v>68321.23</v>
      </c>
      <c r="AQ187" s="53">
        <v>68755.69</v>
      </c>
      <c r="AR187" s="53">
        <v>68813.76</v>
      </c>
      <c r="AS187" s="53">
        <v>69295.92</v>
      </c>
      <c r="AT187" s="53">
        <v>69426.17</v>
      </c>
      <c r="AU187" s="53">
        <f t="array" ref="AU187">XLOOKUP(C187,'PL TOTAL D0'!A:A,'PL TOTAL D0'!C:C,"")</f>
        <v>70091.27</v>
      </c>
    </row>
    <row r="188" ht="15.75" customHeight="1">
      <c r="A188" s="41" t="s">
        <v>43</v>
      </c>
      <c r="B188" s="42" t="s">
        <v>743</v>
      </c>
      <c r="C188" s="43" t="s">
        <v>744</v>
      </c>
      <c r="D188" s="44" t="s">
        <v>18</v>
      </c>
      <c r="E188" s="45" t="s">
        <v>176</v>
      </c>
      <c r="F188" s="44" t="s">
        <v>177</v>
      </c>
      <c r="G188" s="44" t="str">
        <f t="shared" si="1"/>
        <v>Augusto</v>
      </c>
      <c r="H188" s="46" t="s">
        <v>107</v>
      </c>
      <c r="I188" s="46" t="s">
        <v>24</v>
      </c>
      <c r="J188" s="44" t="str">
        <f t="shared" si="5"/>
        <v>Não</v>
      </c>
      <c r="K188" s="47">
        <v>45070.0</v>
      </c>
      <c r="L188" s="62"/>
      <c r="M188" s="45" t="s">
        <v>55</v>
      </c>
      <c r="N188" s="48">
        <v>0.012</v>
      </c>
      <c r="O188" s="44" t="s">
        <v>24</v>
      </c>
      <c r="P188" s="49">
        <v>0.0</v>
      </c>
      <c r="Q188" s="50"/>
      <c r="R188" s="50"/>
      <c r="S188" s="45" t="s">
        <v>108</v>
      </c>
      <c r="T188" s="24" t="s">
        <v>745</v>
      </c>
      <c r="U188" s="9" t="s">
        <v>180</v>
      </c>
      <c r="V188" s="51" t="str">
        <f t="shared" si="3"/>
        <v>Ativo</v>
      </c>
      <c r="W188" s="45"/>
      <c r="X188" s="52" t="s">
        <v>110</v>
      </c>
      <c r="Y188" s="54"/>
      <c r="Z188" s="54"/>
      <c r="AA188" s="54"/>
      <c r="AB188" s="54"/>
      <c r="AC188" s="54"/>
      <c r="AD188" s="54"/>
      <c r="AE188" s="54">
        <v>0.0</v>
      </c>
      <c r="AF188" s="54">
        <v>0.0</v>
      </c>
      <c r="AG188" s="54">
        <v>0.0</v>
      </c>
      <c r="AH188" s="54">
        <v>261686.4</v>
      </c>
      <c r="AI188" s="54">
        <v>274621.3</v>
      </c>
      <c r="AJ188" s="54">
        <v>274529.92</v>
      </c>
      <c r="AK188" s="54">
        <v>276109.44</v>
      </c>
      <c r="AL188" s="54">
        <v>277711.72</v>
      </c>
      <c r="AM188" s="54">
        <v>280214.84</v>
      </c>
      <c r="AN188" s="54">
        <v>282442.97</v>
      </c>
      <c r="AO188" s="54">
        <v>284758.78</v>
      </c>
      <c r="AP188" s="53">
        <v>286645.9</v>
      </c>
      <c r="AQ188" s="53">
        <v>289037.78</v>
      </c>
      <c r="AR188" s="53">
        <v>290669.88</v>
      </c>
      <c r="AS188" s="53">
        <v>289401.6</v>
      </c>
      <c r="AT188" s="53">
        <v>291383.1</v>
      </c>
      <c r="AU188" s="53">
        <f t="array" ref="AU188">XLOOKUP(C188,'PL TOTAL D0'!A:A,'PL TOTAL D0'!C:C,"")</f>
        <v>248754.7</v>
      </c>
    </row>
    <row r="189" ht="15.75" customHeight="1">
      <c r="A189" s="41" t="s">
        <v>43</v>
      </c>
      <c r="B189" s="64" t="s">
        <v>746</v>
      </c>
      <c r="C189" s="65" t="s">
        <v>747</v>
      </c>
      <c r="D189" s="44" t="s">
        <v>18</v>
      </c>
      <c r="E189" s="45" t="s">
        <v>29</v>
      </c>
      <c r="F189" s="44" t="s">
        <v>78</v>
      </c>
      <c r="G189" s="44" t="str">
        <f t="shared" si="1"/>
        <v>Augusto</v>
      </c>
      <c r="H189" s="51" t="s">
        <v>107</v>
      </c>
      <c r="I189" s="51" t="s">
        <v>24</v>
      </c>
      <c r="J189" s="44" t="str">
        <f t="shared" si="5"/>
        <v>Não</v>
      </c>
      <c r="K189" s="57">
        <v>45414.0</v>
      </c>
      <c r="L189" s="62"/>
      <c r="M189" s="24" t="s">
        <v>55</v>
      </c>
      <c r="N189" s="58">
        <v>0.01</v>
      </c>
      <c r="O189" s="9" t="s">
        <v>24</v>
      </c>
      <c r="P189" s="59">
        <v>0.0</v>
      </c>
      <c r="Q189" s="15"/>
      <c r="R189" s="50"/>
      <c r="S189" s="24" t="s">
        <v>108</v>
      </c>
      <c r="T189" s="5" t="s">
        <v>748</v>
      </c>
      <c r="U189" s="9" t="s">
        <v>29</v>
      </c>
      <c r="V189" s="51" t="str">
        <f t="shared" si="3"/>
        <v>Ativo</v>
      </c>
      <c r="W189" s="24" t="s">
        <v>75</v>
      </c>
      <c r="X189" s="52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3"/>
      <c r="AQ189" s="53"/>
      <c r="AR189" s="53"/>
      <c r="AS189" s="53">
        <v>214670.2</v>
      </c>
      <c r="AT189" s="53">
        <v>207127.1</v>
      </c>
      <c r="AU189" s="53">
        <f t="array" ref="AU189">XLOOKUP(C189,'PL TOTAL D0'!A:A,'PL TOTAL D0'!C:C,"")</f>
        <v>215931.7</v>
      </c>
    </row>
    <row r="190" ht="15.75" customHeight="1">
      <c r="A190" s="41" t="s">
        <v>43</v>
      </c>
      <c r="B190" s="42" t="s">
        <v>749</v>
      </c>
      <c r="C190" s="43" t="s">
        <v>750</v>
      </c>
      <c r="D190" s="44" t="s">
        <v>18</v>
      </c>
      <c r="E190" s="45" t="s">
        <v>29</v>
      </c>
      <c r="F190" s="44" t="s">
        <v>78</v>
      </c>
      <c r="G190" s="44" t="str">
        <f t="shared" si="1"/>
        <v>Augusto</v>
      </c>
      <c r="H190" s="46" t="s">
        <v>107</v>
      </c>
      <c r="I190" s="46" t="s">
        <v>24</v>
      </c>
      <c r="J190" s="44" t="str">
        <f t="shared" si="5"/>
        <v>Não</v>
      </c>
      <c r="K190" s="47">
        <v>45022.0</v>
      </c>
      <c r="L190" s="45"/>
      <c r="M190" s="45" t="s">
        <v>55</v>
      </c>
      <c r="N190" s="48">
        <v>0.012</v>
      </c>
      <c r="O190" s="44" t="s">
        <v>24</v>
      </c>
      <c r="P190" s="49">
        <v>0.0</v>
      </c>
      <c r="Q190" s="50"/>
      <c r="R190" s="50"/>
      <c r="S190" s="45" t="s">
        <v>108</v>
      </c>
      <c r="T190" s="24" t="s">
        <v>751</v>
      </c>
      <c r="U190" s="9" t="s">
        <v>29</v>
      </c>
      <c r="V190" s="51" t="str">
        <f t="shared" si="3"/>
        <v>Ativo</v>
      </c>
      <c r="W190" s="45"/>
      <c r="X190" s="52" t="s">
        <v>119</v>
      </c>
      <c r="Y190" s="54"/>
      <c r="Z190" s="54"/>
      <c r="AA190" s="54"/>
      <c r="AB190" s="54"/>
      <c r="AC190" s="54"/>
      <c r="AD190" s="54"/>
      <c r="AE190" s="54">
        <v>0.0</v>
      </c>
      <c r="AF190" s="54">
        <v>60384.18</v>
      </c>
      <c r="AG190" s="54">
        <v>60985.13</v>
      </c>
      <c r="AH190" s="54">
        <v>76561.17</v>
      </c>
      <c r="AI190" s="54">
        <v>77220.32</v>
      </c>
      <c r="AJ190" s="54">
        <v>86978.6</v>
      </c>
      <c r="AK190" s="54">
        <v>120755.04</v>
      </c>
      <c r="AL190" s="54">
        <v>132833.71</v>
      </c>
      <c r="AM190" s="54">
        <v>133806.56</v>
      </c>
      <c r="AN190" s="54">
        <v>134840.29</v>
      </c>
      <c r="AO190" s="54">
        <v>127079.21</v>
      </c>
      <c r="AP190" s="53">
        <v>120760.68</v>
      </c>
      <c r="AQ190" s="53">
        <v>121852.18</v>
      </c>
      <c r="AR190" s="53">
        <v>99919.25</v>
      </c>
      <c r="AS190" s="53">
        <v>100638.2</v>
      </c>
      <c r="AT190" s="53">
        <v>101391.0</v>
      </c>
      <c r="AU190" s="53">
        <f t="array" ref="AU190">XLOOKUP(C190,'PL TOTAL D0'!A:A,'PL TOTAL D0'!C:C,"")</f>
        <v>132196.8</v>
      </c>
    </row>
    <row r="191" ht="15.75" customHeight="1">
      <c r="A191" s="41" t="s">
        <v>43</v>
      </c>
      <c r="B191" s="55" t="s">
        <v>752</v>
      </c>
      <c r="C191" s="56" t="s">
        <v>753</v>
      </c>
      <c r="D191" s="9" t="s">
        <v>18</v>
      </c>
      <c r="E191" s="24" t="s">
        <v>29</v>
      </c>
      <c r="F191" s="44" t="s">
        <v>78</v>
      </c>
      <c r="G191" s="44" t="str">
        <f t="shared" si="1"/>
        <v>Augusto</v>
      </c>
      <c r="H191" s="51" t="s">
        <v>107</v>
      </c>
      <c r="I191" s="51" t="s">
        <v>161</v>
      </c>
      <c r="J191" s="44" t="str">
        <f t="shared" si="5"/>
        <v>Não</v>
      </c>
      <c r="K191" s="57">
        <v>45447.0</v>
      </c>
      <c r="L191" s="45"/>
      <c r="M191" s="24" t="s">
        <v>79</v>
      </c>
      <c r="N191" s="58">
        <v>0.012</v>
      </c>
      <c r="O191" s="9" t="s">
        <v>48</v>
      </c>
      <c r="P191" s="59">
        <v>0.1</v>
      </c>
      <c r="Q191" s="50"/>
      <c r="R191" s="50"/>
      <c r="S191" s="24" t="s">
        <v>108</v>
      </c>
      <c r="T191" s="24" t="s">
        <v>751</v>
      </c>
      <c r="U191" s="9" t="s">
        <v>29</v>
      </c>
      <c r="V191" s="51" t="str">
        <f t="shared" si="3"/>
        <v>Ativo</v>
      </c>
      <c r="W191" s="24" t="s">
        <v>75</v>
      </c>
      <c r="X191" s="52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3"/>
      <c r="AQ191" s="53"/>
      <c r="AR191" s="53"/>
      <c r="AS191" s="53"/>
      <c r="AT191" s="53">
        <v>265.69</v>
      </c>
      <c r="AU191" s="53">
        <f t="array" ref="AU191">XLOOKUP(C191,'PL TOTAL D0'!A:A,'PL TOTAL D0'!C:C,"")</f>
        <v>1518.07</v>
      </c>
    </row>
    <row r="192" ht="15.75" customHeight="1">
      <c r="A192" s="41" t="s">
        <v>43</v>
      </c>
      <c r="B192" s="42" t="s">
        <v>754</v>
      </c>
      <c r="C192" s="43" t="s">
        <v>755</v>
      </c>
      <c r="D192" s="44" t="s">
        <v>18</v>
      </c>
      <c r="E192" s="45" t="s">
        <v>19</v>
      </c>
      <c r="F192" s="44" t="s">
        <v>20</v>
      </c>
      <c r="G192" s="44" t="str">
        <f t="shared" si="1"/>
        <v>Augusto</v>
      </c>
      <c r="H192" s="46" t="s">
        <v>107</v>
      </c>
      <c r="I192" s="46" t="s">
        <v>24</v>
      </c>
      <c r="J192" s="44" t="str">
        <f t="shared" si="5"/>
        <v>Não</v>
      </c>
      <c r="K192" s="47">
        <v>45166.0</v>
      </c>
      <c r="L192" s="62"/>
      <c r="M192" s="45" t="s">
        <v>55</v>
      </c>
      <c r="N192" s="48">
        <v>0.012</v>
      </c>
      <c r="O192" s="44" t="s">
        <v>24</v>
      </c>
      <c r="P192" s="49">
        <v>0.0</v>
      </c>
      <c r="Q192" s="50"/>
      <c r="R192" s="50"/>
      <c r="S192" s="45" t="s">
        <v>108</v>
      </c>
      <c r="T192" s="24" t="s">
        <v>756</v>
      </c>
      <c r="U192" s="9" t="s">
        <v>19</v>
      </c>
      <c r="V192" s="51" t="str">
        <f t="shared" si="3"/>
        <v>Ativo</v>
      </c>
      <c r="W192" s="45"/>
      <c r="X192" s="52" t="s">
        <v>119</v>
      </c>
      <c r="Y192" s="54"/>
      <c r="Z192" s="54"/>
      <c r="AA192" s="54"/>
      <c r="AB192" s="54"/>
      <c r="AC192" s="54"/>
      <c r="AD192" s="54"/>
      <c r="AE192" s="54">
        <v>0.0</v>
      </c>
      <c r="AF192" s="54">
        <v>0.0</v>
      </c>
      <c r="AG192" s="54">
        <v>0.0</v>
      </c>
      <c r="AH192" s="54">
        <v>0.0</v>
      </c>
      <c r="AI192" s="54">
        <v>0.0</v>
      </c>
      <c r="AJ192" s="54">
        <v>2001.99</v>
      </c>
      <c r="AK192" s="54">
        <v>4533.39</v>
      </c>
      <c r="AL192" s="54">
        <v>6587.54</v>
      </c>
      <c r="AM192" s="54">
        <v>8650.26</v>
      </c>
      <c r="AN192" s="54">
        <v>10718.11</v>
      </c>
      <c r="AO192" s="54">
        <v>67813.4</v>
      </c>
      <c r="AP192" s="53">
        <v>24993.26</v>
      </c>
      <c r="AQ192" s="53">
        <v>13068.91</v>
      </c>
      <c r="AR192" s="53">
        <v>12102.97</v>
      </c>
      <c r="AS192" s="53">
        <v>13185.82</v>
      </c>
      <c r="AT192" s="53">
        <v>14278.88</v>
      </c>
      <c r="AU192" s="53">
        <f t="array" ref="AU192">XLOOKUP(C192,'PL TOTAL D0'!A:A,'PL TOTAL D0'!C:C,"")</f>
        <v>14324.04</v>
      </c>
    </row>
    <row r="193" ht="15.75" customHeight="1">
      <c r="A193" s="41" t="s">
        <v>43</v>
      </c>
      <c r="B193" s="42" t="s">
        <v>757</v>
      </c>
      <c r="C193" s="43" t="s">
        <v>758</v>
      </c>
      <c r="D193" s="44" t="s">
        <v>18</v>
      </c>
      <c r="E193" s="45" t="s">
        <v>176</v>
      </c>
      <c r="F193" s="44" t="s">
        <v>177</v>
      </c>
      <c r="G193" s="44" t="str">
        <f t="shared" si="1"/>
        <v>Breno</v>
      </c>
      <c r="H193" s="46" t="s">
        <v>107</v>
      </c>
      <c r="I193" s="46" t="s">
        <v>24</v>
      </c>
      <c r="J193" s="44" t="str">
        <f t="shared" si="5"/>
        <v>Não</v>
      </c>
      <c r="K193" s="47">
        <v>44903.0</v>
      </c>
      <c r="L193" s="45"/>
      <c r="M193" s="45" t="s">
        <v>55</v>
      </c>
      <c r="N193" s="48">
        <v>0.01</v>
      </c>
      <c r="O193" s="44" t="s">
        <v>24</v>
      </c>
      <c r="P193" s="49">
        <v>0.0</v>
      </c>
      <c r="Q193" s="60"/>
      <c r="R193" s="50"/>
      <c r="S193" s="45" t="s">
        <v>108</v>
      </c>
      <c r="T193" s="24" t="s">
        <v>759</v>
      </c>
      <c r="U193" s="9" t="s">
        <v>180</v>
      </c>
      <c r="V193" s="51" t="str">
        <f t="shared" si="3"/>
        <v>Ativo</v>
      </c>
      <c r="W193" s="45"/>
      <c r="X193" s="52" t="s">
        <v>110</v>
      </c>
      <c r="Y193" s="54"/>
      <c r="Z193" s="54"/>
      <c r="AA193" s="54"/>
      <c r="AB193" s="54">
        <v>207189.28</v>
      </c>
      <c r="AC193" s="54">
        <v>209348.34</v>
      </c>
      <c r="AD193" s="54">
        <v>211048.19</v>
      </c>
      <c r="AE193" s="54">
        <v>390507.04</v>
      </c>
      <c r="AF193" s="54">
        <v>423811.97</v>
      </c>
      <c r="AG193" s="54">
        <v>427761.52</v>
      </c>
      <c r="AH193" s="54">
        <v>380658.69</v>
      </c>
      <c r="AI193" s="54">
        <v>384001.86</v>
      </c>
      <c r="AJ193" s="54">
        <v>387540.51</v>
      </c>
      <c r="AK193" s="54">
        <v>390686.95</v>
      </c>
      <c r="AL193" s="54">
        <v>394148.17</v>
      </c>
      <c r="AM193" s="54">
        <v>396886.59</v>
      </c>
      <c r="AN193" s="54">
        <v>398816.73</v>
      </c>
      <c r="AO193" s="54">
        <v>351750.97</v>
      </c>
      <c r="AP193" s="53">
        <v>354440.96</v>
      </c>
      <c r="AQ193" s="53">
        <v>525472.7</v>
      </c>
      <c r="AR193" s="53">
        <v>528979.08</v>
      </c>
      <c r="AS193" s="53">
        <v>533037.0</v>
      </c>
      <c r="AT193" s="53">
        <v>537421.8</v>
      </c>
      <c r="AU193" s="53">
        <f t="array" ref="AU193">XLOOKUP(C193,'PL TOTAL D0'!A:A,'PL TOTAL D0'!C:C,"")</f>
        <v>539225.9</v>
      </c>
    </row>
    <row r="194" ht="15.75" customHeight="1">
      <c r="A194" s="41" t="s">
        <v>43</v>
      </c>
      <c r="B194" s="42" t="s">
        <v>757</v>
      </c>
      <c r="C194" s="43" t="s">
        <v>760</v>
      </c>
      <c r="D194" s="44" t="s">
        <v>18</v>
      </c>
      <c r="E194" s="45" t="s">
        <v>176</v>
      </c>
      <c r="F194" s="44" t="s">
        <v>177</v>
      </c>
      <c r="G194" s="44" t="str">
        <f t="shared" si="1"/>
        <v>Augusto</v>
      </c>
      <c r="H194" s="46" t="s">
        <v>107</v>
      </c>
      <c r="I194" s="46" t="s">
        <v>24</v>
      </c>
      <c r="J194" s="44" t="str">
        <f t="shared" si="5"/>
        <v>Não</v>
      </c>
      <c r="K194" s="47">
        <v>45096.0</v>
      </c>
      <c r="L194" s="62"/>
      <c r="M194" s="45" t="s">
        <v>190</v>
      </c>
      <c r="N194" s="48">
        <v>0.025</v>
      </c>
      <c r="O194" s="44" t="s">
        <v>191</v>
      </c>
      <c r="P194" s="49">
        <v>0.2</v>
      </c>
      <c r="Q194" s="50"/>
      <c r="R194" s="50"/>
      <c r="S194" s="45" t="s">
        <v>108</v>
      </c>
      <c r="T194" s="24" t="s">
        <v>759</v>
      </c>
      <c r="U194" s="9" t="s">
        <v>180</v>
      </c>
      <c r="V194" s="51" t="str">
        <f t="shared" si="3"/>
        <v>Ativo</v>
      </c>
      <c r="W194" s="45"/>
      <c r="X194" s="52" t="s">
        <v>110</v>
      </c>
      <c r="Y194" s="54"/>
      <c r="Z194" s="54"/>
      <c r="AA194" s="54"/>
      <c r="AB194" s="54"/>
      <c r="AC194" s="54"/>
      <c r="AD194" s="54"/>
      <c r="AE194" s="54"/>
      <c r="AF194" s="54">
        <v>0.0</v>
      </c>
      <c r="AG194" s="54">
        <v>0.0</v>
      </c>
      <c r="AH194" s="54">
        <v>50792.07</v>
      </c>
      <c r="AI194" s="54">
        <v>53366.88</v>
      </c>
      <c r="AJ194" s="54">
        <v>51327.17</v>
      </c>
      <c r="AK194" s="54">
        <v>50313.03</v>
      </c>
      <c r="AL194" s="54">
        <v>48073.61</v>
      </c>
      <c r="AM194" s="54">
        <v>51631.52</v>
      </c>
      <c r="AN194" s="54">
        <v>54099.04</v>
      </c>
      <c r="AO194" s="54">
        <v>99689.1</v>
      </c>
      <c r="AP194" s="53">
        <v>101107.27</v>
      </c>
      <c r="AQ194" s="53">
        <v>135941.03</v>
      </c>
      <c r="AR194" s="53">
        <v>130004.14</v>
      </c>
      <c r="AS194" s="53">
        <v>125891.6</v>
      </c>
      <c r="AT194" s="53">
        <v>127327.3</v>
      </c>
      <c r="AU194" s="53">
        <f t="array" ref="AU194">XLOOKUP(C194,'PL TOTAL D0'!A:A,'PL TOTAL D0'!C:C,"")</f>
        <v>132896.2</v>
      </c>
    </row>
    <row r="195" ht="15.75" customHeight="1">
      <c r="A195" s="41" t="s">
        <v>43</v>
      </c>
      <c r="B195" s="42" t="s">
        <v>761</v>
      </c>
      <c r="C195" s="43" t="s">
        <v>762</v>
      </c>
      <c r="D195" s="44" t="s">
        <v>18</v>
      </c>
      <c r="E195" s="45" t="s">
        <v>19</v>
      </c>
      <c r="F195" s="44" t="s">
        <v>20</v>
      </c>
      <c r="G195" s="44" t="str">
        <f t="shared" si="1"/>
        <v>#N/A</v>
      </c>
      <c r="H195" s="51" t="s">
        <v>147</v>
      </c>
      <c r="I195" s="46" t="s">
        <v>219</v>
      </c>
      <c r="J195" s="44" t="str">
        <f t="shared" si="5"/>
        <v>Não</v>
      </c>
      <c r="K195" s="47">
        <v>44974.0</v>
      </c>
      <c r="L195" s="45"/>
      <c r="M195" s="45" t="s">
        <v>55</v>
      </c>
      <c r="N195" s="48">
        <v>0.012</v>
      </c>
      <c r="O195" s="44" t="s">
        <v>24</v>
      </c>
      <c r="P195" s="49">
        <v>0.0</v>
      </c>
      <c r="Q195" s="50"/>
      <c r="R195" s="50"/>
      <c r="S195" s="45" t="s">
        <v>108</v>
      </c>
      <c r="T195" s="24" t="s">
        <v>763</v>
      </c>
      <c r="U195" s="9" t="s">
        <v>19</v>
      </c>
      <c r="V195" s="51" t="str">
        <f t="shared" si="3"/>
        <v>Ativo</v>
      </c>
      <c r="W195" s="45"/>
      <c r="X195" s="52" t="s">
        <v>119</v>
      </c>
      <c r="Y195" s="54"/>
      <c r="Z195" s="54"/>
      <c r="AA195" s="54"/>
      <c r="AB195" s="54"/>
      <c r="AC195" s="54">
        <v>0.0</v>
      </c>
      <c r="AD195" s="54">
        <v>44307.74</v>
      </c>
      <c r="AE195" s="54">
        <v>87777.54</v>
      </c>
      <c r="AF195" s="54">
        <v>114376.09</v>
      </c>
      <c r="AG195" s="54">
        <v>40478.05</v>
      </c>
      <c r="AH195" s="54">
        <v>40856.76</v>
      </c>
      <c r="AI195" s="54">
        <v>41056.47</v>
      </c>
      <c r="AJ195" s="54">
        <v>0.0</v>
      </c>
      <c r="AK195" s="54">
        <v>0.0</v>
      </c>
      <c r="AL195" s="54">
        <v>0.0</v>
      </c>
      <c r="AM195" s="54">
        <v>0.0</v>
      </c>
      <c r="AN195" s="54">
        <v>0.0</v>
      </c>
      <c r="AO195" s="54">
        <v>0.0</v>
      </c>
      <c r="AP195" s="53">
        <v>0.0</v>
      </c>
      <c r="AQ195" s="53">
        <v>0.0</v>
      </c>
      <c r="AR195" s="53">
        <v>0.0</v>
      </c>
      <c r="AS195" s="53">
        <v>0.0</v>
      </c>
      <c r="AT195" s="53">
        <v>0.0</v>
      </c>
      <c r="AU195" s="53" t="str">
        <f t="array" ref="AU195">XLOOKUP(C195,'PL TOTAL D0'!A:A,'PL TOTAL D0'!C:C,"")</f>
        <v/>
      </c>
    </row>
    <row r="196" ht="15.75" customHeight="1">
      <c r="A196" s="41" t="s">
        <v>43</v>
      </c>
      <c r="B196" s="42" t="s">
        <v>764</v>
      </c>
      <c r="C196" s="43" t="s">
        <v>765</v>
      </c>
      <c r="D196" s="44" t="s">
        <v>18</v>
      </c>
      <c r="E196" s="45" t="s">
        <v>29</v>
      </c>
      <c r="F196" s="44" t="s">
        <v>128</v>
      </c>
      <c r="G196" s="44" t="str">
        <f t="shared" si="1"/>
        <v>#N/A</v>
      </c>
      <c r="H196" s="51" t="s">
        <v>147</v>
      </c>
      <c r="I196" s="51" t="s">
        <v>219</v>
      </c>
      <c r="J196" s="44" t="str">
        <f t="shared" si="5"/>
        <v>Não</v>
      </c>
      <c r="K196" s="47">
        <v>45250.0</v>
      </c>
      <c r="L196" s="45"/>
      <c r="M196" s="93" t="s">
        <v>129</v>
      </c>
      <c r="N196" s="94">
        <v>0.0</v>
      </c>
      <c r="O196" s="95" t="s">
        <v>24</v>
      </c>
      <c r="P196" s="96">
        <v>0.0</v>
      </c>
      <c r="Q196" s="50"/>
      <c r="R196" s="50"/>
      <c r="S196" s="45" t="s">
        <v>369</v>
      </c>
      <c r="T196" s="24" t="s">
        <v>766</v>
      </c>
      <c r="U196" s="9" t="s">
        <v>29</v>
      </c>
      <c r="V196" s="51" t="str">
        <f t="shared" si="3"/>
        <v>Ativo</v>
      </c>
      <c r="W196" s="45"/>
      <c r="X196" s="52" t="s">
        <v>119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>
        <v>0.0</v>
      </c>
      <c r="AN196" s="54">
        <v>4620.06</v>
      </c>
      <c r="AO196" s="54">
        <v>5662.28</v>
      </c>
      <c r="AP196" s="53">
        <v>5701.72</v>
      </c>
      <c r="AQ196" s="53">
        <v>6745.71</v>
      </c>
      <c r="AR196" s="53">
        <v>5742.55</v>
      </c>
      <c r="AS196" s="53">
        <v>0.0</v>
      </c>
      <c r="AT196" s="53">
        <v>0.29</v>
      </c>
      <c r="AU196" s="53" t="str">
        <f t="array" ref="AU196">XLOOKUP(C196,'PL TOTAL D0'!A:A,'PL TOTAL D0'!C:C,"")</f>
        <v/>
      </c>
    </row>
    <row r="197" ht="15.75" customHeight="1">
      <c r="A197" s="41" t="s">
        <v>43</v>
      </c>
      <c r="B197" s="42" t="s">
        <v>767</v>
      </c>
      <c r="C197" s="43" t="s">
        <v>768</v>
      </c>
      <c r="D197" s="44" t="s">
        <v>18</v>
      </c>
      <c r="E197" s="45" t="s">
        <v>176</v>
      </c>
      <c r="F197" s="44" t="s">
        <v>177</v>
      </c>
      <c r="G197" s="44" t="str">
        <f t="shared" si="1"/>
        <v>Breno</v>
      </c>
      <c r="H197" s="46" t="s">
        <v>107</v>
      </c>
      <c r="I197" s="46" t="s">
        <v>24</v>
      </c>
      <c r="J197" s="44" t="str">
        <f t="shared" si="5"/>
        <v>Não</v>
      </c>
      <c r="K197" s="47">
        <v>45090.0</v>
      </c>
      <c r="L197" s="62"/>
      <c r="M197" s="45" t="s">
        <v>190</v>
      </c>
      <c r="N197" s="48">
        <v>0.025</v>
      </c>
      <c r="O197" s="44" t="s">
        <v>191</v>
      </c>
      <c r="P197" s="49">
        <v>0.2</v>
      </c>
      <c r="Q197" s="50"/>
      <c r="R197" s="50"/>
      <c r="S197" s="45" t="s">
        <v>108</v>
      </c>
      <c r="T197" s="24" t="s">
        <v>769</v>
      </c>
      <c r="U197" s="9" t="s">
        <v>180</v>
      </c>
      <c r="V197" s="51" t="str">
        <f t="shared" si="3"/>
        <v>Ativo</v>
      </c>
      <c r="W197" s="45"/>
      <c r="X197" s="52" t="s">
        <v>110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>
        <v>450534.84</v>
      </c>
      <c r="AI197" s="54">
        <v>467877.68</v>
      </c>
      <c r="AJ197" s="54">
        <v>460284.09</v>
      </c>
      <c r="AK197" s="54">
        <v>447378.06</v>
      </c>
      <c r="AL197" s="54">
        <v>427783.51</v>
      </c>
      <c r="AM197" s="54">
        <v>459853.5</v>
      </c>
      <c r="AN197" s="54">
        <v>482396.67</v>
      </c>
      <c r="AO197" s="54">
        <v>448399.72</v>
      </c>
      <c r="AP197" s="53">
        <v>454500.03</v>
      </c>
      <c r="AQ197" s="53">
        <v>461792.47</v>
      </c>
      <c r="AR197" s="53">
        <v>442254.92</v>
      </c>
      <c r="AS197" s="53">
        <v>427979.6</v>
      </c>
      <c r="AT197" s="53">
        <v>428557.9</v>
      </c>
      <c r="AU197" s="53">
        <f t="array" ref="AU197">XLOOKUP(C197,'PL TOTAL D0'!A:A,'PL TOTAL D0'!C:C,"")</f>
        <v>447253.5</v>
      </c>
    </row>
    <row r="198" ht="15.75" customHeight="1">
      <c r="A198" s="41" t="s">
        <v>43</v>
      </c>
      <c r="B198" s="61" t="s">
        <v>767</v>
      </c>
      <c r="C198" s="43" t="s">
        <v>770</v>
      </c>
      <c r="D198" s="44" t="s">
        <v>18</v>
      </c>
      <c r="E198" s="45" t="s">
        <v>176</v>
      </c>
      <c r="F198" s="44" t="s">
        <v>177</v>
      </c>
      <c r="G198" s="44" t="str">
        <f t="shared" si="1"/>
        <v>Bruno</v>
      </c>
      <c r="H198" s="46" t="s">
        <v>107</v>
      </c>
      <c r="I198" s="46" t="s">
        <v>24</v>
      </c>
      <c r="J198" s="44" t="str">
        <f t="shared" si="5"/>
        <v>Não</v>
      </c>
      <c r="K198" s="47">
        <v>45063.0</v>
      </c>
      <c r="L198" s="45"/>
      <c r="M198" s="45" t="s">
        <v>55</v>
      </c>
      <c r="N198" s="48">
        <v>0.012</v>
      </c>
      <c r="O198" s="44" t="s">
        <v>24</v>
      </c>
      <c r="P198" s="49">
        <v>0.0</v>
      </c>
      <c r="Q198" s="50"/>
      <c r="R198" s="50"/>
      <c r="S198" s="45" t="s">
        <v>108</v>
      </c>
      <c r="T198" s="24" t="s">
        <v>769</v>
      </c>
      <c r="U198" s="9" t="s">
        <v>180</v>
      </c>
      <c r="V198" s="51" t="str">
        <f t="shared" si="3"/>
        <v>Ativo</v>
      </c>
      <c r="W198" s="45"/>
      <c r="X198" s="52" t="s">
        <v>110</v>
      </c>
      <c r="Y198" s="54"/>
      <c r="Z198" s="54"/>
      <c r="AA198" s="54"/>
      <c r="AB198" s="54"/>
      <c r="AC198" s="54"/>
      <c r="AD198" s="54"/>
      <c r="AE198" s="54">
        <v>0.0</v>
      </c>
      <c r="AF198" s="54">
        <v>0.0</v>
      </c>
      <c r="AG198" s="54">
        <v>4364609.29</v>
      </c>
      <c r="AH198" s="54">
        <v>4860509.32</v>
      </c>
      <c r="AI198" s="54">
        <v>4890104.61</v>
      </c>
      <c r="AJ198" s="54">
        <v>4905588.65</v>
      </c>
      <c r="AK198" s="54">
        <v>4894563.07</v>
      </c>
      <c r="AL198" s="54">
        <v>4750632.23</v>
      </c>
      <c r="AM198" s="54">
        <v>4752095.7</v>
      </c>
      <c r="AN198" s="54">
        <v>4608507.34</v>
      </c>
      <c r="AO198" s="54">
        <v>4614871.75</v>
      </c>
      <c r="AP198" s="53">
        <v>4522329.6</v>
      </c>
      <c r="AQ198" s="53">
        <v>4485768.68</v>
      </c>
      <c r="AR198" s="53">
        <v>4376939.64</v>
      </c>
      <c r="AS198" s="53">
        <v>4188476.0</v>
      </c>
      <c r="AT198" s="53">
        <v>4177797.0</v>
      </c>
      <c r="AU198" s="53">
        <f t="array" ref="AU198">XLOOKUP(C198,'PL TOTAL D0'!A:A,'PL TOTAL D0'!C:C,"")</f>
        <v>4130646</v>
      </c>
    </row>
    <row r="199" ht="15.75" customHeight="1">
      <c r="A199" s="6" t="s">
        <v>43</v>
      </c>
      <c r="B199" s="112" t="s">
        <v>771</v>
      </c>
      <c r="C199" s="113" t="s">
        <v>772</v>
      </c>
      <c r="D199" s="9" t="s">
        <v>18</v>
      </c>
      <c r="E199" s="24" t="s">
        <v>176</v>
      </c>
      <c r="F199" s="9" t="s">
        <v>197</v>
      </c>
      <c r="G199" s="44" t="str">
        <f t="shared" si="1"/>
        <v>#N/A</v>
      </c>
      <c r="H199" s="51" t="s">
        <v>147</v>
      </c>
      <c r="I199" s="51" t="s">
        <v>219</v>
      </c>
      <c r="J199" s="44" t="str">
        <f t="shared" si="5"/>
        <v>Não</v>
      </c>
      <c r="K199" s="57">
        <v>45364.0</v>
      </c>
      <c r="L199" s="45"/>
      <c r="M199" s="24" t="s">
        <v>55</v>
      </c>
      <c r="N199" s="58">
        <v>0.012</v>
      </c>
      <c r="O199" s="9" t="s">
        <v>24</v>
      </c>
      <c r="P199" s="59">
        <v>0.0</v>
      </c>
      <c r="Q199" s="50"/>
      <c r="R199" s="50"/>
      <c r="S199" s="24" t="s">
        <v>108</v>
      </c>
      <c r="T199" s="5" t="s">
        <v>773</v>
      </c>
      <c r="U199" s="9" t="s">
        <v>180</v>
      </c>
      <c r="V199" s="51" t="str">
        <f t="shared" si="3"/>
        <v>Ativo</v>
      </c>
      <c r="W199" s="45"/>
      <c r="X199" s="52" t="s">
        <v>119</v>
      </c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3"/>
      <c r="AQ199" s="53">
        <v>0.0</v>
      </c>
      <c r="AR199" s="53">
        <v>0.0</v>
      </c>
      <c r="AS199" s="53">
        <v>0.0</v>
      </c>
      <c r="AT199" s="53">
        <v>0.0</v>
      </c>
      <c r="AU199" s="53" t="str">
        <f t="array" ref="AU199">XLOOKUP(C199,'PL TOTAL D0'!A:A,'PL TOTAL D0'!C:C,"")</f>
        <v/>
      </c>
    </row>
    <row r="200" ht="15.75" customHeight="1">
      <c r="A200" s="41" t="s">
        <v>43</v>
      </c>
      <c r="B200" s="42" t="s">
        <v>774</v>
      </c>
      <c r="C200" s="43" t="s">
        <v>775</v>
      </c>
      <c r="D200" s="44" t="s">
        <v>18</v>
      </c>
      <c r="E200" s="45" t="s">
        <v>29</v>
      </c>
      <c r="F200" s="44" t="s">
        <v>60</v>
      </c>
      <c r="G200" s="44" t="str">
        <f t="shared" si="1"/>
        <v>Augusto</v>
      </c>
      <c r="H200" s="46" t="s">
        <v>107</v>
      </c>
      <c r="I200" s="46" t="s">
        <v>24</v>
      </c>
      <c r="J200" s="44" t="str">
        <f t="shared" si="5"/>
        <v>Sim</v>
      </c>
      <c r="K200" s="47">
        <v>45076.0</v>
      </c>
      <c r="L200" s="45"/>
      <c r="M200" s="45" t="s">
        <v>47</v>
      </c>
      <c r="N200" s="48">
        <v>0.012</v>
      </c>
      <c r="O200" s="44" t="s">
        <v>24</v>
      </c>
      <c r="P200" s="49">
        <v>0.0</v>
      </c>
      <c r="Q200" s="138" t="s">
        <v>776</v>
      </c>
      <c r="R200" s="139"/>
      <c r="S200" s="45" t="s">
        <v>108</v>
      </c>
      <c r="T200" s="24" t="s">
        <v>777</v>
      </c>
      <c r="U200" s="9" t="s">
        <v>29</v>
      </c>
      <c r="V200" s="51" t="str">
        <f t="shared" si="3"/>
        <v>Ativo</v>
      </c>
      <c r="W200" s="45"/>
      <c r="X200" s="52" t="s">
        <v>119</v>
      </c>
      <c r="Y200" s="54"/>
      <c r="Z200" s="54"/>
      <c r="AA200" s="54"/>
      <c r="AB200" s="54"/>
      <c r="AC200" s="54"/>
      <c r="AD200" s="54"/>
      <c r="AE200" s="54"/>
      <c r="AF200" s="54">
        <v>0.0</v>
      </c>
      <c r="AG200" s="54">
        <v>135591.54</v>
      </c>
      <c r="AH200" s="54">
        <v>143938.86</v>
      </c>
      <c r="AI200" s="54">
        <v>148311.97</v>
      </c>
      <c r="AJ200" s="54">
        <v>148733.47</v>
      </c>
      <c r="AK200" s="54">
        <v>156355.11</v>
      </c>
      <c r="AL200" s="54">
        <v>158528.26</v>
      </c>
      <c r="AM200" s="54">
        <v>164155.8</v>
      </c>
      <c r="AN200" s="54">
        <v>169284.31</v>
      </c>
      <c r="AO200" s="54">
        <v>183071.83</v>
      </c>
      <c r="AP200" s="53">
        <v>186923.97</v>
      </c>
      <c r="AQ200" s="53">
        <v>203035.19</v>
      </c>
      <c r="AR200" s="53">
        <v>204250.35</v>
      </c>
      <c r="AS200" s="53">
        <v>215428.5</v>
      </c>
      <c r="AT200" s="53">
        <v>231138.3</v>
      </c>
      <c r="AU200" s="53">
        <f t="array" ref="AU200">XLOOKUP(C200,'PL TOTAL D0'!A:A,'PL TOTAL D0'!C:C,"")</f>
        <v>235481.2</v>
      </c>
    </row>
    <row r="201" ht="15.75" customHeight="1">
      <c r="A201" s="41" t="s">
        <v>43</v>
      </c>
      <c r="B201" s="42" t="s">
        <v>778</v>
      </c>
      <c r="C201" s="43" t="s">
        <v>779</v>
      </c>
      <c r="D201" s="44" t="s">
        <v>18</v>
      </c>
      <c r="E201" s="45" t="s">
        <v>176</v>
      </c>
      <c r="F201" s="44" t="s">
        <v>177</v>
      </c>
      <c r="G201" s="44" t="str">
        <f t="shared" si="1"/>
        <v>#N/A</v>
      </c>
      <c r="H201" s="46" t="s">
        <v>186</v>
      </c>
      <c r="I201" s="46" t="s">
        <v>24</v>
      </c>
      <c r="J201" s="44" t="str">
        <f t="shared" si="5"/>
        <v>Não</v>
      </c>
      <c r="K201" s="47">
        <v>45056.0</v>
      </c>
      <c r="L201" s="62">
        <v>45061.0</v>
      </c>
      <c r="M201" s="45" t="s">
        <v>780</v>
      </c>
      <c r="N201" s="48">
        <v>0.02</v>
      </c>
      <c r="O201" s="44" t="s">
        <v>191</v>
      </c>
      <c r="P201" s="49">
        <v>0.2</v>
      </c>
      <c r="Q201" s="74"/>
      <c r="R201" s="50"/>
      <c r="S201" s="45" t="s">
        <v>108</v>
      </c>
      <c r="T201" s="24" t="s">
        <v>781</v>
      </c>
      <c r="U201" s="9" t="s">
        <v>180</v>
      </c>
      <c r="V201" s="51" t="str">
        <f t="shared" si="3"/>
        <v>Encerrado</v>
      </c>
      <c r="W201" s="45"/>
      <c r="X201" s="52"/>
      <c r="Y201" s="54"/>
      <c r="Z201" s="54"/>
      <c r="AA201" s="54"/>
      <c r="AB201" s="54"/>
      <c r="AC201" s="54"/>
      <c r="AD201" s="54"/>
      <c r="AE201" s="54">
        <v>0.0</v>
      </c>
      <c r="AF201" s="54">
        <v>0.0</v>
      </c>
      <c r="AG201" s="54">
        <v>0.0</v>
      </c>
      <c r="AH201" s="54">
        <v>0.0</v>
      </c>
      <c r="AI201" s="54">
        <v>0.0</v>
      </c>
      <c r="AJ201" s="54">
        <v>0.0</v>
      </c>
      <c r="AK201" s="54">
        <v>0.0</v>
      </c>
      <c r="AL201" s="54">
        <v>0.0</v>
      </c>
      <c r="AM201" s="54">
        <v>0.0</v>
      </c>
      <c r="AN201" s="54">
        <v>0.0</v>
      </c>
      <c r="AO201" s="54">
        <v>0.0</v>
      </c>
      <c r="AP201" s="53">
        <v>0.0</v>
      </c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43</v>
      </c>
      <c r="B202" s="61" t="s">
        <v>778</v>
      </c>
      <c r="C202" s="43" t="s">
        <v>782</v>
      </c>
      <c r="D202" s="44" t="s">
        <v>18</v>
      </c>
      <c r="E202" s="45" t="s">
        <v>176</v>
      </c>
      <c r="F202" s="44" t="s">
        <v>177</v>
      </c>
      <c r="G202" s="44" t="str">
        <f t="shared" si="1"/>
        <v>#N/A</v>
      </c>
      <c r="H202" s="46" t="s">
        <v>186</v>
      </c>
      <c r="I202" s="46" t="s">
        <v>24</v>
      </c>
      <c r="J202" s="44" t="str">
        <f t="shared" si="5"/>
        <v>Não</v>
      </c>
      <c r="K202" s="47">
        <v>45056.0</v>
      </c>
      <c r="L202" s="62">
        <v>45061.0</v>
      </c>
      <c r="M202" s="45" t="s">
        <v>55</v>
      </c>
      <c r="N202" s="48">
        <v>0.012</v>
      </c>
      <c r="O202" s="44" t="s">
        <v>24</v>
      </c>
      <c r="P202" s="49">
        <v>0.0</v>
      </c>
      <c r="Q202" s="74"/>
      <c r="R202" s="50"/>
      <c r="S202" s="45" t="s">
        <v>108</v>
      </c>
      <c r="T202" s="24" t="s">
        <v>781</v>
      </c>
      <c r="U202" s="9" t="s">
        <v>180</v>
      </c>
      <c r="V202" s="51" t="str">
        <f t="shared" si="3"/>
        <v>Encerrado</v>
      </c>
      <c r="W202" s="45"/>
      <c r="X202" s="52"/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42" t="s">
        <v>783</v>
      </c>
      <c r="C203" s="75" t="s">
        <v>784</v>
      </c>
      <c r="D203" s="44" t="s">
        <v>18</v>
      </c>
      <c r="E203" s="45" t="s">
        <v>19</v>
      </c>
      <c r="F203" s="44" t="s">
        <v>20</v>
      </c>
      <c r="G203" s="44" t="str">
        <f t="shared" si="1"/>
        <v>#N/A</v>
      </c>
      <c r="H203" s="51" t="s">
        <v>147</v>
      </c>
      <c r="I203" s="51" t="s">
        <v>161</v>
      </c>
      <c r="J203" s="44" t="str">
        <f t="shared" si="5"/>
        <v>Não</v>
      </c>
      <c r="K203" s="47">
        <v>45026.0</v>
      </c>
      <c r="L203" s="62"/>
      <c r="M203" s="45" t="s">
        <v>785</v>
      </c>
      <c r="N203" s="48">
        <v>0.007</v>
      </c>
      <c r="O203" s="44" t="s">
        <v>24</v>
      </c>
      <c r="P203" s="49">
        <v>0.0</v>
      </c>
      <c r="Q203" s="50"/>
      <c r="R203" s="60"/>
      <c r="S203" s="45" t="s">
        <v>108</v>
      </c>
      <c r="T203" s="24" t="s">
        <v>786</v>
      </c>
      <c r="U203" s="9" t="s">
        <v>19</v>
      </c>
      <c r="V203" s="51" t="str">
        <f t="shared" si="3"/>
        <v>Ativo</v>
      </c>
      <c r="W203" s="45"/>
      <c r="X203" s="52" t="s">
        <v>119</v>
      </c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43</v>
      </c>
      <c r="B204" s="42" t="s">
        <v>787</v>
      </c>
      <c r="C204" s="43" t="s">
        <v>788</v>
      </c>
      <c r="D204" s="44" t="s">
        <v>105</v>
      </c>
      <c r="E204" s="45" t="s">
        <v>29</v>
      </c>
      <c r="F204" s="44" t="s">
        <v>106</v>
      </c>
      <c r="G204" s="44" t="str">
        <f t="shared" si="1"/>
        <v>Bruno</v>
      </c>
      <c r="H204" s="46" t="s">
        <v>107</v>
      </c>
      <c r="I204" s="46" t="s">
        <v>24</v>
      </c>
      <c r="J204" s="44" t="str">
        <f t="shared" si="5"/>
        <v>Não</v>
      </c>
      <c r="K204" s="47">
        <v>45155.0</v>
      </c>
      <c r="L204" s="62"/>
      <c r="M204" s="45" t="s">
        <v>789</v>
      </c>
      <c r="N204" s="48">
        <v>0.007</v>
      </c>
      <c r="O204" s="44" t="s">
        <v>24</v>
      </c>
      <c r="P204" s="49">
        <v>0.0</v>
      </c>
      <c r="Q204" s="50"/>
      <c r="R204" s="50"/>
      <c r="S204" s="45" t="s">
        <v>108</v>
      </c>
      <c r="T204" s="24" t="s">
        <v>790</v>
      </c>
      <c r="U204" s="9" t="s">
        <v>791</v>
      </c>
      <c r="V204" s="51" t="str">
        <f t="shared" si="3"/>
        <v>Ativo</v>
      </c>
      <c r="W204" s="45"/>
      <c r="X204" s="52" t="s">
        <v>110</v>
      </c>
      <c r="Y204" s="54"/>
      <c r="Z204" s="54"/>
      <c r="AA204" s="54"/>
      <c r="AB204" s="54"/>
      <c r="AC204" s="54"/>
      <c r="AD204" s="54"/>
      <c r="AE204" s="54"/>
      <c r="AF204" s="54"/>
      <c r="AG204" s="54"/>
      <c r="AH204" s="54">
        <v>2314336.97</v>
      </c>
      <c r="AI204" s="54">
        <v>4028279.21</v>
      </c>
      <c r="AJ204" s="54">
        <v>4065602.47</v>
      </c>
      <c r="AK204" s="54">
        <v>4091485.08</v>
      </c>
      <c r="AL204" s="54">
        <v>4118031.41</v>
      </c>
      <c r="AM204" s="54">
        <v>4166508.15</v>
      </c>
      <c r="AN204" s="54">
        <v>4218568.46</v>
      </c>
      <c r="AO204" s="54">
        <v>4244355.2</v>
      </c>
      <c r="AP204" s="53">
        <v>4329786.19</v>
      </c>
      <c r="AQ204" s="53">
        <v>4397477.29</v>
      </c>
      <c r="AR204" s="53">
        <v>4384162.97</v>
      </c>
      <c r="AS204" s="53">
        <v>4415036.0</v>
      </c>
      <c r="AT204" s="53">
        <v>4441319.0</v>
      </c>
      <c r="AU204" s="53">
        <f t="array" ref="AU204">XLOOKUP(C204,'PL TOTAL D0'!A:A,'PL TOTAL D0'!C:C,"")</f>
        <v>4466193</v>
      </c>
    </row>
    <row r="205" ht="15.75" customHeight="1">
      <c r="A205" s="41" t="s">
        <v>43</v>
      </c>
      <c r="B205" s="42" t="s">
        <v>792</v>
      </c>
      <c r="C205" s="140" t="s">
        <v>793</v>
      </c>
      <c r="D205" s="44" t="s">
        <v>18</v>
      </c>
      <c r="E205" s="45" t="s">
        <v>19</v>
      </c>
      <c r="F205" s="44" t="s">
        <v>388</v>
      </c>
      <c r="G205" s="44" t="str">
        <f t="shared" si="1"/>
        <v>Augusto</v>
      </c>
      <c r="H205" s="51" t="s">
        <v>107</v>
      </c>
      <c r="I205" s="51" t="s">
        <v>24</v>
      </c>
      <c r="J205" s="44" t="str">
        <f t="shared" si="5"/>
        <v>Não</v>
      </c>
      <c r="K205" s="47">
        <v>45229.0</v>
      </c>
      <c r="L205" s="62"/>
      <c r="M205" s="45" t="s">
        <v>389</v>
      </c>
      <c r="N205" s="48">
        <v>0.007</v>
      </c>
      <c r="O205" s="44" t="s">
        <v>24</v>
      </c>
      <c r="P205" s="49">
        <v>0.0</v>
      </c>
      <c r="Q205" s="74"/>
      <c r="R205" s="50"/>
      <c r="S205" s="45" t="s">
        <v>369</v>
      </c>
      <c r="T205" s="24" t="s">
        <v>794</v>
      </c>
      <c r="U205" s="9" t="s">
        <v>224</v>
      </c>
      <c r="V205" s="51" t="str">
        <f t="shared" si="3"/>
        <v>Ativo</v>
      </c>
      <c r="W205" s="45"/>
      <c r="X205" s="52" t="s">
        <v>119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50256.31</v>
      </c>
      <c r="AS205" s="53">
        <v>50570.59</v>
      </c>
      <c r="AT205" s="53">
        <v>50912.08</v>
      </c>
      <c r="AU205" s="53">
        <f t="array" ref="AU205">XLOOKUP(C205,'PL TOTAL D0'!A:A,'PL TOTAL D0'!C:C,"")</f>
        <v>51097.54</v>
      </c>
    </row>
    <row r="206" ht="15.75" customHeight="1">
      <c r="A206" s="41" t="s">
        <v>43</v>
      </c>
      <c r="B206" s="42" t="s">
        <v>795</v>
      </c>
      <c r="C206" s="43" t="s">
        <v>796</v>
      </c>
      <c r="D206" s="44" t="s">
        <v>18</v>
      </c>
      <c r="E206" s="45" t="s">
        <v>19</v>
      </c>
      <c r="F206" s="44" t="s">
        <v>20</v>
      </c>
      <c r="G206" s="44" t="str">
        <f t="shared" si="1"/>
        <v>Augusto</v>
      </c>
      <c r="H206" s="46" t="s">
        <v>107</v>
      </c>
      <c r="I206" s="46" t="s">
        <v>24</v>
      </c>
      <c r="J206" s="44" t="str">
        <f t="shared" si="5"/>
        <v>Não</v>
      </c>
      <c r="K206" s="47">
        <v>44960.0</v>
      </c>
      <c r="L206" s="45"/>
      <c r="M206" s="45" t="s">
        <v>55</v>
      </c>
      <c r="N206" s="48">
        <v>0.012</v>
      </c>
      <c r="O206" s="44" t="s">
        <v>24</v>
      </c>
      <c r="P206" s="49">
        <v>0.0</v>
      </c>
      <c r="Q206" s="50"/>
      <c r="R206" s="50"/>
      <c r="S206" s="45" t="s">
        <v>369</v>
      </c>
      <c r="T206" s="24" t="s">
        <v>797</v>
      </c>
      <c r="U206" s="9" t="s">
        <v>19</v>
      </c>
      <c r="V206" s="51" t="str">
        <f t="shared" si="3"/>
        <v>Ativo</v>
      </c>
      <c r="W206" s="45"/>
      <c r="X206" s="52" t="s">
        <v>119</v>
      </c>
      <c r="Y206" s="54"/>
      <c r="Z206" s="54"/>
      <c r="AA206" s="54"/>
      <c r="AB206" s="54"/>
      <c r="AC206" s="54">
        <v>0.0</v>
      </c>
      <c r="AD206" s="54">
        <v>302348.09</v>
      </c>
      <c r="AE206" s="54">
        <v>305861.97</v>
      </c>
      <c r="AF206" s="54">
        <v>307995.71</v>
      </c>
      <c r="AG206" s="54">
        <v>311282.54</v>
      </c>
      <c r="AH206" s="54">
        <v>314326.47</v>
      </c>
      <c r="AI206" s="54">
        <v>317302.4</v>
      </c>
      <c r="AJ206" s="54">
        <v>319206.65</v>
      </c>
      <c r="AK206" s="54">
        <v>322020.41</v>
      </c>
      <c r="AL206" s="54">
        <v>324182.96</v>
      </c>
      <c r="AM206" s="54">
        <v>326595.86</v>
      </c>
      <c r="AN206" s="54">
        <v>329108.54</v>
      </c>
      <c r="AO206" s="54">
        <v>331973.66</v>
      </c>
      <c r="AP206" s="53">
        <v>332613.51</v>
      </c>
      <c r="AQ206" s="53">
        <v>334953.4</v>
      </c>
      <c r="AR206" s="53">
        <v>337469.3</v>
      </c>
      <c r="AS206" s="53">
        <v>340023.9</v>
      </c>
      <c r="AT206" s="53">
        <v>342278.1</v>
      </c>
      <c r="AU206" s="53">
        <f t="array" ref="AU206">XLOOKUP(C206,'PL TOTAL D0'!A:A,'PL TOTAL D0'!C:C,"")</f>
        <v>339766</v>
      </c>
    </row>
    <row r="207" ht="15.75" customHeight="1">
      <c r="A207" s="41" t="s">
        <v>43</v>
      </c>
      <c r="B207" s="42" t="s">
        <v>798</v>
      </c>
      <c r="C207" s="43" t="s">
        <v>799</v>
      </c>
      <c r="D207" s="44" t="s">
        <v>18</v>
      </c>
      <c r="E207" s="45" t="s">
        <v>19</v>
      </c>
      <c r="F207" s="44" t="s">
        <v>213</v>
      </c>
      <c r="G207" s="44" t="str">
        <f t="shared" si="1"/>
        <v>Breno</v>
      </c>
      <c r="H207" s="46" t="s">
        <v>107</v>
      </c>
      <c r="I207" s="46" t="s">
        <v>24</v>
      </c>
      <c r="J207" s="44" t="str">
        <f t="shared" si="5"/>
        <v>Não</v>
      </c>
      <c r="K207" s="47">
        <v>45035.0</v>
      </c>
      <c r="L207" s="45"/>
      <c r="M207" s="45" t="s">
        <v>55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108</v>
      </c>
      <c r="T207" s="24" t="s">
        <v>800</v>
      </c>
      <c r="U207" s="9" t="s">
        <v>19</v>
      </c>
      <c r="V207" s="51" t="str">
        <f t="shared" si="3"/>
        <v>Ativo</v>
      </c>
      <c r="W207" s="45"/>
      <c r="X207" s="52" t="s">
        <v>119</v>
      </c>
      <c r="Y207" s="54"/>
      <c r="Z207" s="54"/>
      <c r="AA207" s="54"/>
      <c r="AB207" s="54"/>
      <c r="AC207" s="54"/>
      <c r="AD207" s="54"/>
      <c r="AE207" s="54">
        <v>0.0</v>
      </c>
      <c r="AF207" s="54">
        <v>200493.23</v>
      </c>
      <c r="AG207" s="54">
        <v>202518.84</v>
      </c>
      <c r="AH207" s="54">
        <v>204207.46</v>
      </c>
      <c r="AI207" s="54">
        <v>205780.31</v>
      </c>
      <c r="AJ207" s="54">
        <v>207720.41</v>
      </c>
      <c r="AK207" s="54">
        <v>209354.86</v>
      </c>
      <c r="AL207" s="54">
        <v>211199.67</v>
      </c>
      <c r="AM207" s="54">
        <v>212749.25</v>
      </c>
      <c r="AN207" s="54">
        <v>214404.26</v>
      </c>
      <c r="AO207" s="54">
        <v>216335.49</v>
      </c>
      <c r="AP207" s="53">
        <v>218083.75</v>
      </c>
      <c r="AQ207" s="53">
        <v>220034.61</v>
      </c>
      <c r="AR207" s="53">
        <v>220815.25</v>
      </c>
      <c r="AS207" s="53">
        <v>503251.2</v>
      </c>
      <c r="AT207" s="53">
        <v>506923.6</v>
      </c>
      <c r="AU207" s="53">
        <f t="array" ref="AU207">XLOOKUP(C207,'PL TOTAL D0'!A:A,'PL TOTAL D0'!C:C,"")</f>
        <v>508636.8</v>
      </c>
    </row>
    <row r="208" ht="15.75" customHeight="1">
      <c r="A208" s="41" t="s">
        <v>43</v>
      </c>
      <c r="B208" s="42" t="s">
        <v>801</v>
      </c>
      <c r="C208" s="43" t="s">
        <v>802</v>
      </c>
      <c r="D208" s="44" t="s">
        <v>18</v>
      </c>
      <c r="E208" s="45" t="s">
        <v>29</v>
      </c>
      <c r="F208" s="44" t="s">
        <v>168</v>
      </c>
      <c r="G208" s="44" t="str">
        <f t="shared" si="1"/>
        <v>Breno</v>
      </c>
      <c r="H208" s="46" t="s">
        <v>107</v>
      </c>
      <c r="I208" s="46" t="s">
        <v>24</v>
      </c>
      <c r="J208" s="44" t="str">
        <f t="shared" si="5"/>
        <v>Não</v>
      </c>
      <c r="K208" s="47">
        <v>44977.0</v>
      </c>
      <c r="L208" s="45"/>
      <c r="M208" s="45" t="s">
        <v>190</v>
      </c>
      <c r="N208" s="48">
        <v>0.025</v>
      </c>
      <c r="O208" s="44" t="s">
        <v>191</v>
      </c>
      <c r="P208" s="49">
        <v>0.2</v>
      </c>
      <c r="Q208" s="50"/>
      <c r="R208" s="50"/>
      <c r="S208" s="45" t="s">
        <v>108</v>
      </c>
      <c r="T208" s="24" t="s">
        <v>803</v>
      </c>
      <c r="U208" s="9" t="s">
        <v>29</v>
      </c>
      <c r="V208" s="51" t="str">
        <f t="shared" si="3"/>
        <v>Ativo</v>
      </c>
      <c r="W208" s="45"/>
      <c r="X208" s="52" t="s">
        <v>110</v>
      </c>
      <c r="Y208" s="54"/>
      <c r="Z208" s="54"/>
      <c r="AA208" s="54"/>
      <c r="AB208" s="54"/>
      <c r="AC208" s="54">
        <v>0.0</v>
      </c>
      <c r="AD208" s="54">
        <v>0.0</v>
      </c>
      <c r="AE208" s="54">
        <v>304867.61</v>
      </c>
      <c r="AF208" s="54">
        <v>360937.54</v>
      </c>
      <c r="AG208" s="54">
        <v>566724.2</v>
      </c>
      <c r="AH208" s="54">
        <v>602522.31</v>
      </c>
      <c r="AI208" s="54">
        <v>627093.7</v>
      </c>
      <c r="AJ208" s="54">
        <v>606180.8</v>
      </c>
      <c r="AK208" s="54">
        <v>604349.54</v>
      </c>
      <c r="AL208" s="54">
        <v>578834.06</v>
      </c>
      <c r="AM208" s="54">
        <v>621068.18</v>
      </c>
      <c r="AN208" s="54">
        <v>651017.26</v>
      </c>
      <c r="AO208" s="54">
        <v>605797.83</v>
      </c>
      <c r="AP208" s="53">
        <v>614550.63</v>
      </c>
      <c r="AQ208" s="53">
        <v>625486.55</v>
      </c>
      <c r="AR208" s="53">
        <v>600575.8</v>
      </c>
      <c r="AS208" s="53">
        <v>581362.4</v>
      </c>
      <c r="AT208" s="53">
        <v>582334.3</v>
      </c>
      <c r="AU208" s="53">
        <f t="array" ref="AU208">XLOOKUP(C208,'PL TOTAL D0'!A:A,'PL TOTAL D0'!C:C,"")</f>
        <v>607637.8</v>
      </c>
    </row>
    <row r="209" ht="15.75" customHeight="1">
      <c r="A209" s="41" t="s">
        <v>43</v>
      </c>
      <c r="B209" s="42" t="s">
        <v>801</v>
      </c>
      <c r="C209" s="43" t="s">
        <v>804</v>
      </c>
      <c r="D209" s="44" t="s">
        <v>18</v>
      </c>
      <c r="E209" s="45" t="s">
        <v>29</v>
      </c>
      <c r="F209" s="44" t="s">
        <v>168</v>
      </c>
      <c r="G209" s="44" t="str">
        <f t="shared" si="1"/>
        <v>Bruno</v>
      </c>
      <c r="H209" s="46" t="s">
        <v>107</v>
      </c>
      <c r="I209" s="46" t="s">
        <v>24</v>
      </c>
      <c r="J209" s="44" t="str">
        <f t="shared" si="5"/>
        <v>Não</v>
      </c>
      <c r="K209" s="47">
        <v>44991.0</v>
      </c>
      <c r="L209" s="45"/>
      <c r="M209" s="45" t="s">
        <v>55</v>
      </c>
      <c r="N209" s="48">
        <v>0.012</v>
      </c>
      <c r="O209" s="44" t="s">
        <v>24</v>
      </c>
      <c r="P209" s="49">
        <v>0.0</v>
      </c>
      <c r="Q209" s="50"/>
      <c r="R209" s="50"/>
      <c r="S209" s="45" t="s">
        <v>108</v>
      </c>
      <c r="T209" s="24" t="s">
        <v>803</v>
      </c>
      <c r="U209" s="9" t="s">
        <v>29</v>
      </c>
      <c r="V209" s="51" t="str">
        <f t="shared" si="3"/>
        <v>Ativo</v>
      </c>
      <c r="W209" s="45"/>
      <c r="X209" s="52" t="s">
        <v>110</v>
      </c>
      <c r="Y209" s="54"/>
      <c r="Z209" s="54"/>
      <c r="AA209" s="54"/>
      <c r="AB209" s="54"/>
      <c r="AC209" s="54"/>
      <c r="AD209" s="54"/>
      <c r="AE209" s="54">
        <v>537871.72</v>
      </c>
      <c r="AF209" s="54">
        <v>2246971.91</v>
      </c>
      <c r="AG209" s="54">
        <v>2466852.75</v>
      </c>
      <c r="AH209" s="54">
        <v>2458871.91</v>
      </c>
      <c r="AI209" s="54">
        <v>2466301.64</v>
      </c>
      <c r="AJ209" s="54">
        <v>2451968.17</v>
      </c>
      <c r="AK209" s="54">
        <v>3009986.81</v>
      </c>
      <c r="AL209" s="54">
        <v>3308732.7</v>
      </c>
      <c r="AM209" s="54">
        <v>3370210.56</v>
      </c>
      <c r="AN209" s="54">
        <v>3282974.56</v>
      </c>
      <c r="AO209" s="54">
        <v>3308166.77</v>
      </c>
      <c r="AP209" s="53">
        <v>3333211.42</v>
      </c>
      <c r="AQ209" s="53">
        <v>3361260.34</v>
      </c>
      <c r="AR209" s="53">
        <v>3384627.7</v>
      </c>
      <c r="AS209" s="53">
        <v>3470249.0</v>
      </c>
      <c r="AT209" s="53">
        <v>3493595.0</v>
      </c>
      <c r="AU209" s="53">
        <f t="array" ref="AU209">XLOOKUP(C209,'PL TOTAL D0'!A:A,'PL TOTAL D0'!C:C,"")</f>
        <v>3500981</v>
      </c>
    </row>
    <row r="210" ht="15.75" customHeight="1">
      <c r="A210" s="41" t="s">
        <v>43</v>
      </c>
      <c r="B210" s="42" t="s">
        <v>801</v>
      </c>
      <c r="C210" s="43" t="s">
        <v>805</v>
      </c>
      <c r="D210" s="44" t="s">
        <v>18</v>
      </c>
      <c r="E210" s="45" t="s">
        <v>29</v>
      </c>
      <c r="F210" s="44" t="s">
        <v>168</v>
      </c>
      <c r="G210" s="44" t="str">
        <f t="shared" si="1"/>
        <v>Augusto</v>
      </c>
      <c r="H210" s="46" t="s">
        <v>107</v>
      </c>
      <c r="I210" s="46" t="s">
        <v>24</v>
      </c>
      <c r="J210" s="44" t="str">
        <f t="shared" si="5"/>
        <v>Não</v>
      </c>
      <c r="K210" s="47">
        <v>44972.0</v>
      </c>
      <c r="L210" s="45"/>
      <c r="M210" s="11" t="s">
        <v>278</v>
      </c>
      <c r="N210" s="48">
        <v>0.007</v>
      </c>
      <c r="O210" s="44" t="s">
        <v>24</v>
      </c>
      <c r="P210" s="49">
        <v>0.0</v>
      </c>
      <c r="Q210" s="50"/>
      <c r="R210" s="15" t="s">
        <v>806</v>
      </c>
      <c r="S210" s="45" t="s">
        <v>108</v>
      </c>
      <c r="T210" s="24" t="s">
        <v>803</v>
      </c>
      <c r="U210" s="9" t="s">
        <v>29</v>
      </c>
      <c r="V210" s="51" t="str">
        <f t="shared" si="3"/>
        <v>Ativo</v>
      </c>
      <c r="W210" s="45"/>
      <c r="X210" s="52" t="s">
        <v>110</v>
      </c>
      <c r="Y210" s="54"/>
      <c r="Z210" s="54"/>
      <c r="AA210" s="54"/>
      <c r="AB210" s="54"/>
      <c r="AC210" s="54">
        <v>0.0</v>
      </c>
      <c r="AD210" s="54">
        <v>1835034.42</v>
      </c>
      <c r="AE210" s="54">
        <v>2311316.92</v>
      </c>
      <c r="AF210" s="54">
        <v>571325.29</v>
      </c>
      <c r="AG210" s="54">
        <v>212181.64</v>
      </c>
      <c r="AH210" s="54">
        <v>214409.69</v>
      </c>
      <c r="AI210" s="54">
        <v>216544.32</v>
      </c>
      <c r="AJ210" s="54">
        <v>218840.55</v>
      </c>
      <c r="AK210" s="54">
        <v>220920.24</v>
      </c>
      <c r="AL210" s="54">
        <v>223089.66</v>
      </c>
      <c r="AM210" s="54">
        <v>152211.67</v>
      </c>
      <c r="AN210" s="54">
        <v>153494.05</v>
      </c>
      <c r="AO210" s="54">
        <v>154846.61</v>
      </c>
      <c r="AP210" s="53">
        <v>156012.71</v>
      </c>
      <c r="AQ210" s="53">
        <v>157321.63</v>
      </c>
      <c r="AR210" s="53">
        <v>158669.28</v>
      </c>
      <c r="AS210" s="53">
        <v>159996.1</v>
      </c>
      <c r="AT210" s="53">
        <v>161197.8</v>
      </c>
      <c r="AU210" s="53">
        <f t="array" ref="AU210">XLOOKUP(C210,'PL TOTAL D0'!A:A,'PL TOTAL D0'!C:C,"")</f>
        <v>162762.3</v>
      </c>
    </row>
    <row r="211" ht="15.75" customHeight="1">
      <c r="A211" s="41" t="s">
        <v>43</v>
      </c>
      <c r="B211" s="42" t="s">
        <v>801</v>
      </c>
      <c r="C211" s="43" t="s">
        <v>807</v>
      </c>
      <c r="D211" s="44" t="s">
        <v>18</v>
      </c>
      <c r="E211" s="45" t="s">
        <v>29</v>
      </c>
      <c r="F211" s="44" t="s">
        <v>168</v>
      </c>
      <c r="G211" s="44" t="str">
        <f t="shared" si="1"/>
        <v>Augusto</v>
      </c>
      <c r="H211" s="46" t="s">
        <v>107</v>
      </c>
      <c r="I211" s="46" t="s">
        <v>24</v>
      </c>
      <c r="J211" s="44" t="str">
        <f t="shared" si="5"/>
        <v>Não</v>
      </c>
      <c r="K211" s="47">
        <v>45022.0</v>
      </c>
      <c r="L211" s="45"/>
      <c r="M211" s="45" t="s">
        <v>808</v>
      </c>
      <c r="N211" s="48">
        <v>0.01</v>
      </c>
      <c r="O211" s="44" t="s">
        <v>809</v>
      </c>
      <c r="P211" s="49">
        <v>0.2</v>
      </c>
      <c r="Q211" s="50"/>
      <c r="R211" s="50"/>
      <c r="S211" s="45" t="s">
        <v>108</v>
      </c>
      <c r="T211" s="24" t="s">
        <v>803</v>
      </c>
      <c r="U211" s="9" t="s">
        <v>29</v>
      </c>
      <c r="V211" s="51" t="str">
        <f t="shared" si="3"/>
        <v>Ativo</v>
      </c>
      <c r="W211" s="45"/>
      <c r="X211" s="52" t="s">
        <v>110</v>
      </c>
      <c r="Y211" s="54"/>
      <c r="Z211" s="54"/>
      <c r="AA211" s="54"/>
      <c r="AB211" s="54"/>
      <c r="AC211" s="54">
        <v>0.0</v>
      </c>
      <c r="AD211" s="54">
        <v>0.0</v>
      </c>
      <c r="AE211" s="54">
        <v>37824.0</v>
      </c>
      <c r="AF211" s="54">
        <v>38658.35</v>
      </c>
      <c r="AG211" s="54">
        <v>214989.41</v>
      </c>
      <c r="AH211" s="54">
        <v>214322.39</v>
      </c>
      <c r="AI211" s="54">
        <v>218300.7</v>
      </c>
      <c r="AJ211" s="54">
        <v>224362.58</v>
      </c>
      <c r="AK211" s="54">
        <v>223020.61</v>
      </c>
      <c r="AL211" s="54">
        <v>1501.8</v>
      </c>
      <c r="AM211" s="54">
        <v>1412.42</v>
      </c>
      <c r="AN211" s="54">
        <v>1424.5</v>
      </c>
      <c r="AO211" s="54">
        <v>1437.56</v>
      </c>
      <c r="AP211" s="53">
        <v>1453.03</v>
      </c>
      <c r="AQ211" s="53">
        <v>1464.62</v>
      </c>
      <c r="AR211" s="53">
        <v>1476.93</v>
      </c>
      <c r="AS211" s="53">
        <v>1477.86</v>
      </c>
      <c r="AT211" s="53">
        <v>1489.09</v>
      </c>
      <c r="AU211" s="53">
        <f t="array" ref="AU211">XLOOKUP(C211,'PL TOTAL D0'!A:A,'PL TOTAL D0'!C:C,"")</f>
        <v>1494.68</v>
      </c>
    </row>
    <row r="212" ht="15.75" customHeight="1">
      <c r="A212" s="6" t="s">
        <v>43</v>
      </c>
      <c r="B212" s="55" t="s">
        <v>810</v>
      </c>
      <c r="C212" s="7" t="s">
        <v>811</v>
      </c>
      <c r="D212" s="9" t="s">
        <v>70</v>
      </c>
      <c r="E212" s="24" t="s">
        <v>29</v>
      </c>
      <c r="F212" s="9" t="s">
        <v>309</v>
      </c>
      <c r="G212" s="44" t="str">
        <f t="shared" si="1"/>
        <v>Bruno</v>
      </c>
      <c r="H212" s="51" t="s">
        <v>107</v>
      </c>
      <c r="I212" s="51" t="s">
        <v>24</v>
      </c>
      <c r="J212" s="44" t="str">
        <f t="shared" si="5"/>
        <v>Sim</v>
      </c>
      <c r="K212" s="57">
        <v>45345.0</v>
      </c>
      <c r="L212" s="45"/>
      <c r="M212" s="11" t="s">
        <v>55</v>
      </c>
      <c r="N212" s="12">
        <v>0.012</v>
      </c>
      <c r="O212" s="9" t="s">
        <v>24</v>
      </c>
      <c r="P212" s="59">
        <v>0.0</v>
      </c>
      <c r="Q212" s="15" t="s">
        <v>812</v>
      </c>
      <c r="R212" s="50"/>
      <c r="S212" s="24" t="s">
        <v>108</v>
      </c>
      <c r="T212" s="5" t="s">
        <v>813</v>
      </c>
      <c r="U212" s="9" t="s">
        <v>29</v>
      </c>
      <c r="V212" s="51" t="str">
        <f t="shared" si="3"/>
        <v>Ativo</v>
      </c>
      <c r="W212" s="45"/>
      <c r="X212" s="52" t="s">
        <v>110</v>
      </c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3">
        <v>1047010.15</v>
      </c>
      <c r="AQ212" s="53">
        <v>1053898.68</v>
      </c>
      <c r="AR212" s="53">
        <v>1058550.38</v>
      </c>
      <c r="AS212" s="53">
        <v>1066585.0</v>
      </c>
      <c r="AT212" s="53">
        <v>1074464.0</v>
      </c>
      <c r="AU212" s="53">
        <f t="array" ref="AU212">XLOOKUP(C212,'PL TOTAL D0'!A:A,'PL TOTAL D0'!C:C,"")</f>
        <v>1077884</v>
      </c>
    </row>
    <row r="213" ht="15.75" customHeight="1">
      <c r="A213" s="41" t="s">
        <v>43</v>
      </c>
      <c r="B213" s="42" t="s">
        <v>814</v>
      </c>
      <c r="C213" s="43" t="s">
        <v>815</v>
      </c>
      <c r="D213" s="44" t="s">
        <v>105</v>
      </c>
      <c r="E213" s="45" t="s">
        <v>29</v>
      </c>
      <c r="F213" s="44" t="s">
        <v>816</v>
      </c>
      <c r="G213" s="44" t="str">
        <f t="shared" si="1"/>
        <v>#N/A</v>
      </c>
      <c r="H213" s="46" t="s">
        <v>186</v>
      </c>
      <c r="I213" s="46" t="s">
        <v>24</v>
      </c>
      <c r="J213" s="44" t="str">
        <f t="shared" si="5"/>
        <v>Não</v>
      </c>
      <c r="K213" s="47">
        <v>45070.0</v>
      </c>
      <c r="L213" s="72">
        <v>45121.0</v>
      </c>
      <c r="M213" s="45" t="s">
        <v>47</v>
      </c>
      <c r="N213" s="48">
        <v>0.016</v>
      </c>
      <c r="O213" s="44" t="s">
        <v>48</v>
      </c>
      <c r="P213" s="49">
        <v>0.1</v>
      </c>
      <c r="Q213" s="74"/>
      <c r="R213" s="50"/>
      <c r="S213" s="45" t="s">
        <v>108</v>
      </c>
      <c r="T213" s="24" t="s">
        <v>817</v>
      </c>
      <c r="U213" s="9" t="s">
        <v>34</v>
      </c>
      <c r="V213" s="51" t="str">
        <f t="shared" si="3"/>
        <v>Encerrado</v>
      </c>
      <c r="W213" s="45"/>
      <c r="X213" s="52"/>
      <c r="Y213" s="54"/>
      <c r="Z213" s="54"/>
      <c r="AA213" s="54"/>
      <c r="AB213" s="54"/>
      <c r="AC213" s="54"/>
      <c r="AD213" s="54"/>
      <c r="AE213" s="54"/>
      <c r="AF213" s="54">
        <v>0.0</v>
      </c>
      <c r="AG213" s="54">
        <v>1404159.835</v>
      </c>
      <c r="AH213" s="54">
        <v>1410022.14</v>
      </c>
      <c r="AI213" s="54">
        <v>0.0</v>
      </c>
      <c r="AJ213" s="54">
        <v>0.0</v>
      </c>
      <c r="AK213" s="54">
        <v>0.0</v>
      </c>
      <c r="AL213" s="54">
        <v>0.0</v>
      </c>
      <c r="AM213" s="54">
        <v>0.0</v>
      </c>
      <c r="AN213" s="54">
        <v>0.0</v>
      </c>
      <c r="AO213" s="54">
        <v>0.0</v>
      </c>
      <c r="AP213" s="53">
        <v>0.0</v>
      </c>
      <c r="AQ213" s="53">
        <v>0.0</v>
      </c>
      <c r="AR213" s="53">
        <v>0.0</v>
      </c>
      <c r="AS213" s="53">
        <v>0.0</v>
      </c>
      <c r="AT213" s="53">
        <v>0.0</v>
      </c>
      <c r="AU213" s="53" t="str">
        <f t="array" ref="AU213">XLOOKUP(C213,'PL TOTAL D0'!A:A,'PL TOTAL D0'!C:C,"")</f>
        <v/>
      </c>
    </row>
    <row r="214" ht="15.75" customHeight="1">
      <c r="A214" s="41" t="s">
        <v>43</v>
      </c>
      <c r="B214" s="141" t="s">
        <v>818</v>
      </c>
      <c r="C214" s="67" t="s">
        <v>819</v>
      </c>
      <c r="D214" s="44" t="s">
        <v>18</v>
      </c>
      <c r="E214" s="45" t="s">
        <v>19</v>
      </c>
      <c r="F214" s="44" t="s">
        <v>20</v>
      </c>
      <c r="G214" s="44" t="str">
        <f t="shared" si="1"/>
        <v>#N/A</v>
      </c>
      <c r="H214" s="51" t="s">
        <v>147</v>
      </c>
      <c r="I214" s="46" t="s">
        <v>219</v>
      </c>
      <c r="J214" s="44" t="str">
        <f t="shared" si="5"/>
        <v>Não</v>
      </c>
      <c r="K214" s="47">
        <v>45204.0</v>
      </c>
      <c r="L214" s="72"/>
      <c r="M214" s="45" t="s">
        <v>55</v>
      </c>
      <c r="N214" s="48">
        <v>0.012</v>
      </c>
      <c r="O214" s="44" t="s">
        <v>24</v>
      </c>
      <c r="P214" s="49">
        <v>0.0</v>
      </c>
      <c r="Q214" s="109"/>
      <c r="R214" s="50"/>
      <c r="S214" s="45" t="s">
        <v>108</v>
      </c>
      <c r="T214" s="24" t="s">
        <v>820</v>
      </c>
      <c r="U214" s="9" t="s">
        <v>19</v>
      </c>
      <c r="V214" s="51" t="str">
        <f t="shared" si="3"/>
        <v>Ativo</v>
      </c>
      <c r="W214" s="45"/>
      <c r="X214" s="52" t="s">
        <v>119</v>
      </c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>
        <v>0.0</v>
      </c>
      <c r="AL214" s="54">
        <v>0.0</v>
      </c>
      <c r="AM214" s="54">
        <v>0.0</v>
      </c>
      <c r="AN214" s="54">
        <v>0.0</v>
      </c>
      <c r="AO214" s="54">
        <v>0.0</v>
      </c>
      <c r="AP214" s="53">
        <v>0.0</v>
      </c>
      <c r="AQ214" s="53">
        <v>0.0</v>
      </c>
      <c r="AR214" s="53">
        <v>0.0</v>
      </c>
      <c r="AS214" s="53">
        <v>0.0</v>
      </c>
      <c r="AT214" s="53">
        <v>0.0</v>
      </c>
      <c r="AU214" s="53" t="str">
        <f t="array" ref="AU214">XLOOKUP(C214,'PL TOTAL D0'!A:A,'PL TOTAL D0'!C:C,"")</f>
        <v/>
      </c>
    </row>
    <row r="215" ht="15.75" customHeight="1">
      <c r="A215" s="41" t="s">
        <v>43</v>
      </c>
      <c r="B215" s="42" t="s">
        <v>821</v>
      </c>
      <c r="C215" s="43" t="s">
        <v>822</v>
      </c>
      <c r="D215" s="44" t="s">
        <v>18</v>
      </c>
      <c r="E215" s="45" t="s">
        <v>19</v>
      </c>
      <c r="F215" s="44" t="s">
        <v>122</v>
      </c>
      <c r="G215" s="44" t="str">
        <f t="shared" si="1"/>
        <v>Augusto</v>
      </c>
      <c r="H215" s="46" t="s">
        <v>107</v>
      </c>
      <c r="I215" s="46" t="s">
        <v>24</v>
      </c>
      <c r="J215" s="44" t="str">
        <f t="shared" si="5"/>
        <v>Não</v>
      </c>
      <c r="K215" s="47">
        <v>44974.0</v>
      </c>
      <c r="L215" s="45"/>
      <c r="M215" s="45" t="s">
        <v>55</v>
      </c>
      <c r="N215" s="48">
        <v>0.01</v>
      </c>
      <c r="O215" s="44" t="s">
        <v>24</v>
      </c>
      <c r="P215" s="49">
        <v>0.0</v>
      </c>
      <c r="Q215" s="50"/>
      <c r="R215" s="50"/>
      <c r="S215" s="45" t="s">
        <v>108</v>
      </c>
      <c r="T215" s="24" t="s">
        <v>823</v>
      </c>
      <c r="U215" s="9" t="s">
        <v>19</v>
      </c>
      <c r="V215" s="51" t="str">
        <f t="shared" si="3"/>
        <v>Ativo</v>
      </c>
      <c r="W215" s="45"/>
      <c r="X215" s="52" t="s">
        <v>119</v>
      </c>
      <c r="Y215" s="54"/>
      <c r="Z215" s="54"/>
      <c r="AA215" s="54"/>
      <c r="AB215" s="54"/>
      <c r="AC215" s="54">
        <v>0.0</v>
      </c>
      <c r="AD215" s="54">
        <v>20003.03</v>
      </c>
      <c r="AE215" s="54">
        <v>20207.06</v>
      </c>
      <c r="AF215" s="54">
        <v>32783.39</v>
      </c>
      <c r="AG215" s="54">
        <v>23401.9</v>
      </c>
      <c r="AH215" s="54">
        <v>7154.16</v>
      </c>
      <c r="AI215" s="54">
        <v>7194.8</v>
      </c>
      <c r="AJ215" s="54">
        <v>32273.1</v>
      </c>
      <c r="AK215" s="54">
        <v>32552.76</v>
      </c>
      <c r="AL215" s="54">
        <v>32798.24</v>
      </c>
      <c r="AM215" s="54">
        <v>38043.74</v>
      </c>
      <c r="AN215" s="54">
        <v>36234.35</v>
      </c>
      <c r="AO215" s="54">
        <v>36560.68</v>
      </c>
      <c r="AP215" s="53">
        <v>36884.33</v>
      </c>
      <c r="AQ215" s="53">
        <v>31005.58</v>
      </c>
      <c r="AR215" s="53">
        <v>29301.19</v>
      </c>
      <c r="AS215" s="53">
        <v>29523.82</v>
      </c>
      <c r="AT215" s="53">
        <v>29752.3</v>
      </c>
      <c r="AU215" s="53">
        <f t="array" ref="AU215">XLOOKUP(C215,'PL TOTAL D0'!A:A,'PL TOTAL D0'!C:C,"")</f>
        <v>29852.14</v>
      </c>
    </row>
    <row r="216" ht="15.75" customHeight="1">
      <c r="A216" s="142" t="s">
        <v>43</v>
      </c>
      <c r="B216" s="66" t="s">
        <v>824</v>
      </c>
      <c r="C216" s="67" t="s">
        <v>825</v>
      </c>
      <c r="D216" s="143" t="s">
        <v>105</v>
      </c>
      <c r="E216" s="144" t="s">
        <v>29</v>
      </c>
      <c r="F216" s="143" t="s">
        <v>106</v>
      </c>
      <c r="G216" s="44" t="str">
        <f t="shared" si="1"/>
        <v>Augusto</v>
      </c>
      <c r="H216" s="145" t="s">
        <v>107</v>
      </c>
      <c r="I216" s="145" t="s">
        <v>24</v>
      </c>
      <c r="J216" s="44" t="str">
        <f t="shared" si="5"/>
        <v>Não</v>
      </c>
      <c r="K216" s="146">
        <v>45187.0</v>
      </c>
      <c r="L216" s="144"/>
      <c r="M216" s="144" t="s">
        <v>79</v>
      </c>
      <c r="N216" s="147">
        <v>0.01</v>
      </c>
      <c r="O216" s="143" t="s">
        <v>48</v>
      </c>
      <c r="P216" s="148">
        <v>0.1</v>
      </c>
      <c r="Q216" s="149"/>
      <c r="R216" s="149"/>
      <c r="S216" s="144" t="s">
        <v>108</v>
      </c>
      <c r="T216" s="150" t="s">
        <v>826</v>
      </c>
      <c r="U216" s="151" t="s">
        <v>29</v>
      </c>
      <c r="V216" s="51" t="str">
        <f t="shared" si="3"/>
        <v>Ativo</v>
      </c>
      <c r="W216" s="144"/>
      <c r="X216" s="152" t="s">
        <v>119</v>
      </c>
      <c r="Y216" s="153"/>
      <c r="Z216" s="153"/>
      <c r="AA216" s="153"/>
      <c r="AB216" s="153"/>
      <c r="AC216" s="153"/>
      <c r="AD216" s="153"/>
      <c r="AE216" s="153"/>
      <c r="AF216" s="153"/>
      <c r="AG216" s="153"/>
      <c r="AH216" s="153"/>
      <c r="AI216" s="153"/>
      <c r="AJ216" s="153"/>
      <c r="AK216" s="153">
        <v>0.0</v>
      </c>
      <c r="AL216" s="153">
        <v>5646.25</v>
      </c>
      <c r="AM216" s="54">
        <v>85674.41</v>
      </c>
      <c r="AN216" s="54">
        <v>86783.11</v>
      </c>
      <c r="AO216" s="54">
        <v>86552.22</v>
      </c>
      <c r="AP216" s="53">
        <v>85956.1</v>
      </c>
      <c r="AQ216" s="53">
        <v>86482.09</v>
      </c>
      <c r="AR216" s="53">
        <v>86501.88</v>
      </c>
      <c r="AS216" s="53">
        <v>86668.2</v>
      </c>
      <c r="AT216" s="53">
        <v>91146.23</v>
      </c>
      <c r="AU216" s="53">
        <f t="array" ref="AU216">XLOOKUP(C216,'PL TOTAL D0'!A:A,'PL TOTAL D0'!C:C,"")</f>
        <v>102050.3</v>
      </c>
    </row>
    <row r="217" ht="15.75" customHeight="1">
      <c r="A217" s="41" t="s">
        <v>43</v>
      </c>
      <c r="B217" s="42" t="s">
        <v>827</v>
      </c>
      <c r="C217" s="43" t="s">
        <v>828</v>
      </c>
      <c r="D217" s="44" t="s">
        <v>18</v>
      </c>
      <c r="E217" s="45" t="s">
        <v>176</v>
      </c>
      <c r="F217" s="44" t="s">
        <v>177</v>
      </c>
      <c r="G217" s="44" t="str">
        <f t="shared" si="1"/>
        <v>Augusto</v>
      </c>
      <c r="H217" s="46" t="s">
        <v>107</v>
      </c>
      <c r="I217" s="46" t="s">
        <v>24</v>
      </c>
      <c r="J217" s="44" t="str">
        <f t="shared" si="5"/>
        <v>Não</v>
      </c>
      <c r="K217" s="47">
        <v>45071.0</v>
      </c>
      <c r="L217" s="45"/>
      <c r="M217" s="45" t="s">
        <v>79</v>
      </c>
      <c r="N217" s="48">
        <v>0.012</v>
      </c>
      <c r="O217" s="44" t="s">
        <v>24</v>
      </c>
      <c r="P217" s="49">
        <v>0.0</v>
      </c>
      <c r="Q217" s="74"/>
      <c r="R217" s="60" t="s">
        <v>829</v>
      </c>
      <c r="S217" s="45" t="s">
        <v>108</v>
      </c>
      <c r="T217" s="24" t="s">
        <v>830</v>
      </c>
      <c r="U217" s="9" t="s">
        <v>180</v>
      </c>
      <c r="V217" s="51" t="str">
        <f t="shared" si="3"/>
        <v>Ativo</v>
      </c>
      <c r="W217" s="45"/>
      <c r="X217" s="52" t="s">
        <v>110</v>
      </c>
      <c r="Y217" s="54"/>
      <c r="Z217" s="54"/>
      <c r="AA217" s="54"/>
      <c r="AB217" s="54"/>
      <c r="AC217" s="54"/>
      <c r="AD217" s="54"/>
      <c r="AE217" s="54">
        <v>0.0</v>
      </c>
      <c r="AF217" s="54">
        <v>4494.36</v>
      </c>
      <c r="AG217" s="54">
        <v>9042.84</v>
      </c>
      <c r="AH217" s="54">
        <v>55803.18</v>
      </c>
      <c r="AI217" s="54">
        <v>64644.78</v>
      </c>
      <c r="AJ217" s="54">
        <v>69724.15</v>
      </c>
      <c r="AK217" s="54">
        <v>73758.13</v>
      </c>
      <c r="AL217" s="54">
        <v>78462.55</v>
      </c>
      <c r="AM217" s="54">
        <v>83672.86</v>
      </c>
      <c r="AN217" s="54">
        <v>89237.43</v>
      </c>
      <c r="AO217" s="54">
        <v>93604.02</v>
      </c>
      <c r="AP217" s="53">
        <v>98900.44</v>
      </c>
      <c r="AQ217" s="53">
        <v>104351.34</v>
      </c>
      <c r="AR217" s="53">
        <v>108888.25</v>
      </c>
      <c r="AS217" s="53">
        <v>114106.6</v>
      </c>
      <c r="AT217" s="53">
        <v>119817.4</v>
      </c>
      <c r="AU217" s="53">
        <f t="array" ref="AU217">XLOOKUP(C217,'PL TOTAL D0'!A:A,'PL TOTAL D0'!C:C,"")</f>
        <v>120894.8</v>
      </c>
    </row>
    <row r="218" ht="15.75" customHeight="1">
      <c r="A218" s="41" t="s">
        <v>43</v>
      </c>
      <c r="B218" s="61" t="s">
        <v>831</v>
      </c>
      <c r="C218" s="43" t="s">
        <v>832</v>
      </c>
      <c r="D218" s="44" t="s">
        <v>18</v>
      </c>
      <c r="E218" s="45" t="s">
        <v>176</v>
      </c>
      <c r="F218" s="44" t="s">
        <v>197</v>
      </c>
      <c r="G218" s="44" t="str">
        <f t="shared" si="1"/>
        <v>Bruno</v>
      </c>
      <c r="H218" s="46" t="s">
        <v>107</v>
      </c>
      <c r="I218" s="46" t="s">
        <v>24</v>
      </c>
      <c r="J218" s="44" t="str">
        <f t="shared" si="5"/>
        <v>Não</v>
      </c>
      <c r="K218" s="47">
        <v>45042.0</v>
      </c>
      <c r="L218" s="45"/>
      <c r="M218" s="45" t="s">
        <v>269</v>
      </c>
      <c r="N218" s="48">
        <v>0.02</v>
      </c>
      <c r="O218" s="44" t="s">
        <v>48</v>
      </c>
      <c r="P218" s="49">
        <v>0.2</v>
      </c>
      <c r="Q218" s="50"/>
      <c r="R218" s="50"/>
      <c r="S218" s="45" t="s">
        <v>108</v>
      </c>
      <c r="T218" s="24" t="s">
        <v>833</v>
      </c>
      <c r="U218" s="9" t="s">
        <v>180</v>
      </c>
      <c r="V218" s="51" t="str">
        <f t="shared" si="3"/>
        <v>Ativo</v>
      </c>
      <c r="W218" s="45"/>
      <c r="X218" s="52" t="s">
        <v>110</v>
      </c>
      <c r="Y218" s="54"/>
      <c r="Z218" s="54"/>
      <c r="AA218" s="54"/>
      <c r="AB218" s="54"/>
      <c r="AC218" s="54"/>
      <c r="AD218" s="54"/>
      <c r="AE218" s="54">
        <v>0.0</v>
      </c>
      <c r="AF218" s="54">
        <v>985211.98</v>
      </c>
      <c r="AG218" s="54">
        <v>1042177.69</v>
      </c>
      <c r="AH218" s="54">
        <v>1065696.25</v>
      </c>
      <c r="AI218" s="54">
        <v>1175708.77</v>
      </c>
      <c r="AJ218" s="54">
        <v>1162884.52</v>
      </c>
      <c r="AK218" s="54">
        <v>1164737.49</v>
      </c>
      <c r="AL218" s="54">
        <v>1148983.41</v>
      </c>
      <c r="AM218" s="54">
        <v>1187739.63</v>
      </c>
      <c r="AN218" s="54">
        <v>1101264.32</v>
      </c>
      <c r="AO218" s="54">
        <v>1063698.27</v>
      </c>
      <c r="AP218" s="53">
        <v>1068183.97</v>
      </c>
      <c r="AQ218" s="53">
        <v>1009941.62</v>
      </c>
      <c r="AR218" s="53">
        <v>991333.88</v>
      </c>
      <c r="AS218" s="53">
        <v>980816.0</v>
      </c>
      <c r="AT218" s="53">
        <v>985470.1</v>
      </c>
      <c r="AU218" s="53">
        <f t="array" ref="AU218">XLOOKUP(C218,'PL TOTAL D0'!A:A,'PL TOTAL D0'!C:C,"")</f>
        <v>1007765</v>
      </c>
    </row>
    <row r="219" ht="15.75" customHeight="1">
      <c r="A219" s="6" t="s">
        <v>43</v>
      </c>
      <c r="B219" s="154" t="s">
        <v>834</v>
      </c>
      <c r="C219" s="85" t="s">
        <v>835</v>
      </c>
      <c r="D219" s="9" t="s">
        <v>18</v>
      </c>
      <c r="E219" s="24" t="s">
        <v>29</v>
      </c>
      <c r="F219" s="9" t="s">
        <v>836</v>
      </c>
      <c r="G219" s="44" t="str">
        <f t="shared" si="1"/>
        <v>Augusto</v>
      </c>
      <c r="H219" s="51" t="s">
        <v>147</v>
      </c>
      <c r="I219" s="51" t="s">
        <v>24</v>
      </c>
      <c r="J219" s="44" t="str">
        <f t="shared" si="5"/>
        <v>Não</v>
      </c>
      <c r="K219" s="57">
        <v>45280.0</v>
      </c>
      <c r="L219" s="45"/>
      <c r="M219" s="45" t="s">
        <v>55</v>
      </c>
      <c r="N219" s="86">
        <v>2.0E-4</v>
      </c>
      <c r="O219" s="87" t="s">
        <v>24</v>
      </c>
      <c r="P219" s="88">
        <v>0.0</v>
      </c>
      <c r="Q219" s="50"/>
      <c r="R219" s="60" t="s">
        <v>837</v>
      </c>
      <c r="S219" s="24" t="s">
        <v>108</v>
      </c>
      <c r="T219" s="24" t="s">
        <v>838</v>
      </c>
      <c r="U219" s="9" t="s">
        <v>29</v>
      </c>
      <c r="V219" s="51" t="str">
        <f t="shared" si="3"/>
        <v>Ativo</v>
      </c>
      <c r="W219" s="45"/>
      <c r="X219" s="52" t="s">
        <v>119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>
        <v>91568.41</v>
      </c>
      <c r="AO219" s="54">
        <v>133744.66</v>
      </c>
      <c r="AP219" s="53">
        <v>135542.85</v>
      </c>
      <c r="AQ219" s="53">
        <v>137351.63</v>
      </c>
      <c r="AR219" s="53">
        <v>138995.12</v>
      </c>
      <c r="AS219" s="53">
        <v>140520.0</v>
      </c>
      <c r="AT219" s="53">
        <v>142110.6</v>
      </c>
      <c r="AU219" s="53">
        <f t="array" ref="AU219">XLOOKUP(C219,'PL TOTAL D0'!A:A,'PL TOTAL D0'!C:C,"")</f>
        <v>142851.7</v>
      </c>
    </row>
    <row r="220" ht="15.75" customHeight="1">
      <c r="A220" s="41" t="s">
        <v>43</v>
      </c>
      <c r="B220" s="6" t="s">
        <v>839</v>
      </c>
      <c r="C220" s="43" t="s">
        <v>840</v>
      </c>
      <c r="D220" s="44" t="s">
        <v>105</v>
      </c>
      <c r="E220" s="45" t="s">
        <v>29</v>
      </c>
      <c r="F220" s="44" t="s">
        <v>106</v>
      </c>
      <c r="G220" s="44" t="str">
        <f t="shared" si="1"/>
        <v>Breno</v>
      </c>
      <c r="H220" s="51" t="s">
        <v>107</v>
      </c>
      <c r="I220" s="51" t="s">
        <v>24</v>
      </c>
      <c r="J220" s="44" t="str">
        <f t="shared" si="5"/>
        <v>Não</v>
      </c>
      <c r="K220" s="47">
        <v>45105.0</v>
      </c>
      <c r="L220" s="62"/>
      <c r="M220" s="45" t="s">
        <v>47</v>
      </c>
      <c r="N220" s="48">
        <v>0.012</v>
      </c>
      <c r="O220" s="44" t="s">
        <v>48</v>
      </c>
      <c r="P220" s="49">
        <v>0.2</v>
      </c>
      <c r="Q220" s="74"/>
      <c r="R220" s="73" t="s">
        <v>841</v>
      </c>
      <c r="S220" s="45" t="s">
        <v>108</v>
      </c>
      <c r="T220" s="24" t="s">
        <v>842</v>
      </c>
      <c r="U220" s="9" t="s">
        <v>504</v>
      </c>
      <c r="V220" s="51" t="str">
        <f t="shared" si="3"/>
        <v>Ativo</v>
      </c>
      <c r="W220" s="45"/>
      <c r="X220" s="52" t="s">
        <v>110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>
        <v>1560140.11</v>
      </c>
      <c r="AI220" s="54">
        <v>2076597.42</v>
      </c>
      <c r="AJ220" s="54">
        <v>2078715.76</v>
      </c>
      <c r="AK220" s="54">
        <v>2077435.12</v>
      </c>
      <c r="AL220" s="54">
        <v>2065620.69</v>
      </c>
      <c r="AM220" s="54">
        <v>2086106.44</v>
      </c>
      <c r="AN220" s="54">
        <v>2108824.09</v>
      </c>
      <c r="AO220" s="54">
        <v>2093470.31</v>
      </c>
      <c r="AP220" s="53">
        <v>2089150.94</v>
      </c>
      <c r="AQ220" s="53">
        <v>863638.46</v>
      </c>
      <c r="AR220" s="53">
        <v>842995.72</v>
      </c>
      <c r="AS220" s="53">
        <v>834989.7</v>
      </c>
      <c r="AT220" s="53">
        <v>839414.8</v>
      </c>
      <c r="AU220" s="53">
        <f t="array" ref="AU220">XLOOKUP(C220,'PL TOTAL D0'!A:A,'PL TOTAL D0'!C:C,"")</f>
        <v>847516.2</v>
      </c>
    </row>
    <row r="221" ht="15.75" customHeight="1">
      <c r="A221" s="6" t="s">
        <v>43</v>
      </c>
      <c r="B221" s="6" t="s">
        <v>839</v>
      </c>
      <c r="C221" s="21" t="s">
        <v>843</v>
      </c>
      <c r="D221" s="9" t="s">
        <v>105</v>
      </c>
      <c r="E221" s="24" t="s">
        <v>29</v>
      </c>
      <c r="F221" s="44" t="s">
        <v>106</v>
      </c>
      <c r="G221" s="44" t="str">
        <f t="shared" si="1"/>
        <v>Bruno</v>
      </c>
      <c r="H221" s="51" t="s">
        <v>107</v>
      </c>
      <c r="I221" s="51" t="s">
        <v>24</v>
      </c>
      <c r="J221" s="44" t="str">
        <f t="shared" si="5"/>
        <v>Não</v>
      </c>
      <c r="K221" s="57">
        <v>45365.0</v>
      </c>
      <c r="L221" s="62"/>
      <c r="M221" s="24" t="s">
        <v>79</v>
      </c>
      <c r="N221" s="58">
        <v>0.014</v>
      </c>
      <c r="O221" s="9" t="s">
        <v>48</v>
      </c>
      <c r="P221" s="59">
        <v>0.1</v>
      </c>
      <c r="Q221" s="74"/>
      <c r="R221" s="73" t="s">
        <v>841</v>
      </c>
      <c r="S221" s="24" t="s">
        <v>108</v>
      </c>
      <c r="T221" s="23" t="s">
        <v>842</v>
      </c>
      <c r="U221" s="9" t="s">
        <v>504</v>
      </c>
      <c r="V221" s="51" t="str">
        <f t="shared" si="3"/>
        <v>Ativo</v>
      </c>
      <c r="W221" s="45"/>
      <c r="X221" s="52" t="s">
        <v>110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3"/>
      <c r="AQ221" s="53">
        <v>1239870.15</v>
      </c>
      <c r="AR221" s="53">
        <v>1241516.29</v>
      </c>
      <c r="AS221" s="53">
        <v>1228909.0</v>
      </c>
      <c r="AT221" s="53">
        <v>1218631.0</v>
      </c>
      <c r="AU221" s="53">
        <f t="array" ref="AU221">XLOOKUP(C221,'PL TOTAL D0'!A:A,'PL TOTAL D0'!C:C,"")</f>
        <v>1233160</v>
      </c>
    </row>
    <row r="222" ht="15.75" customHeight="1">
      <c r="A222" s="41" t="s">
        <v>43</v>
      </c>
      <c r="B222" s="42" t="s">
        <v>844</v>
      </c>
      <c r="C222" s="43" t="s">
        <v>845</v>
      </c>
      <c r="D222" s="44" t="s">
        <v>18</v>
      </c>
      <c r="E222" s="45" t="s">
        <v>34</v>
      </c>
      <c r="F222" s="45" t="s">
        <v>574</v>
      </c>
      <c r="G222" s="44" t="str">
        <f t="shared" si="1"/>
        <v>Augusto</v>
      </c>
      <c r="H222" s="46" t="s">
        <v>107</v>
      </c>
      <c r="I222" s="46" t="s">
        <v>24</v>
      </c>
      <c r="J222" s="44" t="str">
        <f t="shared" si="5"/>
        <v>Não</v>
      </c>
      <c r="K222" s="47">
        <v>45166.0</v>
      </c>
      <c r="L222" s="45"/>
      <c r="M222" s="45" t="s">
        <v>47</v>
      </c>
      <c r="N222" s="48">
        <v>0.015</v>
      </c>
      <c r="O222" s="44" t="s">
        <v>48</v>
      </c>
      <c r="P222" s="49">
        <v>0.1</v>
      </c>
      <c r="Q222" s="50"/>
      <c r="R222" s="50"/>
      <c r="S222" s="45" t="s">
        <v>108</v>
      </c>
      <c r="T222" s="24" t="s">
        <v>846</v>
      </c>
      <c r="U222" s="9" t="s">
        <v>29</v>
      </c>
      <c r="V222" s="51" t="str">
        <f t="shared" si="3"/>
        <v>Ativo</v>
      </c>
      <c r="W222" s="45"/>
      <c r="X222" s="52" t="s">
        <v>119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>
        <v>49881.29</v>
      </c>
      <c r="AK222" s="54">
        <v>50235.48</v>
      </c>
      <c r="AL222" s="54">
        <v>50213.72</v>
      </c>
      <c r="AM222" s="54">
        <v>56319.69</v>
      </c>
      <c r="AN222" s="54">
        <v>57332.02</v>
      </c>
      <c r="AO222" s="54">
        <v>56651.28</v>
      </c>
      <c r="AP222" s="53">
        <v>62158.75</v>
      </c>
      <c r="AQ222" s="53">
        <v>62837.01</v>
      </c>
      <c r="AR222" s="53">
        <v>62339.2</v>
      </c>
      <c r="AS222" s="53">
        <v>67298.56</v>
      </c>
      <c r="AT222" s="53">
        <v>67668.23</v>
      </c>
      <c r="AU222" s="53">
        <f t="array" ref="AU222">XLOOKUP(C222,'PL TOTAL D0'!A:A,'PL TOTAL D0'!C:C,"")</f>
        <v>74501.55</v>
      </c>
    </row>
    <row r="223" ht="13.5" customHeight="1">
      <c r="A223" s="41" t="s">
        <v>43</v>
      </c>
      <c r="B223" s="42" t="s">
        <v>847</v>
      </c>
      <c r="C223" s="43" t="s">
        <v>848</v>
      </c>
      <c r="D223" s="44" t="s">
        <v>105</v>
      </c>
      <c r="E223" s="45" t="s">
        <v>29</v>
      </c>
      <c r="F223" s="44" t="s">
        <v>849</v>
      </c>
      <c r="G223" s="44" t="str">
        <f t="shared" si="1"/>
        <v>Breno</v>
      </c>
      <c r="H223" s="46" t="s">
        <v>107</v>
      </c>
      <c r="I223" s="46" t="s">
        <v>24</v>
      </c>
      <c r="J223" s="44" t="str">
        <f t="shared" si="5"/>
        <v>Não</v>
      </c>
      <c r="K223" s="47">
        <v>44879.0</v>
      </c>
      <c r="L223" s="45"/>
      <c r="M223" s="45" t="s">
        <v>55</v>
      </c>
      <c r="N223" s="48">
        <v>0.01</v>
      </c>
      <c r="O223" s="44" t="s">
        <v>24</v>
      </c>
      <c r="P223" s="49">
        <v>0.0</v>
      </c>
      <c r="Q223" s="50"/>
      <c r="R223" s="50"/>
      <c r="S223" s="45" t="s">
        <v>108</v>
      </c>
      <c r="T223" s="24" t="s">
        <v>850</v>
      </c>
      <c r="U223" s="9" t="s">
        <v>29</v>
      </c>
      <c r="V223" s="51" t="str">
        <f t="shared" si="3"/>
        <v>Ativo</v>
      </c>
      <c r="W223" s="45"/>
      <c r="X223" s="52" t="s">
        <v>119</v>
      </c>
      <c r="Y223" s="54"/>
      <c r="Z223" s="54"/>
      <c r="AA223" s="54"/>
      <c r="AB223" s="54">
        <v>10136.48</v>
      </c>
      <c r="AC223" s="54">
        <v>335914.5</v>
      </c>
      <c r="AD223" s="54">
        <v>374246.97</v>
      </c>
      <c r="AE223" s="54">
        <v>497306.27</v>
      </c>
      <c r="AF223" s="54">
        <v>563290.94</v>
      </c>
      <c r="AG223" s="54">
        <v>615707.8</v>
      </c>
      <c r="AH223" s="54">
        <v>620316.84</v>
      </c>
      <c r="AI223" s="54">
        <v>625662.88</v>
      </c>
      <c r="AJ223" s="54">
        <v>631821.54</v>
      </c>
      <c r="AK223" s="54">
        <v>635773.95</v>
      </c>
      <c r="AL223" s="54">
        <v>675574.55</v>
      </c>
      <c r="AM223" s="54">
        <v>679688.24</v>
      </c>
      <c r="AN223" s="54">
        <v>684973.02</v>
      </c>
      <c r="AO223" s="54">
        <v>690693.97</v>
      </c>
      <c r="AP223" s="53">
        <v>695825.83</v>
      </c>
      <c r="AQ223" s="53">
        <v>697736.76</v>
      </c>
      <c r="AR223" s="53">
        <v>702259.73</v>
      </c>
      <c r="AS223" s="53">
        <v>707620.8</v>
      </c>
      <c r="AT223" s="53">
        <v>721077.1</v>
      </c>
      <c r="AU223" s="53">
        <f t="array" ref="AU223">XLOOKUP(C223,'PL TOTAL D0'!A:A,'PL TOTAL D0'!C:C,"")</f>
        <v>723209.1</v>
      </c>
    </row>
    <row r="224" ht="13.5" customHeight="1">
      <c r="A224" s="6" t="s">
        <v>43</v>
      </c>
      <c r="B224" s="55" t="s">
        <v>851</v>
      </c>
      <c r="C224" s="7" t="s">
        <v>852</v>
      </c>
      <c r="D224" s="9" t="s">
        <v>18</v>
      </c>
      <c r="E224" s="24" t="s">
        <v>19</v>
      </c>
      <c r="F224" s="9" t="s">
        <v>20</v>
      </c>
      <c r="G224" s="44" t="str">
        <f t="shared" si="1"/>
        <v>Augusto</v>
      </c>
      <c r="H224" s="51" t="s">
        <v>107</v>
      </c>
      <c r="I224" s="51" t="s">
        <v>24</v>
      </c>
      <c r="J224" s="44" t="str">
        <f t="shared" si="5"/>
        <v>Não</v>
      </c>
      <c r="K224" s="57">
        <v>45331.0</v>
      </c>
      <c r="L224" s="45"/>
      <c r="M224" s="24" t="s">
        <v>55</v>
      </c>
      <c r="N224" s="58">
        <v>0.012</v>
      </c>
      <c r="O224" s="9" t="s">
        <v>24</v>
      </c>
      <c r="P224" s="59">
        <v>0.0</v>
      </c>
      <c r="Q224" s="50"/>
      <c r="R224" s="50"/>
      <c r="S224" s="24" t="s">
        <v>369</v>
      </c>
      <c r="T224" s="5" t="s">
        <v>853</v>
      </c>
      <c r="U224" s="9" t="s">
        <v>19</v>
      </c>
      <c r="V224" s="51" t="str">
        <f t="shared" si="3"/>
        <v>Ativo</v>
      </c>
      <c r="W224" s="24"/>
      <c r="X224" s="52" t="s">
        <v>119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3">
        <v>0.0</v>
      </c>
      <c r="AQ224" s="53">
        <v>50397.13</v>
      </c>
      <c r="AR224" s="53">
        <v>50833.68</v>
      </c>
      <c r="AS224" s="53">
        <v>51234.96</v>
      </c>
      <c r="AT224" s="53">
        <v>51665.89</v>
      </c>
      <c r="AU224" s="53">
        <f t="array" ref="AU224">XLOOKUP(C224,'PL TOTAL D0'!A:A,'PL TOTAL D0'!C:C,"")</f>
        <v>51842.34</v>
      </c>
    </row>
    <row r="225">
      <c r="A225" s="41" t="s">
        <v>43</v>
      </c>
      <c r="B225" s="79" t="s">
        <v>854</v>
      </c>
      <c r="C225" s="155" t="s">
        <v>855</v>
      </c>
      <c r="D225" s="44" t="s">
        <v>18</v>
      </c>
      <c r="E225" s="45" t="s">
        <v>176</v>
      </c>
      <c r="F225" s="93" t="s">
        <v>197</v>
      </c>
      <c r="G225" s="44" t="str">
        <f t="shared" si="1"/>
        <v>#N/A</v>
      </c>
      <c r="H225" s="51" t="s">
        <v>147</v>
      </c>
      <c r="I225" s="46" t="s">
        <v>219</v>
      </c>
      <c r="J225" s="44" t="str">
        <f t="shared" si="5"/>
        <v>Não</v>
      </c>
      <c r="K225" s="47">
        <v>45222.0</v>
      </c>
      <c r="L225" s="45"/>
      <c r="M225" s="45" t="s">
        <v>129</v>
      </c>
      <c r="N225" s="48">
        <v>0.0</v>
      </c>
      <c r="O225" s="44" t="s">
        <v>24</v>
      </c>
      <c r="P225" s="49">
        <v>0.0</v>
      </c>
      <c r="Q225" s="50"/>
      <c r="R225" s="50"/>
      <c r="S225" s="45" t="s">
        <v>108</v>
      </c>
      <c r="T225" s="24" t="s">
        <v>856</v>
      </c>
      <c r="U225" s="9" t="s">
        <v>180</v>
      </c>
      <c r="V225" s="51" t="str">
        <f t="shared" si="3"/>
        <v>Ativo</v>
      </c>
      <c r="W225" s="45"/>
      <c r="X225" s="52" t="s">
        <v>110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>
        <v>0.0</v>
      </c>
      <c r="AM225" s="54">
        <v>0.0</v>
      </c>
      <c r="AN225" s="54">
        <v>0.0</v>
      </c>
      <c r="AO225" s="54">
        <v>0.0</v>
      </c>
      <c r="AP225" s="53">
        <v>0.0</v>
      </c>
      <c r="AQ225" s="53">
        <v>0.0</v>
      </c>
      <c r="AR225" s="53">
        <v>0.0</v>
      </c>
      <c r="AS225" s="53">
        <v>0.0</v>
      </c>
      <c r="AT225" s="53">
        <v>0.0</v>
      </c>
      <c r="AU225" s="53" t="str">
        <f t="array" ref="AU225">XLOOKUP(C225,'PL TOTAL D0'!A:A,'PL TOTAL D0'!C:C,"")</f>
        <v/>
      </c>
    </row>
    <row r="226" ht="13.5" customHeight="1">
      <c r="A226" s="41" t="s">
        <v>43</v>
      </c>
      <c r="B226" s="66" t="s">
        <v>857</v>
      </c>
      <c r="C226" s="67" t="s">
        <v>858</v>
      </c>
      <c r="D226" s="44" t="s">
        <v>105</v>
      </c>
      <c r="E226" s="45" t="s">
        <v>29</v>
      </c>
      <c r="F226" s="44" t="s">
        <v>412</v>
      </c>
      <c r="G226" s="44" t="str">
        <f t="shared" si="1"/>
        <v>Bruno</v>
      </c>
      <c r="H226" s="46" t="s">
        <v>107</v>
      </c>
      <c r="I226" s="46" t="s">
        <v>24</v>
      </c>
      <c r="J226" s="44" t="str">
        <f t="shared" si="5"/>
        <v>Sim</v>
      </c>
      <c r="K226" s="47">
        <v>45174.0</v>
      </c>
      <c r="L226" s="45"/>
      <c r="M226" s="45" t="s">
        <v>55</v>
      </c>
      <c r="N226" s="48">
        <v>0.0085</v>
      </c>
      <c r="O226" s="44" t="s">
        <v>24</v>
      </c>
      <c r="P226" s="49">
        <v>0.0</v>
      </c>
      <c r="Q226" s="60" t="s">
        <v>859</v>
      </c>
      <c r="R226" s="50"/>
      <c r="S226" s="45" t="s">
        <v>108</v>
      </c>
      <c r="T226" s="24" t="s">
        <v>860</v>
      </c>
      <c r="U226" s="9" t="s">
        <v>34</v>
      </c>
      <c r="V226" s="51" t="str">
        <f t="shared" si="3"/>
        <v>Ativo</v>
      </c>
      <c r="W226" s="45"/>
      <c r="X226" s="52" t="s">
        <v>110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>
        <v>1008072.0</v>
      </c>
      <c r="AK226" s="54">
        <v>1015617.95</v>
      </c>
      <c r="AL226" s="54">
        <v>1024973.2</v>
      </c>
      <c r="AM226" s="54">
        <v>1032706.95</v>
      </c>
      <c r="AN226" s="54">
        <v>1040938.18</v>
      </c>
      <c r="AO226" s="54">
        <v>1050466.33</v>
      </c>
      <c r="AP226" s="53">
        <v>1656050.13</v>
      </c>
      <c r="AQ226" s="53">
        <v>1639208.17</v>
      </c>
      <c r="AR226" s="53">
        <v>1649756.35</v>
      </c>
      <c r="AS226" s="53">
        <v>1672059.0</v>
      </c>
      <c r="AT226" s="53">
        <v>1688895.0</v>
      </c>
      <c r="AU226" s="53">
        <f t="array" ref="AU226">XLOOKUP(C226,'PL TOTAL D0'!A:A,'PL TOTAL D0'!C:C,"")</f>
        <v>1701218</v>
      </c>
    </row>
    <row r="227" ht="13.5" customHeight="1">
      <c r="A227" s="41" t="s">
        <v>43</v>
      </c>
      <c r="B227" s="156" t="s">
        <v>861</v>
      </c>
      <c r="C227" s="67" t="s">
        <v>862</v>
      </c>
      <c r="D227" s="44" t="s">
        <v>18</v>
      </c>
      <c r="E227" s="45" t="s">
        <v>29</v>
      </c>
      <c r="F227" s="93" t="s">
        <v>447</v>
      </c>
      <c r="G227" s="44" t="str">
        <f t="shared" si="1"/>
        <v>Augusto</v>
      </c>
      <c r="H227" s="46" t="s">
        <v>107</v>
      </c>
      <c r="I227" s="46" t="s">
        <v>24</v>
      </c>
      <c r="J227" s="44" t="str">
        <f t="shared" si="5"/>
        <v>Sim</v>
      </c>
      <c r="K227" s="47">
        <v>45201.0</v>
      </c>
      <c r="L227" s="45"/>
      <c r="M227" s="45" t="s">
        <v>55</v>
      </c>
      <c r="N227" s="48">
        <v>0.012</v>
      </c>
      <c r="O227" s="44" t="s">
        <v>24</v>
      </c>
      <c r="P227" s="49">
        <v>0.0</v>
      </c>
      <c r="Q227" s="109" t="s">
        <v>863</v>
      </c>
      <c r="R227" s="50"/>
      <c r="S227" s="45" t="s">
        <v>108</v>
      </c>
      <c r="T227" s="24" t="s">
        <v>864</v>
      </c>
      <c r="U227" s="9" t="s">
        <v>29</v>
      </c>
      <c r="V227" s="51" t="str">
        <f t="shared" si="3"/>
        <v>Ativo</v>
      </c>
      <c r="W227" s="45"/>
      <c r="X227" s="52" t="s">
        <v>119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>
        <v>20000.0</v>
      </c>
      <c r="AL227" s="54">
        <v>40282.69</v>
      </c>
      <c r="AM227" s="54">
        <v>40601.32</v>
      </c>
      <c r="AN227" s="54">
        <v>40928.0</v>
      </c>
      <c r="AO227" s="54">
        <v>35241.03</v>
      </c>
      <c r="AP227" s="53">
        <v>35524.28</v>
      </c>
      <c r="AQ227" s="53">
        <v>35820.13</v>
      </c>
      <c r="AR227" s="53">
        <v>36122.49</v>
      </c>
      <c r="AS227" s="53">
        <v>36409.23</v>
      </c>
      <c r="AT227" s="53">
        <v>36693.51</v>
      </c>
      <c r="AU227" s="53">
        <f t="array" ref="AU227">XLOOKUP(C227,'PL TOTAL D0'!A:A,'PL TOTAL D0'!C:C,"")</f>
        <v>36812.26</v>
      </c>
    </row>
    <row r="228" ht="13.5" customHeight="1">
      <c r="A228" s="6" t="s">
        <v>43</v>
      </c>
      <c r="B228" s="6" t="s">
        <v>865</v>
      </c>
      <c r="C228" s="21" t="s">
        <v>866</v>
      </c>
      <c r="D228" s="9" t="s">
        <v>18</v>
      </c>
      <c r="E228" s="24" t="s">
        <v>19</v>
      </c>
      <c r="F228" s="9" t="s">
        <v>867</v>
      </c>
      <c r="G228" s="44" t="str">
        <f t="shared" si="1"/>
        <v>Augusto</v>
      </c>
      <c r="H228" s="51" t="s">
        <v>107</v>
      </c>
      <c r="I228" s="51" t="s">
        <v>24</v>
      </c>
      <c r="J228" s="44" t="str">
        <f t="shared" si="5"/>
        <v>Não</v>
      </c>
      <c r="K228" s="57">
        <v>45373.0</v>
      </c>
      <c r="L228" s="45"/>
      <c r="M228" s="24" t="s">
        <v>55</v>
      </c>
      <c r="N228" s="58">
        <v>0.012</v>
      </c>
      <c r="O228" s="9" t="s">
        <v>24</v>
      </c>
      <c r="P228" s="59">
        <v>0.0</v>
      </c>
      <c r="Q228" s="109"/>
      <c r="R228" s="50"/>
      <c r="S228" s="24" t="s">
        <v>108</v>
      </c>
      <c r="T228" s="23" t="s">
        <v>868</v>
      </c>
      <c r="U228" s="9" t="s">
        <v>19</v>
      </c>
      <c r="V228" s="51" t="str">
        <f t="shared" si="3"/>
        <v>Ativo</v>
      </c>
      <c r="W228" s="45"/>
      <c r="X228" s="52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3"/>
      <c r="AQ228" s="53">
        <v>50061.93</v>
      </c>
      <c r="AR228" s="53">
        <v>50477.13</v>
      </c>
      <c r="AS228" s="53">
        <v>50892.79</v>
      </c>
      <c r="AT228" s="53">
        <v>50309.87</v>
      </c>
      <c r="AU228" s="53">
        <f t="array" ref="AU228">XLOOKUP(C228,'PL TOTAL D0'!A:A,'PL TOTAL D0'!C:C,"")</f>
        <v>50465.08</v>
      </c>
    </row>
    <row r="229" ht="15.75" customHeight="1">
      <c r="A229" s="41" t="s">
        <v>43</v>
      </c>
      <c r="B229" s="42" t="s">
        <v>869</v>
      </c>
      <c r="C229" s="43" t="s">
        <v>870</v>
      </c>
      <c r="D229" s="44" t="s">
        <v>18</v>
      </c>
      <c r="E229" s="45" t="s">
        <v>19</v>
      </c>
      <c r="F229" s="44" t="s">
        <v>20</v>
      </c>
      <c r="G229" s="44" t="str">
        <f t="shared" si="1"/>
        <v>Augusto</v>
      </c>
      <c r="H229" s="51" t="s">
        <v>147</v>
      </c>
      <c r="I229" s="51" t="s">
        <v>693</v>
      </c>
      <c r="J229" s="44" t="str">
        <f t="shared" si="5"/>
        <v>Não</v>
      </c>
      <c r="K229" s="47">
        <v>45033.0</v>
      </c>
      <c r="L229" s="45"/>
      <c r="M229" s="45" t="s">
        <v>55</v>
      </c>
      <c r="N229" s="48">
        <v>0.012</v>
      </c>
      <c r="O229" s="44" t="s">
        <v>24</v>
      </c>
      <c r="P229" s="49">
        <v>0.0</v>
      </c>
      <c r="Q229" s="139"/>
      <c r="R229" s="60" t="s">
        <v>871</v>
      </c>
      <c r="S229" s="45" t="s">
        <v>108</v>
      </c>
      <c r="T229" s="24" t="s">
        <v>872</v>
      </c>
      <c r="U229" s="9" t="s">
        <v>873</v>
      </c>
      <c r="V229" s="51" t="str">
        <f t="shared" si="3"/>
        <v>Ativo</v>
      </c>
      <c r="W229" s="45"/>
      <c r="X229" s="52" t="s">
        <v>119</v>
      </c>
      <c r="Y229" s="54"/>
      <c r="Z229" s="54"/>
      <c r="AA229" s="54"/>
      <c r="AB229" s="54"/>
      <c r="AC229" s="54"/>
      <c r="AD229" s="54"/>
      <c r="AE229" s="54">
        <v>0.0</v>
      </c>
      <c r="AF229" s="54">
        <v>46179.63</v>
      </c>
      <c r="AG229" s="54">
        <v>80855.08</v>
      </c>
      <c r="AH229" s="54">
        <v>81626.89</v>
      </c>
      <c r="AI229" s="54">
        <v>119621.4</v>
      </c>
      <c r="AJ229" s="54">
        <v>120539.62</v>
      </c>
      <c r="AK229" s="54">
        <v>120449.7</v>
      </c>
      <c r="AL229" s="54">
        <v>121096.23</v>
      </c>
      <c r="AM229" s="54">
        <v>125570.61</v>
      </c>
      <c r="AN229" s="54">
        <v>126552.32</v>
      </c>
      <c r="AO229" s="54">
        <v>127514.13</v>
      </c>
      <c r="AP229" s="53">
        <v>128381.85</v>
      </c>
      <c r="AQ229" s="53">
        <v>144284.8</v>
      </c>
      <c r="AR229" s="53">
        <v>102445.67</v>
      </c>
      <c r="AS229" s="53">
        <v>103185.0</v>
      </c>
      <c r="AT229" s="53">
        <v>104081.9</v>
      </c>
      <c r="AU229" s="53">
        <f t="array" ref="AU229">XLOOKUP(C229,'PL TOTAL D0'!A:A,'PL TOTAL D0'!C:C,"")</f>
        <v>104337.3</v>
      </c>
    </row>
    <row r="230" ht="15.75" customHeight="1">
      <c r="A230" s="41" t="s">
        <v>43</v>
      </c>
      <c r="B230" s="115" t="s">
        <v>874</v>
      </c>
      <c r="C230" s="43" t="s">
        <v>875</v>
      </c>
      <c r="D230" s="44" t="s">
        <v>18</v>
      </c>
      <c r="E230" s="45" t="s">
        <v>19</v>
      </c>
      <c r="F230" s="44" t="s">
        <v>213</v>
      </c>
      <c r="G230" s="44" t="str">
        <f t="shared" si="1"/>
        <v>Augusto</v>
      </c>
      <c r="H230" s="46" t="s">
        <v>107</v>
      </c>
      <c r="I230" s="46" t="s">
        <v>24</v>
      </c>
      <c r="J230" s="44" t="str">
        <f t="shared" si="5"/>
        <v>Não</v>
      </c>
      <c r="K230" s="47">
        <v>45156.0</v>
      </c>
      <c r="L230" s="45"/>
      <c r="M230" s="45" t="s">
        <v>55</v>
      </c>
      <c r="N230" s="48">
        <v>0.012</v>
      </c>
      <c r="O230" s="44" t="s">
        <v>24</v>
      </c>
      <c r="P230" s="49">
        <v>0.0</v>
      </c>
      <c r="Q230" s="139"/>
      <c r="R230" s="139"/>
      <c r="S230" s="45" t="s">
        <v>108</v>
      </c>
      <c r="T230" s="24" t="s">
        <v>876</v>
      </c>
      <c r="U230" s="9" t="s">
        <v>19</v>
      </c>
      <c r="V230" s="51" t="str">
        <f t="shared" si="3"/>
        <v>Ativo</v>
      </c>
      <c r="W230" s="45"/>
      <c r="X230" s="52" t="s">
        <v>119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>
        <v>0.0</v>
      </c>
      <c r="AJ230" s="54">
        <v>149636.09</v>
      </c>
      <c r="AK230" s="54">
        <v>150952.89</v>
      </c>
      <c r="AL230" s="54">
        <v>232166.14</v>
      </c>
      <c r="AM230" s="54">
        <v>233935.6</v>
      </c>
      <c r="AN230" s="54">
        <v>228169.1</v>
      </c>
      <c r="AO230" s="54">
        <v>226107.48</v>
      </c>
      <c r="AP230" s="53">
        <v>228001.65</v>
      </c>
      <c r="AQ230" s="53">
        <v>229850.74</v>
      </c>
      <c r="AR230" s="53">
        <v>231564.76</v>
      </c>
      <c r="AS230" s="53">
        <v>233164.3</v>
      </c>
      <c r="AT230" s="53">
        <v>234974.7</v>
      </c>
      <c r="AU230" s="53">
        <f t="array" ref="AU230">XLOOKUP(C230,'PL TOTAL D0'!A:A,'PL TOTAL D0'!C:C,"")</f>
        <v>235701.9</v>
      </c>
    </row>
    <row r="231" ht="15.75" customHeight="1">
      <c r="A231" s="41" t="s">
        <v>43</v>
      </c>
      <c r="B231" s="97" t="s">
        <v>877</v>
      </c>
      <c r="C231" s="157" t="s">
        <v>878</v>
      </c>
      <c r="D231" s="44" t="s">
        <v>18</v>
      </c>
      <c r="E231" s="45" t="s">
        <v>29</v>
      </c>
      <c r="F231" s="44" t="s">
        <v>294</v>
      </c>
      <c r="G231" s="44" t="str">
        <f t="shared" si="1"/>
        <v>Breno</v>
      </c>
      <c r="H231" s="46" t="s">
        <v>107</v>
      </c>
      <c r="I231" s="46" t="s">
        <v>24</v>
      </c>
      <c r="J231" s="44" t="str">
        <f t="shared" si="5"/>
        <v>Não</v>
      </c>
      <c r="K231" s="47">
        <v>45244.0</v>
      </c>
      <c r="L231" s="45"/>
      <c r="M231" s="45" t="s">
        <v>55</v>
      </c>
      <c r="N231" s="94">
        <v>0.01</v>
      </c>
      <c r="O231" s="95" t="s">
        <v>24</v>
      </c>
      <c r="P231" s="96">
        <v>0.0</v>
      </c>
      <c r="Q231" s="139"/>
      <c r="R231" s="139"/>
      <c r="S231" s="45" t="s">
        <v>108</v>
      </c>
      <c r="T231" s="24" t="s">
        <v>879</v>
      </c>
      <c r="U231" s="9" t="s">
        <v>29</v>
      </c>
      <c r="V231" s="51" t="str">
        <f t="shared" si="3"/>
        <v>Ativo</v>
      </c>
      <c r="W231" s="45"/>
      <c r="X231" s="52" t="s">
        <v>119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>
        <v>501584.96</v>
      </c>
      <c r="AN231" s="54">
        <v>506734.82</v>
      </c>
      <c r="AO231" s="54">
        <v>584099.36</v>
      </c>
      <c r="AP231" s="53">
        <v>589656.67</v>
      </c>
      <c r="AQ231" s="53">
        <v>594327.36</v>
      </c>
      <c r="AR231" s="53">
        <v>597388.77</v>
      </c>
      <c r="AS231" s="53">
        <v>753544.4</v>
      </c>
      <c r="AT231" s="53">
        <v>760617.8</v>
      </c>
      <c r="AU231" s="53">
        <f t="array" ref="AU231">XLOOKUP(C231,'PL TOTAL D0'!A:A,'PL TOTAL D0'!C:C,"")</f>
        <v>763657</v>
      </c>
    </row>
    <row r="232" ht="15.75" customHeight="1">
      <c r="A232" s="41" t="s">
        <v>43</v>
      </c>
      <c r="B232" s="61" t="s">
        <v>880</v>
      </c>
      <c r="C232" s="43" t="s">
        <v>881</v>
      </c>
      <c r="D232" s="44" t="s">
        <v>18</v>
      </c>
      <c r="E232" s="45" t="s">
        <v>29</v>
      </c>
      <c r="F232" s="45" t="s">
        <v>168</v>
      </c>
      <c r="G232" s="44" t="str">
        <f t="shared" si="1"/>
        <v>Breno</v>
      </c>
      <c r="H232" s="46" t="s">
        <v>107</v>
      </c>
      <c r="I232" s="46" t="s">
        <v>24</v>
      </c>
      <c r="J232" s="44" t="str">
        <f t="shared" si="5"/>
        <v>Não</v>
      </c>
      <c r="K232" s="47">
        <v>44998.0</v>
      </c>
      <c r="L232" s="45"/>
      <c r="M232" s="45" t="s">
        <v>55</v>
      </c>
      <c r="N232" s="48">
        <v>0.012</v>
      </c>
      <c r="O232" s="44" t="s">
        <v>24</v>
      </c>
      <c r="P232" s="49">
        <v>0.0</v>
      </c>
      <c r="Q232" s="50"/>
      <c r="R232" s="50"/>
      <c r="S232" s="45" t="s">
        <v>108</v>
      </c>
      <c r="T232" s="24" t="s">
        <v>882</v>
      </c>
      <c r="U232" s="9" t="s">
        <v>29</v>
      </c>
      <c r="V232" s="51" t="str">
        <f t="shared" si="3"/>
        <v>Ativo</v>
      </c>
      <c r="W232" s="45"/>
      <c r="X232" s="52" t="s">
        <v>119</v>
      </c>
      <c r="Y232" s="54"/>
      <c r="Z232" s="54"/>
      <c r="AA232" s="54"/>
      <c r="AB232" s="54"/>
      <c r="AC232" s="54"/>
      <c r="AD232" s="54"/>
      <c r="AE232" s="54"/>
      <c r="AF232" s="54">
        <v>510841.58</v>
      </c>
      <c r="AG232" s="54">
        <v>515470.43</v>
      </c>
      <c r="AH232" s="54">
        <v>520486.64</v>
      </c>
      <c r="AI232" s="54">
        <v>524784.14</v>
      </c>
      <c r="AJ232" s="54">
        <v>529994.43</v>
      </c>
      <c r="AK232" s="54">
        <v>533367.24</v>
      </c>
      <c r="AL232" s="54">
        <v>537439.0</v>
      </c>
      <c r="AM232" s="54">
        <v>541742.34</v>
      </c>
      <c r="AN232" s="54">
        <v>546100.61</v>
      </c>
      <c r="AO232" s="54">
        <v>550935.38</v>
      </c>
      <c r="AP232" s="53">
        <v>555141.12</v>
      </c>
      <c r="AQ232" s="53">
        <v>555199.17</v>
      </c>
      <c r="AR232" s="53">
        <v>559656.02</v>
      </c>
      <c r="AS232" s="53">
        <v>563600.9</v>
      </c>
      <c r="AT232" s="53">
        <v>567745.5</v>
      </c>
      <c r="AU232" s="53">
        <f t="array" ref="AU232">XLOOKUP(C232,'PL TOTAL D0'!A:A,'PL TOTAL D0'!C:C,"")</f>
        <v>568910.2</v>
      </c>
    </row>
    <row r="233" ht="15.75" customHeight="1">
      <c r="A233" s="41" t="s">
        <v>43</v>
      </c>
      <c r="B233" s="115" t="s">
        <v>883</v>
      </c>
      <c r="C233" s="56" t="s">
        <v>884</v>
      </c>
      <c r="D233" s="9" t="s">
        <v>18</v>
      </c>
      <c r="E233" s="24" t="s">
        <v>29</v>
      </c>
      <c r="F233" s="24" t="s">
        <v>60</v>
      </c>
      <c r="G233" s="44" t="str">
        <f t="shared" si="1"/>
        <v>#N/A</v>
      </c>
      <c r="H233" s="51" t="s">
        <v>123</v>
      </c>
      <c r="I233" s="51" t="s">
        <v>161</v>
      </c>
      <c r="J233" s="44" t="str">
        <f t="shared" si="5"/>
        <v>Não</v>
      </c>
      <c r="K233" s="57">
        <v>45447.0</v>
      </c>
      <c r="L233" s="45"/>
      <c r="M233" s="24" t="s">
        <v>55</v>
      </c>
      <c r="N233" s="58">
        <v>0.007</v>
      </c>
      <c r="O233" s="9" t="s">
        <v>24</v>
      </c>
      <c r="P233" s="59">
        <v>0.0</v>
      </c>
      <c r="Q233" s="50"/>
      <c r="R233" s="50"/>
      <c r="S233" s="24" t="s">
        <v>108</v>
      </c>
      <c r="T233" s="24" t="s">
        <v>885</v>
      </c>
      <c r="U233" s="9" t="s">
        <v>29</v>
      </c>
      <c r="V233" s="51" t="str">
        <f t="shared" si="3"/>
        <v>Ativo</v>
      </c>
      <c r="W233" s="24" t="s">
        <v>75</v>
      </c>
      <c r="X233" s="52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3"/>
      <c r="AQ233" s="53"/>
      <c r="AR233" s="53"/>
      <c r="AS233" s="53"/>
      <c r="AT233" s="53">
        <v>0.0</v>
      </c>
      <c r="AU233" s="53" t="str">
        <f t="array" ref="AU233">XLOOKUP(C233,'PL TOTAL D0'!A:A,'PL TOTAL D0'!C:C,"")</f>
        <v/>
      </c>
    </row>
    <row r="234" ht="15.75" customHeight="1">
      <c r="A234" s="41" t="s">
        <v>43</v>
      </c>
      <c r="B234" s="61" t="s">
        <v>886</v>
      </c>
      <c r="C234" s="43" t="s">
        <v>887</v>
      </c>
      <c r="D234" s="44" t="s">
        <v>18</v>
      </c>
      <c r="E234" s="45" t="s">
        <v>29</v>
      </c>
      <c r="F234" s="45" t="s">
        <v>836</v>
      </c>
      <c r="G234" s="44" t="str">
        <f t="shared" si="1"/>
        <v>#N/A</v>
      </c>
      <c r="H234" s="51" t="s">
        <v>186</v>
      </c>
      <c r="I234" s="46" t="s">
        <v>24</v>
      </c>
      <c r="J234" s="44" t="str">
        <f t="shared" si="5"/>
        <v>Não</v>
      </c>
      <c r="K234" s="47">
        <v>45121.0</v>
      </c>
      <c r="L234" s="82">
        <v>45449.0</v>
      </c>
      <c r="M234" s="45" t="s">
        <v>55</v>
      </c>
      <c r="N234" s="48">
        <v>0.007</v>
      </c>
      <c r="O234" s="44" t="s">
        <v>24</v>
      </c>
      <c r="P234" s="49">
        <v>0.0</v>
      </c>
      <c r="Q234" s="60"/>
      <c r="R234" s="50"/>
      <c r="S234" s="45" t="s">
        <v>108</v>
      </c>
      <c r="T234" s="24" t="s">
        <v>888</v>
      </c>
      <c r="U234" s="9" t="s">
        <v>29</v>
      </c>
      <c r="V234" s="51" t="str">
        <f t="shared" si="3"/>
        <v>Encerrado</v>
      </c>
      <c r="W234" s="45"/>
      <c r="X234" s="52" t="s">
        <v>119</v>
      </c>
      <c r="Y234" s="54"/>
      <c r="Z234" s="54"/>
      <c r="AA234" s="54"/>
      <c r="AB234" s="54"/>
      <c r="AC234" s="54"/>
      <c r="AD234" s="54"/>
      <c r="AE234" s="54"/>
      <c r="AF234" s="54"/>
      <c r="AG234" s="54"/>
      <c r="AH234" s="54">
        <v>0.0</v>
      </c>
      <c r="AI234" s="54">
        <v>50227.21</v>
      </c>
      <c r="AJ234" s="54">
        <v>894427.47</v>
      </c>
      <c r="AK234" s="54">
        <v>1048091.75</v>
      </c>
      <c r="AL234" s="54">
        <v>1058910.21</v>
      </c>
      <c r="AM234" s="54">
        <v>1068060.23</v>
      </c>
      <c r="AN234" s="54">
        <v>1123444.54</v>
      </c>
      <c r="AO234" s="54">
        <v>1135918.5</v>
      </c>
      <c r="AP234" s="53">
        <v>1146195.55</v>
      </c>
      <c r="AQ234" s="53">
        <v>1158198.34</v>
      </c>
      <c r="AR234" s="53">
        <v>1168973.79</v>
      </c>
      <c r="AS234" s="53">
        <v>1180324.0</v>
      </c>
      <c r="AT234" s="53">
        <v>0.0</v>
      </c>
      <c r="AU234" s="53" t="str">
        <f t="array" ref="AU234">XLOOKUP(C234,'PL TOTAL D0'!A:A,'PL TOTAL D0'!C:C,"")</f>
        <v/>
      </c>
    </row>
    <row r="235" ht="15.75" customHeight="1">
      <c r="A235" s="41" t="s">
        <v>43</v>
      </c>
      <c r="B235" s="42" t="s">
        <v>889</v>
      </c>
      <c r="C235" s="43" t="s">
        <v>890</v>
      </c>
      <c r="D235" s="44" t="s">
        <v>18</v>
      </c>
      <c r="E235" s="45" t="s">
        <v>176</v>
      </c>
      <c r="F235" s="44" t="s">
        <v>197</v>
      </c>
      <c r="G235" s="44" t="str">
        <f t="shared" si="1"/>
        <v>Augusto</v>
      </c>
      <c r="H235" s="46" t="s">
        <v>107</v>
      </c>
      <c r="I235" s="46" t="s">
        <v>24</v>
      </c>
      <c r="J235" s="44" t="str">
        <f t="shared" si="5"/>
        <v>Não</v>
      </c>
      <c r="K235" s="47">
        <v>44910.0</v>
      </c>
      <c r="L235" s="45"/>
      <c r="M235" s="45" t="s">
        <v>55</v>
      </c>
      <c r="N235" s="48">
        <v>0.01</v>
      </c>
      <c r="O235" s="44" t="s">
        <v>24</v>
      </c>
      <c r="P235" s="49">
        <v>0.0</v>
      </c>
      <c r="Q235" s="50"/>
      <c r="R235" s="50"/>
      <c r="S235" s="45" t="s">
        <v>108</v>
      </c>
      <c r="T235" s="24" t="s">
        <v>891</v>
      </c>
      <c r="U235" s="9" t="s">
        <v>180</v>
      </c>
      <c r="V235" s="51" t="str">
        <f t="shared" si="3"/>
        <v>Ativo</v>
      </c>
      <c r="W235" s="45"/>
      <c r="X235" s="52" t="s">
        <v>119</v>
      </c>
      <c r="Y235" s="54"/>
      <c r="Z235" s="54"/>
      <c r="AA235" s="54"/>
      <c r="AB235" s="54">
        <v>68943.58</v>
      </c>
      <c r="AC235" s="54">
        <v>118025.58</v>
      </c>
      <c r="AD235" s="54">
        <v>155121.31</v>
      </c>
      <c r="AE235" s="54">
        <v>184963.2</v>
      </c>
      <c r="AF235" s="54">
        <v>236338.07</v>
      </c>
      <c r="AG235" s="54">
        <v>268061.12</v>
      </c>
      <c r="AH235" s="54">
        <v>270457.41</v>
      </c>
      <c r="AI235" s="54">
        <v>272850.52</v>
      </c>
      <c r="AJ235" s="54">
        <v>275521.85</v>
      </c>
      <c r="AK235" s="54">
        <v>267637.85</v>
      </c>
      <c r="AL235" s="54">
        <v>330289.47</v>
      </c>
      <c r="AM235" s="54">
        <v>332714.82</v>
      </c>
      <c r="AN235" s="54">
        <v>334027.17</v>
      </c>
      <c r="AO235" s="54">
        <v>336894.57</v>
      </c>
      <c r="AP235" s="53">
        <v>339629.8</v>
      </c>
      <c r="AQ235" s="53">
        <v>342743.89</v>
      </c>
      <c r="AR235" s="53">
        <v>344355.68</v>
      </c>
      <c r="AS235" s="53">
        <v>347010.6</v>
      </c>
      <c r="AT235" s="53">
        <v>349796.6</v>
      </c>
      <c r="AU235" s="53">
        <f t="array" ref="AU235">XLOOKUP(C235,'PL TOTAL D0'!A:A,'PL TOTAL D0'!C:C,"")</f>
        <v>380135.2</v>
      </c>
    </row>
    <row r="236" ht="15.75" customHeight="1">
      <c r="A236" s="41" t="s">
        <v>43</v>
      </c>
      <c r="B236" s="42" t="s">
        <v>892</v>
      </c>
      <c r="C236" s="43" t="s">
        <v>893</v>
      </c>
      <c r="D236" s="44" t="s">
        <v>18</v>
      </c>
      <c r="E236" s="45" t="s">
        <v>19</v>
      </c>
      <c r="F236" s="44" t="s">
        <v>20</v>
      </c>
      <c r="G236" s="44" t="str">
        <f t="shared" si="1"/>
        <v>Augusto</v>
      </c>
      <c r="H236" s="46" t="s">
        <v>107</v>
      </c>
      <c r="I236" s="46" t="s">
        <v>24</v>
      </c>
      <c r="J236" s="44" t="str">
        <f t="shared" si="5"/>
        <v>Não</v>
      </c>
      <c r="K236" s="47">
        <v>44935.0</v>
      </c>
      <c r="L236" s="45"/>
      <c r="M236" s="45" t="s">
        <v>55</v>
      </c>
      <c r="N236" s="48">
        <v>0.01</v>
      </c>
      <c r="O236" s="44" t="s">
        <v>24</v>
      </c>
      <c r="P236" s="49">
        <v>0.0</v>
      </c>
      <c r="Q236" s="50"/>
      <c r="R236" s="50"/>
      <c r="S236" s="45" t="s">
        <v>108</v>
      </c>
      <c r="T236" s="24" t="s">
        <v>894</v>
      </c>
      <c r="U236" s="9" t="s">
        <v>19</v>
      </c>
      <c r="V236" s="51" t="str">
        <f t="shared" si="3"/>
        <v>Ativo</v>
      </c>
      <c r="W236" s="45"/>
      <c r="X236" s="52" t="s">
        <v>119</v>
      </c>
      <c r="Y236" s="54"/>
      <c r="Z236" s="54"/>
      <c r="AA236" s="54"/>
      <c r="AB236" s="54">
        <v>29136.77</v>
      </c>
      <c r="AC236" s="54">
        <v>45816.12</v>
      </c>
      <c r="AD236" s="54">
        <v>45679.42</v>
      </c>
      <c r="AE236" s="54">
        <v>46286.01</v>
      </c>
      <c r="AF236" s="54">
        <v>46680.77</v>
      </c>
      <c r="AG236" s="54">
        <v>57317.61</v>
      </c>
      <c r="AH236" s="54">
        <v>57739.53</v>
      </c>
      <c r="AI236" s="54">
        <v>58198.8</v>
      </c>
      <c r="AJ236" s="54">
        <v>38323.64</v>
      </c>
      <c r="AK236" s="54">
        <v>38613.83</v>
      </c>
      <c r="AL236" s="54">
        <v>38906.26</v>
      </c>
      <c r="AM236" s="54">
        <v>39184.51</v>
      </c>
      <c r="AN236" s="54">
        <v>39488.94</v>
      </c>
      <c r="AO236" s="54">
        <v>39481.53</v>
      </c>
      <c r="AP236" s="53">
        <v>64947.6</v>
      </c>
      <c r="AQ236" s="53">
        <v>68035.38</v>
      </c>
      <c r="AR236" s="53">
        <v>70984.15</v>
      </c>
      <c r="AS236" s="53">
        <v>74044.52</v>
      </c>
      <c r="AT236" s="53">
        <v>77143.05</v>
      </c>
      <c r="AU236" s="53">
        <f t="array" ref="AU236">XLOOKUP(C236,'PL TOTAL D0'!A:A,'PL TOTAL D0'!C:C,"")</f>
        <v>79910.29</v>
      </c>
    </row>
    <row r="237" ht="15.75" customHeight="1">
      <c r="A237" s="41" t="s">
        <v>43</v>
      </c>
      <c r="B237" s="42" t="s">
        <v>895</v>
      </c>
      <c r="C237" s="43" t="s">
        <v>896</v>
      </c>
      <c r="D237" s="44" t="s">
        <v>105</v>
      </c>
      <c r="E237" s="45" t="s">
        <v>29</v>
      </c>
      <c r="F237" s="44" t="s">
        <v>106</v>
      </c>
      <c r="G237" s="44" t="str">
        <f t="shared" si="1"/>
        <v>Breno</v>
      </c>
      <c r="H237" s="46" t="s">
        <v>107</v>
      </c>
      <c r="I237" s="46" t="s">
        <v>24</v>
      </c>
      <c r="J237" s="44" t="str">
        <f t="shared" si="5"/>
        <v>Não</v>
      </c>
      <c r="K237" s="47">
        <v>45148.0</v>
      </c>
      <c r="L237" s="45"/>
      <c r="M237" s="45" t="s">
        <v>897</v>
      </c>
      <c r="N237" s="48">
        <v>0.014</v>
      </c>
      <c r="O237" s="9" t="s">
        <v>48</v>
      </c>
      <c r="P237" s="49">
        <v>0.1</v>
      </c>
      <c r="Q237" s="50"/>
      <c r="R237" s="50"/>
      <c r="S237" s="45" t="s">
        <v>108</v>
      </c>
      <c r="T237" s="24" t="s">
        <v>898</v>
      </c>
      <c r="U237" s="9" t="s">
        <v>29</v>
      </c>
      <c r="V237" s="51" t="str">
        <f t="shared" si="3"/>
        <v>Ativo</v>
      </c>
      <c r="W237" s="45"/>
      <c r="X237" s="52" t="s">
        <v>110</v>
      </c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>
        <v>426832.92</v>
      </c>
      <c r="AK237" s="54">
        <v>686106.35</v>
      </c>
      <c r="AL237" s="54">
        <v>903584.83</v>
      </c>
      <c r="AM237" s="54">
        <v>886418.22</v>
      </c>
      <c r="AN237" s="54">
        <v>892959.85</v>
      </c>
      <c r="AO237" s="54">
        <v>856186.29</v>
      </c>
      <c r="AP237" s="53">
        <v>862035.76</v>
      </c>
      <c r="AQ237" s="53">
        <v>868861.72</v>
      </c>
      <c r="AR237" s="53">
        <v>861235.1</v>
      </c>
      <c r="AS237" s="53">
        <v>856493.4</v>
      </c>
      <c r="AT237" s="53">
        <v>862623.0</v>
      </c>
      <c r="AU237" s="53">
        <f t="array" ref="AU237">XLOOKUP(C237,'PL TOTAL D0'!A:A,'PL TOTAL D0'!C:C,"")</f>
        <v>864982</v>
      </c>
    </row>
    <row r="238" ht="15.75" customHeight="1">
      <c r="A238" s="41" t="s">
        <v>43</v>
      </c>
      <c r="B238" s="64" t="s">
        <v>899</v>
      </c>
      <c r="C238" s="65" t="s">
        <v>900</v>
      </c>
      <c r="D238" s="9" t="s">
        <v>52</v>
      </c>
      <c r="E238" s="24" t="s">
        <v>19</v>
      </c>
      <c r="F238" s="9" t="s">
        <v>53</v>
      </c>
      <c r="G238" s="44" t="str">
        <f t="shared" si="1"/>
        <v>Breno</v>
      </c>
      <c r="H238" s="51" t="s">
        <v>107</v>
      </c>
      <c r="I238" s="51" t="s">
        <v>24</v>
      </c>
      <c r="J238" s="44" t="str">
        <f t="shared" si="5"/>
        <v>Sim</v>
      </c>
      <c r="K238" s="57">
        <v>45401.0</v>
      </c>
      <c r="L238" s="45"/>
      <c r="M238" s="24" t="s">
        <v>55</v>
      </c>
      <c r="N238" s="58">
        <v>0.012</v>
      </c>
      <c r="O238" s="44" t="s">
        <v>24</v>
      </c>
      <c r="P238" s="59">
        <v>0.0</v>
      </c>
      <c r="Q238" s="15" t="s">
        <v>901</v>
      </c>
      <c r="R238" s="50"/>
      <c r="S238" s="24" t="s">
        <v>108</v>
      </c>
      <c r="T238" s="5" t="s">
        <v>902</v>
      </c>
      <c r="U238" s="9" t="s">
        <v>19</v>
      </c>
      <c r="V238" s="51" t="str">
        <f t="shared" si="3"/>
        <v>Ativo</v>
      </c>
      <c r="W238" s="24" t="s">
        <v>75</v>
      </c>
      <c r="X238" s="52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3"/>
      <c r="AQ238" s="53"/>
      <c r="AR238" s="53">
        <v>0.0</v>
      </c>
      <c r="AS238" s="53">
        <v>605077.2</v>
      </c>
      <c r="AT238" s="53">
        <v>612210.9</v>
      </c>
      <c r="AU238" s="53">
        <f t="array" ref="AU238">XLOOKUP(C238,'PL TOTAL D0'!A:A,'PL TOTAL D0'!C:C,"")</f>
        <v>617483.9</v>
      </c>
    </row>
    <row r="239" ht="15.75" customHeight="1">
      <c r="A239" s="6" t="s">
        <v>43</v>
      </c>
      <c r="B239" s="20" t="s">
        <v>903</v>
      </c>
      <c r="C239" s="56" t="s">
        <v>904</v>
      </c>
      <c r="D239" s="9" t="s">
        <v>52</v>
      </c>
      <c r="E239" s="24" t="s">
        <v>19</v>
      </c>
      <c r="F239" s="9" t="s">
        <v>53</v>
      </c>
      <c r="G239" s="44" t="str">
        <f t="shared" si="1"/>
        <v>Breno</v>
      </c>
      <c r="H239" s="51" t="s">
        <v>107</v>
      </c>
      <c r="I239" s="51" t="s">
        <v>24</v>
      </c>
      <c r="J239" s="44" t="str">
        <f t="shared" si="5"/>
        <v>Não</v>
      </c>
      <c r="K239" s="57">
        <v>45356.0</v>
      </c>
      <c r="L239" s="45"/>
      <c r="M239" s="24" t="s">
        <v>55</v>
      </c>
      <c r="N239" s="58">
        <v>0.012</v>
      </c>
      <c r="O239" s="9" t="s">
        <v>24</v>
      </c>
      <c r="P239" s="59">
        <v>0.0</v>
      </c>
      <c r="Q239" s="50"/>
      <c r="R239" s="50"/>
      <c r="S239" s="24" t="s">
        <v>108</v>
      </c>
      <c r="T239" s="23" t="s">
        <v>905</v>
      </c>
      <c r="U239" s="9" t="s">
        <v>19</v>
      </c>
      <c r="V239" s="51" t="str">
        <f t="shared" si="3"/>
        <v>Ativo</v>
      </c>
      <c r="W239" s="45"/>
      <c r="X239" s="52" t="s">
        <v>119</v>
      </c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>
        <v>0.0</v>
      </c>
      <c r="AQ239" s="53">
        <v>500890.57</v>
      </c>
      <c r="AR239" s="53">
        <v>505181.19</v>
      </c>
      <c r="AS239" s="53">
        <v>508577.4</v>
      </c>
      <c r="AT239" s="53">
        <v>512866.2</v>
      </c>
      <c r="AU239" s="53">
        <f t="array" ref="AU239">XLOOKUP(C239,'PL TOTAL D0'!A:A,'PL TOTAL D0'!C:C,"")</f>
        <v>514482.3</v>
      </c>
    </row>
    <row r="240" ht="15.75" customHeight="1">
      <c r="A240" s="41" t="s">
        <v>43</v>
      </c>
      <c r="B240" s="42" t="s">
        <v>906</v>
      </c>
      <c r="C240" s="43" t="s">
        <v>907</v>
      </c>
      <c r="D240" s="44" t="s">
        <v>18</v>
      </c>
      <c r="E240" s="45" t="s">
        <v>19</v>
      </c>
      <c r="F240" s="44" t="s">
        <v>256</v>
      </c>
      <c r="G240" s="44" t="str">
        <f t="shared" si="1"/>
        <v>Augusto</v>
      </c>
      <c r="H240" s="51" t="s">
        <v>107</v>
      </c>
      <c r="I240" s="51" t="s">
        <v>24</v>
      </c>
      <c r="J240" s="44" t="str">
        <f t="shared" si="5"/>
        <v>Sim</v>
      </c>
      <c r="K240" s="47">
        <v>44887.0</v>
      </c>
      <c r="L240" s="45"/>
      <c r="M240" s="24" t="s">
        <v>55</v>
      </c>
      <c r="N240" s="58">
        <v>0.012</v>
      </c>
      <c r="O240" s="9" t="s">
        <v>24</v>
      </c>
      <c r="P240" s="59">
        <v>0.0</v>
      </c>
      <c r="Q240" s="60" t="s">
        <v>908</v>
      </c>
      <c r="R240" s="60" t="s">
        <v>909</v>
      </c>
      <c r="S240" s="45" t="s">
        <v>108</v>
      </c>
      <c r="T240" s="24" t="s">
        <v>910</v>
      </c>
      <c r="U240" s="9" t="s">
        <v>29</v>
      </c>
      <c r="V240" s="51" t="str">
        <f t="shared" si="3"/>
        <v>Ativo</v>
      </c>
      <c r="W240" s="45"/>
      <c r="X240" s="52" t="s">
        <v>119</v>
      </c>
      <c r="Y240" s="54"/>
      <c r="Z240" s="54"/>
      <c r="AA240" s="54"/>
      <c r="AB240" s="54">
        <v>173707.66</v>
      </c>
      <c r="AC240" s="54">
        <v>235453.15</v>
      </c>
      <c r="AD240" s="54">
        <v>232519.02</v>
      </c>
      <c r="AE240" s="54">
        <v>254973.37</v>
      </c>
      <c r="AF240" s="54">
        <v>365637.43</v>
      </c>
      <c r="AG240" s="54">
        <v>372607.98</v>
      </c>
      <c r="AH240" s="54">
        <v>380089.6</v>
      </c>
      <c r="AI240" s="54">
        <v>361798.24</v>
      </c>
      <c r="AJ240" s="54">
        <v>362265.63</v>
      </c>
      <c r="AK240" s="54">
        <v>362470.6</v>
      </c>
      <c r="AL240" s="54">
        <v>349419.43</v>
      </c>
      <c r="AM240" s="54">
        <v>353423.45</v>
      </c>
      <c r="AN240" s="54">
        <v>357872.3</v>
      </c>
      <c r="AO240" s="54">
        <v>353814.22</v>
      </c>
      <c r="AP240" s="53">
        <v>356135.22</v>
      </c>
      <c r="AQ240" s="53">
        <v>351339.11</v>
      </c>
      <c r="AR240" s="53">
        <v>338399.15</v>
      </c>
      <c r="AS240" s="53">
        <v>330280.5</v>
      </c>
      <c r="AT240" s="53">
        <v>218548.8</v>
      </c>
      <c r="AU240" s="53">
        <f t="array" ref="AU240">XLOOKUP(C240,'PL TOTAL D0'!A:A,'PL TOTAL D0'!C:C,"")</f>
        <v>216761.5</v>
      </c>
    </row>
    <row r="241" ht="15.75" customHeight="1">
      <c r="A241" s="41" t="s">
        <v>43</v>
      </c>
      <c r="B241" s="42" t="s">
        <v>911</v>
      </c>
      <c r="C241" s="43" t="s">
        <v>912</v>
      </c>
      <c r="D241" s="44" t="s">
        <v>18</v>
      </c>
      <c r="E241" s="45" t="s">
        <v>19</v>
      </c>
      <c r="F241" s="44" t="s">
        <v>20</v>
      </c>
      <c r="G241" s="44" t="str">
        <f t="shared" si="1"/>
        <v>#N/A</v>
      </c>
      <c r="H241" s="51" t="s">
        <v>147</v>
      </c>
      <c r="I241" s="46" t="s">
        <v>219</v>
      </c>
      <c r="J241" s="44" t="str">
        <f t="shared" si="5"/>
        <v>Não</v>
      </c>
      <c r="K241" s="47">
        <v>45166.0</v>
      </c>
      <c r="L241" s="45"/>
      <c r="M241" s="45" t="s">
        <v>47</v>
      </c>
      <c r="N241" s="48">
        <v>0.015</v>
      </c>
      <c r="O241" s="44" t="s">
        <v>48</v>
      </c>
      <c r="P241" s="49">
        <v>0.1</v>
      </c>
      <c r="Q241" s="50"/>
      <c r="R241" s="50"/>
      <c r="S241" s="45" t="s">
        <v>369</v>
      </c>
      <c r="T241" s="24" t="s">
        <v>913</v>
      </c>
      <c r="U241" s="9" t="s">
        <v>19</v>
      </c>
      <c r="V241" s="51" t="str">
        <f t="shared" si="3"/>
        <v>Ativo</v>
      </c>
      <c r="W241" s="45"/>
      <c r="X241" s="52" t="s">
        <v>119</v>
      </c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>
        <v>0.0</v>
      </c>
      <c r="AJ241" s="54">
        <v>0.0</v>
      </c>
      <c r="AK241" s="54">
        <v>0.0</v>
      </c>
      <c r="AL241" s="54">
        <v>0.0</v>
      </c>
      <c r="AM241" s="54">
        <v>0.0</v>
      </c>
      <c r="AN241" s="54">
        <v>0.0</v>
      </c>
      <c r="AO241" s="54">
        <v>0.0</v>
      </c>
      <c r="AP241" s="53">
        <v>0.0</v>
      </c>
      <c r="AQ241" s="53">
        <v>0.0</v>
      </c>
      <c r="AR241" s="53">
        <v>0.0</v>
      </c>
      <c r="AS241" s="53">
        <v>0.0</v>
      </c>
      <c r="AT241" s="53">
        <v>0.0</v>
      </c>
      <c r="AU241" s="53" t="str">
        <f t="array" ref="AU241">XLOOKUP(C241,'PL TOTAL D0'!A:A,'PL TOTAL D0'!C:C,"")</f>
        <v/>
      </c>
    </row>
    <row r="242" ht="15.75" customHeight="1">
      <c r="A242" s="41" t="s">
        <v>43</v>
      </c>
      <c r="B242" s="55" t="s">
        <v>914</v>
      </c>
      <c r="C242" s="158" t="s">
        <v>915</v>
      </c>
      <c r="D242" s="9" t="s">
        <v>18</v>
      </c>
      <c r="E242" s="24" t="s">
        <v>29</v>
      </c>
      <c r="F242" s="9" t="s">
        <v>916</v>
      </c>
      <c r="G242" s="44" t="str">
        <f t="shared" si="1"/>
        <v>Augusto</v>
      </c>
      <c r="H242" s="51" t="s">
        <v>107</v>
      </c>
      <c r="I242" s="51" t="s">
        <v>24</v>
      </c>
      <c r="J242" s="44" t="str">
        <f t="shared" si="5"/>
        <v>Sim</v>
      </c>
      <c r="K242" s="57">
        <v>45457.0</v>
      </c>
      <c r="L242" s="45"/>
      <c r="M242" s="24" t="s">
        <v>79</v>
      </c>
      <c r="N242" s="58">
        <v>0.012</v>
      </c>
      <c r="O242" s="9" t="s">
        <v>48</v>
      </c>
      <c r="P242" s="59">
        <v>0.1</v>
      </c>
      <c r="Q242" s="60" t="s">
        <v>917</v>
      </c>
      <c r="R242" s="50"/>
      <c r="S242" s="24" t="s">
        <v>108</v>
      </c>
      <c r="T242" s="24" t="s">
        <v>918</v>
      </c>
      <c r="U242" s="9" t="s">
        <v>29</v>
      </c>
      <c r="V242" s="51" t="str">
        <f t="shared" si="3"/>
        <v>Ativo</v>
      </c>
      <c r="W242" s="24" t="s">
        <v>75</v>
      </c>
      <c r="X242" s="52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3"/>
      <c r="AQ242" s="53"/>
      <c r="AR242" s="53"/>
      <c r="AS242" s="53"/>
      <c r="AT242" s="53">
        <v>288518.7</v>
      </c>
      <c r="AU242" s="53">
        <f t="array" ref="AU242">XLOOKUP(C242,'PL TOTAL D0'!A:A,'PL TOTAL D0'!C:C,"")</f>
        <v>292661.2</v>
      </c>
    </row>
    <row r="243" ht="15.75" customHeight="1">
      <c r="A243" s="41" t="s">
        <v>43</v>
      </c>
      <c r="B243" s="64" t="s">
        <v>919</v>
      </c>
      <c r="C243" s="65" t="s">
        <v>920</v>
      </c>
      <c r="D243" s="9" t="s">
        <v>18</v>
      </c>
      <c r="E243" s="24" t="s">
        <v>29</v>
      </c>
      <c r="F243" s="9" t="s">
        <v>128</v>
      </c>
      <c r="G243" s="44" t="str">
        <f t="shared" si="1"/>
        <v>#N/A</v>
      </c>
      <c r="H243" s="51" t="s">
        <v>123</v>
      </c>
      <c r="I243" s="51" t="s">
        <v>161</v>
      </c>
      <c r="J243" s="44" t="str">
        <f t="shared" si="5"/>
        <v>Não</v>
      </c>
      <c r="K243" s="57">
        <v>45441.0</v>
      </c>
      <c r="L243" s="45"/>
      <c r="M243" s="24" t="s">
        <v>55</v>
      </c>
      <c r="N243" s="58">
        <v>0.012</v>
      </c>
      <c r="O243" s="9" t="s">
        <v>24</v>
      </c>
      <c r="P243" s="59">
        <v>0.0</v>
      </c>
      <c r="Q243" s="50"/>
      <c r="R243" s="50"/>
      <c r="S243" s="24" t="s">
        <v>108</v>
      </c>
      <c r="T243" s="24" t="s">
        <v>921</v>
      </c>
      <c r="U243" s="9" t="s">
        <v>29</v>
      </c>
      <c r="V243" s="51" t="str">
        <f t="shared" si="3"/>
        <v>Ativo</v>
      </c>
      <c r="W243" s="45"/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/>
      <c r="AS243" s="53">
        <v>0.0</v>
      </c>
      <c r="AT243" s="53">
        <v>0.0</v>
      </c>
      <c r="AU243" s="53" t="str">
        <f t="array" ref="AU243">XLOOKUP(C243,'PL TOTAL D0'!A:A,'PL TOTAL D0'!C:C,"")</f>
        <v/>
      </c>
    </row>
    <row r="244" ht="15.75" customHeight="1">
      <c r="A244" s="41" t="s">
        <v>43</v>
      </c>
      <c r="B244" s="97" t="s">
        <v>922</v>
      </c>
      <c r="C244" s="157" t="s">
        <v>923</v>
      </c>
      <c r="D244" s="9" t="s">
        <v>70</v>
      </c>
      <c r="E244" s="45" t="s">
        <v>29</v>
      </c>
      <c r="F244" s="9" t="s">
        <v>309</v>
      </c>
      <c r="G244" s="44" t="str">
        <f t="shared" si="1"/>
        <v>Augusto</v>
      </c>
      <c r="H244" s="46" t="s">
        <v>107</v>
      </c>
      <c r="I244" s="51" t="s">
        <v>24</v>
      </c>
      <c r="J244" s="44" t="str">
        <f t="shared" si="5"/>
        <v>Não</v>
      </c>
      <c r="K244" s="47">
        <v>45253.0</v>
      </c>
      <c r="L244" s="45"/>
      <c r="M244" s="93" t="s">
        <v>79</v>
      </c>
      <c r="N244" s="94">
        <v>0.012</v>
      </c>
      <c r="O244" s="95" t="s">
        <v>48</v>
      </c>
      <c r="P244" s="96">
        <v>0.1</v>
      </c>
      <c r="Q244" s="50"/>
      <c r="R244" s="50"/>
      <c r="S244" s="45" t="s">
        <v>108</v>
      </c>
      <c r="T244" s="24" t="s">
        <v>924</v>
      </c>
      <c r="U244" s="9" t="s">
        <v>29</v>
      </c>
      <c r="V244" s="51" t="str">
        <f t="shared" si="3"/>
        <v>Ativo</v>
      </c>
      <c r="W244" s="45"/>
      <c r="X244" s="52" t="s">
        <v>119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>
        <v>187798.24</v>
      </c>
      <c r="AN244" s="54">
        <v>189858.08</v>
      </c>
      <c r="AO244" s="54">
        <v>189968.42</v>
      </c>
      <c r="AP244" s="53">
        <v>205457.16</v>
      </c>
      <c r="AQ244" s="53">
        <v>207262.24</v>
      </c>
      <c r="AR244" s="53">
        <v>212115.66</v>
      </c>
      <c r="AS244" s="53">
        <v>213222.3</v>
      </c>
      <c r="AT244" s="53">
        <v>214719.1</v>
      </c>
      <c r="AU244" s="53">
        <f t="array" ref="AU244">XLOOKUP(C244,'PL TOTAL D0'!A:A,'PL TOTAL D0'!C:C,"")</f>
        <v>215921.9</v>
      </c>
    </row>
    <row r="245" ht="15.75" customHeight="1">
      <c r="A245" s="41" t="s">
        <v>43</v>
      </c>
      <c r="B245" s="42" t="s">
        <v>925</v>
      </c>
      <c r="C245" s="43" t="s">
        <v>926</v>
      </c>
      <c r="D245" s="44" t="s">
        <v>18</v>
      </c>
      <c r="E245" s="45" t="s">
        <v>176</v>
      </c>
      <c r="F245" s="44" t="s">
        <v>197</v>
      </c>
      <c r="G245" s="44" t="str">
        <f t="shared" si="1"/>
        <v>#N/A</v>
      </c>
      <c r="H245" s="51" t="s">
        <v>186</v>
      </c>
      <c r="I245" s="51" t="s">
        <v>24</v>
      </c>
      <c r="J245" s="44" t="str">
        <f t="shared" si="5"/>
        <v>Não</v>
      </c>
      <c r="K245" s="47">
        <v>45156.0</v>
      </c>
      <c r="L245" s="82">
        <v>45449.0</v>
      </c>
      <c r="M245" s="45" t="s">
        <v>55</v>
      </c>
      <c r="N245" s="48">
        <v>0.012</v>
      </c>
      <c r="O245" s="44" t="s">
        <v>24</v>
      </c>
      <c r="P245" s="49">
        <v>0.0</v>
      </c>
      <c r="Q245" s="50"/>
      <c r="R245" s="60" t="s">
        <v>239</v>
      </c>
      <c r="S245" s="45" t="s">
        <v>108</v>
      </c>
      <c r="T245" s="24" t="s">
        <v>927</v>
      </c>
      <c r="U245" s="9" t="s">
        <v>180</v>
      </c>
      <c r="V245" s="51" t="str">
        <f t="shared" si="3"/>
        <v>Encerrado</v>
      </c>
      <c r="W245" s="45"/>
      <c r="X245" s="52" t="s">
        <v>110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>
        <v>5022.66</v>
      </c>
      <c r="AK245" s="54">
        <v>5072.91</v>
      </c>
      <c r="AL245" s="54">
        <v>325.32</v>
      </c>
      <c r="AM245" s="54">
        <v>0.0</v>
      </c>
      <c r="AN245" s="54">
        <v>0.0</v>
      </c>
      <c r="AO245" s="54">
        <v>0.0</v>
      </c>
      <c r="AP245" s="53">
        <v>0.3</v>
      </c>
      <c r="AQ245" s="53">
        <v>1504.25</v>
      </c>
      <c r="AR245" s="53">
        <v>0.0</v>
      </c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43</v>
      </c>
      <c r="B246" s="42" t="s">
        <v>928</v>
      </c>
      <c r="C246" s="43" t="s">
        <v>929</v>
      </c>
      <c r="D246" s="44" t="s">
        <v>18</v>
      </c>
      <c r="E246" s="45" t="s">
        <v>176</v>
      </c>
      <c r="F246" s="44" t="s">
        <v>197</v>
      </c>
      <c r="G246" s="44" t="str">
        <f t="shared" si="1"/>
        <v>#N/A</v>
      </c>
      <c r="H246" s="51" t="s">
        <v>147</v>
      </c>
      <c r="I246" s="46" t="s">
        <v>219</v>
      </c>
      <c r="J246" s="44" t="str">
        <f t="shared" si="5"/>
        <v>Não</v>
      </c>
      <c r="K246" s="47">
        <v>45166.0</v>
      </c>
      <c r="L246" s="45"/>
      <c r="M246" s="45" t="s">
        <v>55</v>
      </c>
      <c r="N246" s="48">
        <v>0.012</v>
      </c>
      <c r="O246" s="44" t="s">
        <v>24</v>
      </c>
      <c r="P246" s="49">
        <v>0.0</v>
      </c>
      <c r="Q246" s="50"/>
      <c r="R246" s="50"/>
      <c r="S246" s="45" t="s">
        <v>108</v>
      </c>
      <c r="T246" s="24" t="s">
        <v>930</v>
      </c>
      <c r="U246" s="9" t="s">
        <v>180</v>
      </c>
      <c r="V246" s="51" t="str">
        <f t="shared" si="3"/>
        <v>Ativo</v>
      </c>
      <c r="W246" s="45"/>
      <c r="X246" s="52" t="s">
        <v>110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>
        <v>0.0</v>
      </c>
      <c r="AK246" s="54">
        <v>0.0</v>
      </c>
      <c r="AL246" s="54">
        <v>0.0</v>
      </c>
      <c r="AM246" s="54">
        <v>0.0</v>
      </c>
      <c r="AN246" s="54">
        <v>0.0</v>
      </c>
      <c r="AO246" s="54">
        <v>0.0</v>
      </c>
      <c r="AP246" s="53">
        <v>0.0</v>
      </c>
      <c r="AQ246" s="53">
        <v>0.0</v>
      </c>
      <c r="AR246" s="53">
        <v>0.0</v>
      </c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43</v>
      </c>
      <c r="B247" s="42" t="s">
        <v>931</v>
      </c>
      <c r="C247" s="43" t="s">
        <v>932</v>
      </c>
      <c r="D247" s="44" t="s">
        <v>18</v>
      </c>
      <c r="E247" s="45" t="s">
        <v>29</v>
      </c>
      <c r="F247" s="44" t="s">
        <v>168</v>
      </c>
      <c r="G247" s="44" t="str">
        <f t="shared" si="1"/>
        <v>Augusto</v>
      </c>
      <c r="H247" s="46" t="s">
        <v>107</v>
      </c>
      <c r="I247" s="46" t="s">
        <v>24</v>
      </c>
      <c r="J247" s="44" t="str">
        <f t="shared" si="5"/>
        <v>Não</v>
      </c>
      <c r="K247" s="47">
        <v>45000.0</v>
      </c>
      <c r="L247" s="45"/>
      <c r="M247" s="45" t="s">
        <v>55</v>
      </c>
      <c r="N247" s="48">
        <v>0.007</v>
      </c>
      <c r="O247" s="44" t="s">
        <v>24</v>
      </c>
      <c r="P247" s="49">
        <v>0.0</v>
      </c>
      <c r="Q247" s="74"/>
      <c r="R247" s="50" t="s">
        <v>933</v>
      </c>
      <c r="S247" s="45" t="s">
        <v>108</v>
      </c>
      <c r="T247" s="24" t="s">
        <v>934</v>
      </c>
      <c r="U247" s="9" t="s">
        <v>29</v>
      </c>
      <c r="V247" s="51" t="str">
        <f t="shared" si="3"/>
        <v>Ativo</v>
      </c>
      <c r="W247" s="45"/>
      <c r="X247" s="52" t="s">
        <v>119</v>
      </c>
      <c r="Y247" s="54"/>
      <c r="Z247" s="54"/>
      <c r="AA247" s="54"/>
      <c r="AB247" s="54"/>
      <c r="AC247" s="54"/>
      <c r="AD247" s="54">
        <v>0.0</v>
      </c>
      <c r="AE247" s="54">
        <v>730631.33</v>
      </c>
      <c r="AF247" s="54">
        <v>718977.18</v>
      </c>
      <c r="AG247" s="54">
        <v>582319.12</v>
      </c>
      <c r="AH247" s="54">
        <v>557848.13</v>
      </c>
      <c r="AI247" s="54">
        <v>562832.0</v>
      </c>
      <c r="AJ247" s="54">
        <v>567372.97</v>
      </c>
      <c r="AK247" s="54">
        <v>571465.32</v>
      </c>
      <c r="AL247" s="54">
        <v>570352.28</v>
      </c>
      <c r="AM247" s="54">
        <v>575328.93</v>
      </c>
      <c r="AN247" s="54">
        <v>554246.48</v>
      </c>
      <c r="AO247" s="54">
        <v>559873.19</v>
      </c>
      <c r="AP247" s="53">
        <v>564789.92</v>
      </c>
      <c r="AQ247" s="53">
        <v>569717.36</v>
      </c>
      <c r="AR247" s="53">
        <v>572877.2</v>
      </c>
      <c r="AS247" s="53">
        <v>275261.4</v>
      </c>
      <c r="AT247" s="53">
        <v>277036.5</v>
      </c>
      <c r="AU247" s="53">
        <f t="array" ref="AU247">XLOOKUP(C247,'PL TOTAL D0'!A:A,'PL TOTAL D0'!C:C,"")</f>
        <v>278295.4</v>
      </c>
    </row>
    <row r="248" ht="15.75" customHeight="1">
      <c r="A248" s="41" t="s">
        <v>43</v>
      </c>
      <c r="B248" s="42" t="s">
        <v>931</v>
      </c>
      <c r="C248" s="43" t="s">
        <v>935</v>
      </c>
      <c r="D248" s="44" t="s">
        <v>18</v>
      </c>
      <c r="E248" s="45" t="s">
        <v>29</v>
      </c>
      <c r="F248" s="44" t="s">
        <v>168</v>
      </c>
      <c r="G248" s="44" t="str">
        <f t="shared" si="1"/>
        <v>Augusto</v>
      </c>
      <c r="H248" s="46" t="s">
        <v>107</v>
      </c>
      <c r="I248" s="46" t="s">
        <v>24</v>
      </c>
      <c r="J248" s="44" t="str">
        <f t="shared" si="5"/>
        <v>Não</v>
      </c>
      <c r="K248" s="47">
        <v>45007.0</v>
      </c>
      <c r="L248" s="45"/>
      <c r="M248" s="45" t="s">
        <v>194</v>
      </c>
      <c r="N248" s="48">
        <v>0.008</v>
      </c>
      <c r="O248" s="44" t="s">
        <v>195</v>
      </c>
      <c r="P248" s="49">
        <v>0.1</v>
      </c>
      <c r="Q248" s="74"/>
      <c r="R248" s="50" t="s">
        <v>933</v>
      </c>
      <c r="S248" s="45" t="s">
        <v>108</v>
      </c>
      <c r="T248" s="24" t="s">
        <v>934</v>
      </c>
      <c r="U248" s="9" t="s">
        <v>29</v>
      </c>
      <c r="V248" s="51" t="str">
        <f t="shared" si="3"/>
        <v>Ativo</v>
      </c>
      <c r="W248" s="45"/>
      <c r="X248" s="52" t="s">
        <v>119</v>
      </c>
      <c r="Y248" s="54"/>
      <c r="Z248" s="54"/>
      <c r="AA248" s="54"/>
      <c r="AB248" s="54"/>
      <c r="AC248" s="54"/>
      <c r="AD248" s="54">
        <v>0.0</v>
      </c>
      <c r="AE248" s="54">
        <v>28599.53</v>
      </c>
      <c r="AF248" s="54">
        <v>28871.73</v>
      </c>
      <c r="AG248" s="54">
        <v>166990.86</v>
      </c>
      <c r="AH248" s="54">
        <v>171702.31</v>
      </c>
      <c r="AI248" s="54">
        <v>174734.94</v>
      </c>
      <c r="AJ248" s="54">
        <v>175131.05</v>
      </c>
      <c r="AK248" s="54">
        <v>176450.43</v>
      </c>
      <c r="AL248" s="54">
        <v>175758.13</v>
      </c>
      <c r="AM248" s="54">
        <v>176255.91</v>
      </c>
      <c r="AN248" s="54">
        <v>204219.98</v>
      </c>
      <c r="AO248" s="54">
        <v>204989.23</v>
      </c>
      <c r="AP248" s="53">
        <v>209221.56</v>
      </c>
      <c r="AQ248" s="53">
        <v>210892.59</v>
      </c>
      <c r="AR248" s="53">
        <v>279899.46</v>
      </c>
      <c r="AS248" s="53">
        <v>279046.2</v>
      </c>
      <c r="AT248" s="53">
        <v>277368.6</v>
      </c>
      <c r="AU248" s="53">
        <f t="array" ref="AU248">XLOOKUP(C248,'PL TOTAL D0'!A:A,'PL TOTAL D0'!C:C,"")</f>
        <v>280874.6</v>
      </c>
    </row>
    <row r="249" ht="15.75" customHeight="1">
      <c r="A249" s="41" t="s">
        <v>43</v>
      </c>
      <c r="B249" s="55" t="s">
        <v>936</v>
      </c>
      <c r="C249" s="56" t="s">
        <v>937</v>
      </c>
      <c r="D249" s="9" t="s">
        <v>18</v>
      </c>
      <c r="E249" s="24" t="s">
        <v>19</v>
      </c>
      <c r="F249" s="9" t="s">
        <v>122</v>
      </c>
      <c r="G249" s="44" t="str">
        <f t="shared" si="1"/>
        <v>Augusto</v>
      </c>
      <c r="H249" s="51" t="s">
        <v>107</v>
      </c>
      <c r="I249" s="51" t="s">
        <v>24</v>
      </c>
      <c r="J249" s="44" t="str">
        <f t="shared" si="5"/>
        <v>Não</v>
      </c>
      <c r="K249" s="57">
        <v>45393.0</v>
      </c>
      <c r="L249" s="45"/>
      <c r="M249" s="24" t="s">
        <v>55</v>
      </c>
      <c r="N249" s="58">
        <v>0.012</v>
      </c>
      <c r="O249" s="9" t="s">
        <v>24</v>
      </c>
      <c r="P249" s="59">
        <v>0.0</v>
      </c>
      <c r="Q249" s="74"/>
      <c r="R249" s="50"/>
      <c r="S249" s="24" t="s">
        <v>108</v>
      </c>
      <c r="T249" s="24" t="s">
        <v>938</v>
      </c>
      <c r="U249" s="9" t="s">
        <v>19</v>
      </c>
      <c r="V249" s="51" t="str">
        <f t="shared" si="3"/>
        <v>Ativo</v>
      </c>
      <c r="W249" s="24" t="s">
        <v>75</v>
      </c>
      <c r="X249" s="52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3"/>
      <c r="AQ249" s="53"/>
      <c r="AR249" s="53">
        <v>0.0</v>
      </c>
      <c r="AS249" s="53">
        <v>100501.1</v>
      </c>
      <c r="AT249" s="53">
        <v>101336.5</v>
      </c>
      <c r="AU249" s="53">
        <f t="array" ref="AU249">XLOOKUP(C249,'PL TOTAL D0'!A:A,'PL TOTAL D0'!C:C,"")</f>
        <v>101686</v>
      </c>
    </row>
    <row r="250" ht="15.75" customHeight="1">
      <c r="A250" s="41" t="s">
        <v>43</v>
      </c>
      <c r="B250" s="55" t="s">
        <v>939</v>
      </c>
      <c r="C250" s="56" t="s">
        <v>940</v>
      </c>
      <c r="D250" s="9" t="s">
        <v>18</v>
      </c>
      <c r="E250" s="24" t="s">
        <v>29</v>
      </c>
      <c r="F250" s="9" t="s">
        <v>916</v>
      </c>
      <c r="G250" s="44" t="str">
        <f t="shared" si="1"/>
        <v>#N/A</v>
      </c>
      <c r="H250" s="51" t="s">
        <v>107</v>
      </c>
      <c r="I250" s="51" t="s">
        <v>24</v>
      </c>
      <c r="J250" s="44" t="str">
        <f t="shared" si="5"/>
        <v>Não</v>
      </c>
      <c r="K250" s="57">
        <v>45474.0</v>
      </c>
      <c r="L250" s="45"/>
      <c r="M250" s="24" t="s">
        <v>55</v>
      </c>
      <c r="N250" s="159">
        <v>0.012</v>
      </c>
      <c r="O250" s="160" t="s">
        <v>24</v>
      </c>
      <c r="P250" s="161">
        <v>0.0</v>
      </c>
      <c r="Q250" s="74"/>
      <c r="R250" s="50"/>
      <c r="S250" s="24" t="s">
        <v>108</v>
      </c>
      <c r="T250" s="24" t="s">
        <v>941</v>
      </c>
      <c r="U250" s="9" t="s">
        <v>29</v>
      </c>
      <c r="V250" s="51" t="str">
        <f t="shared" si="3"/>
        <v>Ativo</v>
      </c>
      <c r="W250" s="24" t="s">
        <v>63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/>
      <c r="AS250" s="53"/>
      <c r="AT250" s="53"/>
      <c r="AU250" s="53" t="str">
        <f t="array" ref="AU250">XLOOKUP(C250,'PL TOTAL D0'!A:A,'PL TOTAL D0'!C:C,"")</f>
        <v/>
      </c>
    </row>
    <row r="251" ht="15.75" customHeight="1">
      <c r="A251" s="41" t="s">
        <v>43</v>
      </c>
      <c r="B251" s="55" t="s">
        <v>942</v>
      </c>
      <c r="C251" s="56" t="s">
        <v>943</v>
      </c>
      <c r="D251" s="9" t="s">
        <v>18</v>
      </c>
      <c r="E251" s="24" t="s">
        <v>19</v>
      </c>
      <c r="F251" s="9" t="s">
        <v>256</v>
      </c>
      <c r="G251" s="44" t="str">
        <f t="shared" si="1"/>
        <v>#N/A</v>
      </c>
      <c r="H251" s="51" t="s">
        <v>123</v>
      </c>
      <c r="I251" s="51" t="s">
        <v>161</v>
      </c>
      <c r="J251" s="44" t="str">
        <f t="shared" si="5"/>
        <v>Sim</v>
      </c>
      <c r="K251" s="57">
        <v>45446.0</v>
      </c>
      <c r="L251" s="45"/>
      <c r="M251" s="162" t="s">
        <v>55</v>
      </c>
      <c r="N251" s="86">
        <v>0.012</v>
      </c>
      <c r="O251" s="163" t="s">
        <v>24</v>
      </c>
      <c r="P251" s="88">
        <v>0.0</v>
      </c>
      <c r="Q251" s="25" t="s">
        <v>944</v>
      </c>
      <c r="R251" s="50"/>
      <c r="S251" s="24" t="s">
        <v>108</v>
      </c>
      <c r="T251" s="24" t="s">
        <v>945</v>
      </c>
      <c r="U251" s="9" t="s">
        <v>29</v>
      </c>
      <c r="V251" s="51" t="str">
        <f t="shared" si="3"/>
        <v>Ativo</v>
      </c>
      <c r="W251" s="24" t="s">
        <v>63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/>
      <c r="AS251" s="53"/>
      <c r="AT251" s="53">
        <v>0.0</v>
      </c>
      <c r="AU251" s="53" t="str">
        <f t="array" ref="AU251">XLOOKUP(C251,'PL TOTAL D0'!A:A,'PL TOTAL D0'!C:C,"")</f>
        <v/>
      </c>
    </row>
    <row r="252" ht="15.75" customHeight="1">
      <c r="A252" s="41" t="s">
        <v>43</v>
      </c>
      <c r="B252" s="42" t="s">
        <v>946</v>
      </c>
      <c r="C252" s="43" t="s">
        <v>947</v>
      </c>
      <c r="D252" s="44" t="s">
        <v>105</v>
      </c>
      <c r="E252" s="45" t="s">
        <v>29</v>
      </c>
      <c r="F252" s="44" t="s">
        <v>106</v>
      </c>
      <c r="G252" s="44" t="str">
        <f t="shared" si="1"/>
        <v>Augusto</v>
      </c>
      <c r="H252" s="46" t="s">
        <v>107</v>
      </c>
      <c r="I252" s="46" t="s">
        <v>24</v>
      </c>
      <c r="J252" s="44" t="str">
        <f t="shared" si="5"/>
        <v>Não</v>
      </c>
      <c r="K252" s="47">
        <v>45133.0</v>
      </c>
      <c r="L252" s="45"/>
      <c r="M252" s="45" t="s">
        <v>55</v>
      </c>
      <c r="N252" s="48">
        <v>0.012</v>
      </c>
      <c r="O252" s="44" t="s">
        <v>24</v>
      </c>
      <c r="P252" s="49">
        <v>0.0</v>
      </c>
      <c r="Q252" s="50"/>
      <c r="R252" s="50"/>
      <c r="S252" s="45" t="s">
        <v>108</v>
      </c>
      <c r="T252" s="24" t="s">
        <v>948</v>
      </c>
      <c r="U252" s="9" t="s">
        <v>29</v>
      </c>
      <c r="V252" s="51" t="str">
        <f t="shared" si="3"/>
        <v>Ativo</v>
      </c>
      <c r="W252" s="45"/>
      <c r="X252" s="52" t="s">
        <v>119</v>
      </c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>
        <v>87914.05</v>
      </c>
      <c r="AJ252" s="54">
        <v>88851.51</v>
      </c>
      <c r="AK252" s="54">
        <v>89560.38</v>
      </c>
      <c r="AL252" s="54">
        <v>95296.87</v>
      </c>
      <c r="AM252" s="54">
        <v>96133.77</v>
      </c>
      <c r="AN252" s="54">
        <v>96979.47</v>
      </c>
      <c r="AO252" s="54">
        <v>97755.11</v>
      </c>
      <c r="AP252" s="53">
        <v>98497.47</v>
      </c>
      <c r="AQ252" s="53">
        <v>98937.03</v>
      </c>
      <c r="AR252" s="53">
        <v>99482.6</v>
      </c>
      <c r="AS252" s="53">
        <v>114239.1</v>
      </c>
      <c r="AT252" s="53">
        <v>123100.2</v>
      </c>
      <c r="AU252" s="53">
        <f t="array" ref="AU252">XLOOKUP(C252,'PL TOTAL D0'!A:A,'PL TOTAL D0'!C:C,"")</f>
        <v>123587.4</v>
      </c>
    </row>
    <row r="253" ht="15.75" customHeight="1">
      <c r="A253" s="41" t="s">
        <v>43</v>
      </c>
      <c r="B253" s="42" t="s">
        <v>949</v>
      </c>
      <c r="C253" s="43" t="s">
        <v>950</v>
      </c>
      <c r="D253" s="44" t="s">
        <v>18</v>
      </c>
      <c r="E253" s="45" t="s">
        <v>176</v>
      </c>
      <c r="F253" s="44" t="s">
        <v>177</v>
      </c>
      <c r="G253" s="44" t="str">
        <f t="shared" si="1"/>
        <v>Breno</v>
      </c>
      <c r="H253" s="46" t="s">
        <v>107</v>
      </c>
      <c r="I253" s="46" t="s">
        <v>24</v>
      </c>
      <c r="J253" s="44" t="str">
        <f t="shared" si="5"/>
        <v>Não</v>
      </c>
      <c r="K253" s="47">
        <v>45127.0</v>
      </c>
      <c r="L253" s="62"/>
      <c r="M253" s="45" t="s">
        <v>47</v>
      </c>
      <c r="N253" s="48">
        <v>0.015</v>
      </c>
      <c r="O253" s="44" t="s">
        <v>48</v>
      </c>
      <c r="P253" s="49">
        <v>0.1</v>
      </c>
      <c r="Q253" s="63"/>
      <c r="R253" s="60" t="s">
        <v>951</v>
      </c>
      <c r="S253" s="45" t="s">
        <v>108</v>
      </c>
      <c r="T253" s="24" t="s">
        <v>952</v>
      </c>
      <c r="U253" s="9" t="s">
        <v>180</v>
      </c>
      <c r="V253" s="51" t="str">
        <f t="shared" si="3"/>
        <v>Ativo</v>
      </c>
      <c r="W253" s="45"/>
      <c r="X253" s="52" t="s">
        <v>110</v>
      </c>
      <c r="Y253" s="54"/>
      <c r="Z253" s="54"/>
      <c r="AA253" s="54"/>
      <c r="AB253" s="54"/>
      <c r="AC253" s="54"/>
      <c r="AD253" s="54"/>
      <c r="AE253" s="54"/>
      <c r="AF253" s="54">
        <v>0.0</v>
      </c>
      <c r="AG253" s="54">
        <v>0.0</v>
      </c>
      <c r="AH253" s="54">
        <v>0.0</v>
      </c>
      <c r="AI253" s="54">
        <v>755370.21</v>
      </c>
      <c r="AJ253" s="54">
        <v>750615.93</v>
      </c>
      <c r="AK253" s="54">
        <v>753820.19</v>
      </c>
      <c r="AL253" s="54">
        <v>751964.49</v>
      </c>
      <c r="AM253" s="54">
        <v>768079.0</v>
      </c>
      <c r="AN253" s="54">
        <v>778605.93</v>
      </c>
      <c r="AO253" s="54">
        <v>767063.11</v>
      </c>
      <c r="AP253" s="53">
        <v>806356.24</v>
      </c>
      <c r="AQ253" s="53">
        <v>815684.51</v>
      </c>
      <c r="AR253" s="53">
        <v>807916.64</v>
      </c>
      <c r="AS253" s="53">
        <v>805084.2</v>
      </c>
      <c r="AT253" s="53">
        <v>809340.6</v>
      </c>
      <c r="AU253" s="53">
        <f t="array" ref="AU253">XLOOKUP(C253,'PL TOTAL D0'!A:A,'PL TOTAL D0'!C:C,"")</f>
        <v>820079.1</v>
      </c>
    </row>
    <row r="254" ht="15.75" customHeight="1">
      <c r="A254" s="41" t="s">
        <v>43</v>
      </c>
      <c r="B254" s="42" t="s">
        <v>953</v>
      </c>
      <c r="C254" s="43" t="s">
        <v>954</v>
      </c>
      <c r="D254" s="44" t="s">
        <v>18</v>
      </c>
      <c r="E254" s="45" t="s">
        <v>19</v>
      </c>
      <c r="F254" s="45" t="s">
        <v>20</v>
      </c>
      <c r="G254" s="44" t="str">
        <f t="shared" si="1"/>
        <v>Augusto</v>
      </c>
      <c r="H254" s="46" t="s">
        <v>107</v>
      </c>
      <c r="I254" s="46" t="s">
        <v>24</v>
      </c>
      <c r="J254" s="44" t="str">
        <f t="shared" si="5"/>
        <v>Não</v>
      </c>
      <c r="K254" s="47">
        <v>45016.0</v>
      </c>
      <c r="L254" s="45"/>
      <c r="M254" s="45" t="s">
        <v>55</v>
      </c>
      <c r="N254" s="117">
        <v>0.012</v>
      </c>
      <c r="O254" s="44" t="s">
        <v>24</v>
      </c>
      <c r="P254" s="49">
        <v>0.0</v>
      </c>
      <c r="Q254" s="41"/>
      <c r="R254" s="50"/>
      <c r="S254" s="45" t="s">
        <v>108</v>
      </c>
      <c r="T254" s="24" t="s">
        <v>955</v>
      </c>
      <c r="U254" s="9" t="s">
        <v>34</v>
      </c>
      <c r="V254" s="51" t="str">
        <f t="shared" si="3"/>
        <v>Ativo</v>
      </c>
      <c r="W254" s="45"/>
      <c r="X254" s="52" t="s">
        <v>119</v>
      </c>
      <c r="Y254" s="54"/>
      <c r="Z254" s="54"/>
      <c r="AA254" s="54"/>
      <c r="AB254" s="54"/>
      <c r="AC254" s="54"/>
      <c r="AD254" s="54"/>
      <c r="AE254" s="54">
        <v>52009.59</v>
      </c>
      <c r="AF254" s="54">
        <v>60212.68</v>
      </c>
      <c r="AG254" s="54">
        <v>62211.39</v>
      </c>
      <c r="AH254" s="54">
        <v>63535.51</v>
      </c>
      <c r="AI254" s="54">
        <v>64110.84</v>
      </c>
      <c r="AJ254" s="54">
        <v>64136.46</v>
      </c>
      <c r="AK254" s="54">
        <v>91165.55</v>
      </c>
      <c r="AL254" s="54">
        <v>96544.81</v>
      </c>
      <c r="AM254" s="54">
        <v>97652.92</v>
      </c>
      <c r="AN254" s="54">
        <v>109125.88</v>
      </c>
      <c r="AO254" s="54">
        <v>115227.69</v>
      </c>
      <c r="AP254" s="53">
        <v>116081.77</v>
      </c>
      <c r="AQ254" s="53">
        <v>117049.0</v>
      </c>
      <c r="AR254" s="53">
        <v>117631.63</v>
      </c>
      <c r="AS254" s="53">
        <v>120623.4</v>
      </c>
      <c r="AT254" s="53">
        <v>124398.5</v>
      </c>
      <c r="AU254" s="53">
        <f t="array" ref="AU254">XLOOKUP(C254,'PL TOTAL D0'!A:A,'PL TOTAL D0'!C:C,"")</f>
        <v>127828.7</v>
      </c>
    </row>
    <row r="255" ht="15.75" customHeight="1">
      <c r="A255" s="41" t="s">
        <v>43</v>
      </c>
      <c r="B255" s="42" t="s">
        <v>956</v>
      </c>
      <c r="C255" s="43" t="s">
        <v>957</v>
      </c>
      <c r="D255" s="44" t="s">
        <v>18</v>
      </c>
      <c r="E255" s="45" t="s">
        <v>29</v>
      </c>
      <c r="F255" s="24" t="s">
        <v>60</v>
      </c>
      <c r="G255" s="44" t="str">
        <f t="shared" si="1"/>
        <v>Augusto</v>
      </c>
      <c r="H255" s="46" t="s">
        <v>107</v>
      </c>
      <c r="I255" s="46" t="s">
        <v>24</v>
      </c>
      <c r="J255" s="44" t="str">
        <f t="shared" si="5"/>
        <v>Não</v>
      </c>
      <c r="K255" s="47">
        <v>45162.0</v>
      </c>
      <c r="L255" s="62"/>
      <c r="M255" s="45" t="s">
        <v>190</v>
      </c>
      <c r="N255" s="58">
        <v>0.02</v>
      </c>
      <c r="O255" s="44" t="s">
        <v>191</v>
      </c>
      <c r="P255" s="49">
        <v>0.2</v>
      </c>
      <c r="Q255" s="74"/>
      <c r="R255" s="74" t="s">
        <v>958</v>
      </c>
      <c r="S255" s="45" t="s">
        <v>108</v>
      </c>
      <c r="T255" s="24" t="s">
        <v>959</v>
      </c>
      <c r="U255" s="9" t="s">
        <v>152</v>
      </c>
      <c r="V255" s="51" t="str">
        <f t="shared" si="3"/>
        <v>Ativo</v>
      </c>
      <c r="W255" s="45"/>
      <c r="X255" s="52" t="s">
        <v>119</v>
      </c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>
        <v>1025511.35</v>
      </c>
      <c r="AK255" s="54">
        <v>1122870.63</v>
      </c>
      <c r="AL255" s="54">
        <v>1175913.46</v>
      </c>
      <c r="AM255" s="54">
        <v>1183757.76</v>
      </c>
      <c r="AN255" s="54">
        <v>1239969.47</v>
      </c>
      <c r="AO255" s="54">
        <v>1150550.24</v>
      </c>
      <c r="AP255" s="53">
        <v>1247790.69</v>
      </c>
      <c r="AQ255" s="53">
        <v>1066970.04</v>
      </c>
      <c r="AR255" s="53">
        <v>529275.36</v>
      </c>
      <c r="AS255" s="53">
        <v>513336.9</v>
      </c>
      <c r="AT255" s="53">
        <v>110881.1</v>
      </c>
      <c r="AU255" s="53">
        <f t="array" ref="AU255">XLOOKUP(C255,'PL TOTAL D0'!A:A,'PL TOTAL D0'!C:C,"")</f>
        <v>115478.9</v>
      </c>
    </row>
    <row r="256" ht="15.75" customHeight="1">
      <c r="A256" s="41" t="s">
        <v>43</v>
      </c>
      <c r="B256" s="42" t="s">
        <v>960</v>
      </c>
      <c r="C256" s="43" t="s">
        <v>961</v>
      </c>
      <c r="D256" s="44" t="s">
        <v>18</v>
      </c>
      <c r="E256" s="45" t="s">
        <v>176</v>
      </c>
      <c r="F256" s="45" t="s">
        <v>177</v>
      </c>
      <c r="G256" s="44" t="str">
        <f t="shared" si="1"/>
        <v>Augusto</v>
      </c>
      <c r="H256" s="46" t="s">
        <v>107</v>
      </c>
      <c r="I256" s="46" t="s">
        <v>24</v>
      </c>
      <c r="J256" s="44" t="str">
        <f t="shared" si="5"/>
        <v>Não</v>
      </c>
      <c r="K256" s="47">
        <v>45166.0</v>
      </c>
      <c r="L256" s="62"/>
      <c r="M256" s="45" t="s">
        <v>47</v>
      </c>
      <c r="N256" s="117">
        <v>0.015</v>
      </c>
      <c r="O256" s="45" t="s">
        <v>48</v>
      </c>
      <c r="P256" s="118">
        <v>0.1</v>
      </c>
      <c r="Q256" s="50"/>
      <c r="R256" s="60" t="s">
        <v>962</v>
      </c>
      <c r="S256" s="45" t="s">
        <v>108</v>
      </c>
      <c r="T256" s="24" t="s">
        <v>963</v>
      </c>
      <c r="U256" s="9" t="s">
        <v>180</v>
      </c>
      <c r="V256" s="51" t="str">
        <f t="shared" si="3"/>
        <v>Ativo</v>
      </c>
      <c r="W256" s="45"/>
      <c r="X256" s="52" t="s">
        <v>110</v>
      </c>
      <c r="Y256" s="54"/>
      <c r="Z256" s="54"/>
      <c r="AA256" s="54"/>
      <c r="AB256" s="54"/>
      <c r="AC256" s="54"/>
      <c r="AD256" s="54"/>
      <c r="AE256" s="54"/>
      <c r="AF256" s="54">
        <v>0.0</v>
      </c>
      <c r="AG256" s="54">
        <v>0.0</v>
      </c>
      <c r="AH256" s="54">
        <v>0.0</v>
      </c>
      <c r="AI256" s="54">
        <v>0.0</v>
      </c>
      <c r="AJ256" s="54">
        <v>150839.36</v>
      </c>
      <c r="AK256" s="54">
        <v>151158.65</v>
      </c>
      <c r="AL256" s="54">
        <v>155985.48</v>
      </c>
      <c r="AM256" s="54">
        <v>159430.4</v>
      </c>
      <c r="AN256" s="54">
        <v>162488.4</v>
      </c>
      <c r="AO256" s="54">
        <v>160193.34</v>
      </c>
      <c r="AP256" s="53">
        <v>161566.9</v>
      </c>
      <c r="AQ256" s="53">
        <v>162955.89</v>
      </c>
      <c r="AR256" s="53">
        <v>161962.69</v>
      </c>
      <c r="AS256" s="53">
        <v>161363.3</v>
      </c>
      <c r="AT256" s="53">
        <v>162364.3</v>
      </c>
      <c r="AU256" s="53">
        <f t="array" ref="AU256">XLOOKUP(C256,'PL TOTAL D0'!A:A,'PL TOTAL D0'!C:C,"")</f>
        <v>164832.5</v>
      </c>
    </row>
    <row r="257" ht="15.75" customHeight="1">
      <c r="A257" s="41" t="s">
        <v>43</v>
      </c>
      <c r="B257" s="42" t="s">
        <v>964</v>
      </c>
      <c r="C257" s="157" t="s">
        <v>965</v>
      </c>
      <c r="D257" s="95" t="s">
        <v>105</v>
      </c>
      <c r="E257" s="164" t="s">
        <v>29</v>
      </c>
      <c r="F257" s="44" t="s">
        <v>106</v>
      </c>
      <c r="G257" s="44" t="str">
        <f t="shared" si="1"/>
        <v>Bruno</v>
      </c>
      <c r="H257" s="165" t="s">
        <v>107</v>
      </c>
      <c r="I257" s="46" t="s">
        <v>24</v>
      </c>
      <c r="J257" s="44" t="str">
        <f t="shared" si="5"/>
        <v>Não</v>
      </c>
      <c r="K257" s="166">
        <v>45140.0</v>
      </c>
      <c r="L257" s="167"/>
      <c r="M257" s="45" t="s">
        <v>55</v>
      </c>
      <c r="N257" s="94">
        <v>0.01</v>
      </c>
      <c r="O257" s="95" t="s">
        <v>24</v>
      </c>
      <c r="P257" s="168">
        <v>0.0</v>
      </c>
      <c r="Q257" s="169"/>
      <c r="R257" s="169"/>
      <c r="S257" s="164" t="s">
        <v>108</v>
      </c>
      <c r="T257" s="24" t="s">
        <v>966</v>
      </c>
      <c r="U257" s="13" t="s">
        <v>29</v>
      </c>
      <c r="V257" s="51" t="str">
        <f t="shared" si="3"/>
        <v>Ativo</v>
      </c>
      <c r="W257" s="164"/>
      <c r="X257" s="170" t="s">
        <v>110</v>
      </c>
      <c r="Y257" s="171"/>
      <c r="Z257" s="171"/>
      <c r="AA257" s="171"/>
      <c r="AB257" s="171"/>
      <c r="AC257" s="171"/>
      <c r="AD257" s="171"/>
      <c r="AE257" s="171"/>
      <c r="AF257" s="171"/>
      <c r="AG257" s="171"/>
      <c r="AH257" s="171"/>
      <c r="AI257" s="171"/>
      <c r="AJ257" s="171">
        <v>2602048.34</v>
      </c>
      <c r="AK257" s="171">
        <v>2732335.22</v>
      </c>
      <c r="AL257" s="54">
        <v>2754067.6</v>
      </c>
      <c r="AM257" s="54">
        <v>2770541.78</v>
      </c>
      <c r="AN257" s="54">
        <v>2791200.63</v>
      </c>
      <c r="AO257" s="54">
        <v>2800945.46</v>
      </c>
      <c r="AP257" s="53">
        <v>2815410.01</v>
      </c>
      <c r="AQ257" s="53">
        <v>2839628.15</v>
      </c>
      <c r="AR257" s="53">
        <v>2853685.02</v>
      </c>
      <c r="AS257" s="53">
        <v>2872593.0</v>
      </c>
      <c r="AT257" s="53">
        <v>2893378.0</v>
      </c>
      <c r="AU257" s="53">
        <f t="array" ref="AU257">XLOOKUP(C257,'PL TOTAL D0'!A:A,'PL TOTAL D0'!C:C,"")</f>
        <v>2902659</v>
      </c>
    </row>
    <row r="258" ht="15.75" customHeight="1">
      <c r="A258" s="41" t="s">
        <v>43</v>
      </c>
      <c r="B258" s="133" t="s">
        <v>967</v>
      </c>
      <c r="C258" s="81" t="s">
        <v>968</v>
      </c>
      <c r="D258" s="44" t="s">
        <v>18</v>
      </c>
      <c r="E258" s="45" t="s">
        <v>29</v>
      </c>
      <c r="F258" s="45" t="s">
        <v>78</v>
      </c>
      <c r="G258" s="44" t="str">
        <f t="shared" si="1"/>
        <v>#N/A</v>
      </c>
      <c r="H258" s="51" t="s">
        <v>186</v>
      </c>
      <c r="I258" s="51" t="s">
        <v>24</v>
      </c>
      <c r="J258" s="44" t="str">
        <f>IF(R258=0,"Não","Sim")</f>
        <v>Sim</v>
      </c>
      <c r="K258" s="47">
        <v>45180.0</v>
      </c>
      <c r="L258" s="82">
        <v>45449.0</v>
      </c>
      <c r="M258" s="45" t="s">
        <v>55</v>
      </c>
      <c r="N258" s="117">
        <v>0.012</v>
      </c>
      <c r="O258" s="44" t="s">
        <v>24</v>
      </c>
      <c r="P258" s="49">
        <v>0.0</v>
      </c>
      <c r="Q258" s="83"/>
      <c r="R258" s="73" t="s">
        <v>239</v>
      </c>
      <c r="S258" s="45" t="s">
        <v>108</v>
      </c>
      <c r="T258" s="24" t="s">
        <v>969</v>
      </c>
      <c r="U258" s="9" t="s">
        <v>791</v>
      </c>
      <c r="V258" s="51" t="str">
        <f t="shared" si="3"/>
        <v>Encerrado</v>
      </c>
      <c r="W258" s="45"/>
      <c r="X258" s="52" t="s">
        <v>110</v>
      </c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>
        <v>140046.36</v>
      </c>
      <c r="AL258" s="54">
        <v>137218.75</v>
      </c>
      <c r="AM258" s="54">
        <v>142385.63</v>
      </c>
      <c r="AN258" s="54">
        <v>144548.32</v>
      </c>
      <c r="AO258" s="54">
        <v>0.0</v>
      </c>
      <c r="AP258" s="53">
        <v>0.0</v>
      </c>
      <c r="AQ258" s="53">
        <v>0.0</v>
      </c>
      <c r="AR258" s="53">
        <v>0.0</v>
      </c>
      <c r="AS258" s="53">
        <v>0.0</v>
      </c>
      <c r="AT258" s="53">
        <v>0.0</v>
      </c>
      <c r="AU258" s="53" t="str">
        <f t="array" ref="AU258">XLOOKUP(C258,'PL TOTAL D0'!A:A,'PL TOTAL D0'!C:C,"")</f>
        <v/>
      </c>
    </row>
    <row r="259" ht="15.75" customHeight="1">
      <c r="A259" s="41" t="s">
        <v>43</v>
      </c>
      <c r="B259" s="42" t="s">
        <v>970</v>
      </c>
      <c r="C259" s="43" t="s">
        <v>971</v>
      </c>
      <c r="D259" s="44" t="s">
        <v>18</v>
      </c>
      <c r="E259" s="45" t="s">
        <v>29</v>
      </c>
      <c r="F259" s="24" t="s">
        <v>60</v>
      </c>
      <c r="G259" s="44" t="str">
        <f t="shared" si="1"/>
        <v>Augusto</v>
      </c>
      <c r="H259" s="46" t="s">
        <v>107</v>
      </c>
      <c r="I259" s="46" t="s">
        <v>24</v>
      </c>
      <c r="J259" s="44" t="str">
        <f t="shared" ref="J259:J381" si="6">IF(Q259=0,"Não","Sim")</f>
        <v>Não</v>
      </c>
      <c r="K259" s="47">
        <v>45049.0</v>
      </c>
      <c r="L259" s="45"/>
      <c r="M259" s="45" t="s">
        <v>269</v>
      </c>
      <c r="N259" s="117">
        <v>0.02</v>
      </c>
      <c r="O259" s="45" t="s">
        <v>48</v>
      </c>
      <c r="P259" s="118">
        <v>0.2</v>
      </c>
      <c r="Q259" s="50"/>
      <c r="R259" s="60" t="s">
        <v>972</v>
      </c>
      <c r="S259" s="45" t="s">
        <v>108</v>
      </c>
      <c r="T259" s="24" t="s">
        <v>973</v>
      </c>
      <c r="U259" s="9" t="s">
        <v>29</v>
      </c>
      <c r="V259" s="51" t="str">
        <f t="shared" si="3"/>
        <v>Ativo</v>
      </c>
      <c r="W259" s="45"/>
      <c r="X259" s="52" t="s">
        <v>119</v>
      </c>
      <c r="Y259" s="54"/>
      <c r="Z259" s="54"/>
      <c r="AA259" s="54"/>
      <c r="AB259" s="54"/>
      <c r="AC259" s="54"/>
      <c r="AD259" s="54"/>
      <c r="AE259" s="54"/>
      <c r="AF259" s="54">
        <v>20000.0</v>
      </c>
      <c r="AG259" s="54">
        <v>22448.47</v>
      </c>
      <c r="AH259" s="54">
        <v>27560.74</v>
      </c>
      <c r="AI259" s="54">
        <v>30883.77</v>
      </c>
      <c r="AJ259" s="54">
        <v>42960.57</v>
      </c>
      <c r="AK259" s="54">
        <v>42867.55</v>
      </c>
      <c r="AL259" s="54">
        <v>42436.21</v>
      </c>
      <c r="AM259" s="54">
        <v>45603.16</v>
      </c>
      <c r="AN259" s="54">
        <v>46752.95</v>
      </c>
      <c r="AO259" s="54">
        <v>47818.23</v>
      </c>
      <c r="AP259" s="53">
        <v>48284.92</v>
      </c>
      <c r="AQ259" s="53">
        <v>54098.91</v>
      </c>
      <c r="AR259" s="53">
        <v>55670.24</v>
      </c>
      <c r="AS259" s="53">
        <v>55450.68</v>
      </c>
      <c r="AT259" s="53">
        <v>23307.53</v>
      </c>
      <c r="AU259" s="53">
        <f t="array" ref="AU259">XLOOKUP(C259,'PL TOTAL D0'!A:A,'PL TOTAL D0'!C:C,"")</f>
        <v>4404.61</v>
      </c>
    </row>
    <row r="260" ht="15.75" customHeight="1">
      <c r="A260" s="41" t="s">
        <v>43</v>
      </c>
      <c r="B260" s="42" t="s">
        <v>974</v>
      </c>
      <c r="C260" s="43" t="s">
        <v>975</v>
      </c>
      <c r="D260" s="44" t="s">
        <v>18</v>
      </c>
      <c r="E260" s="45" t="s">
        <v>29</v>
      </c>
      <c r="F260" s="44" t="s">
        <v>168</v>
      </c>
      <c r="G260" s="44" t="str">
        <f t="shared" si="1"/>
        <v>Augusto</v>
      </c>
      <c r="H260" s="51" t="s">
        <v>147</v>
      </c>
      <c r="I260" s="51" t="s">
        <v>161</v>
      </c>
      <c r="J260" s="44" t="str">
        <f t="shared" si="6"/>
        <v>Não</v>
      </c>
      <c r="K260" s="47">
        <v>44993.0</v>
      </c>
      <c r="L260" s="45"/>
      <c r="M260" s="45" t="s">
        <v>55</v>
      </c>
      <c r="N260" s="48">
        <v>0.012</v>
      </c>
      <c r="O260" s="44" t="s">
        <v>24</v>
      </c>
      <c r="P260" s="49">
        <v>0.0</v>
      </c>
      <c r="Q260" s="50"/>
      <c r="R260" s="50"/>
      <c r="S260" s="45" t="s">
        <v>108</v>
      </c>
      <c r="T260" s="24" t="s">
        <v>976</v>
      </c>
      <c r="U260" s="9" t="s">
        <v>29</v>
      </c>
      <c r="V260" s="51" t="str">
        <f t="shared" si="3"/>
        <v>Ativo</v>
      </c>
      <c r="W260" s="45"/>
      <c r="X260" s="52" t="s">
        <v>119</v>
      </c>
      <c r="Y260" s="54"/>
      <c r="Z260" s="54"/>
      <c r="AA260" s="54"/>
      <c r="AB260" s="54"/>
      <c r="AC260" s="54"/>
      <c r="AD260" s="54">
        <v>0.0</v>
      </c>
      <c r="AE260" s="54">
        <v>67255.19</v>
      </c>
      <c r="AF260" s="54">
        <v>100244.63</v>
      </c>
      <c r="AG260" s="54">
        <v>101366.48</v>
      </c>
      <c r="AH260" s="54">
        <v>40.97</v>
      </c>
      <c r="AI260" s="54">
        <v>0.0</v>
      </c>
      <c r="AJ260" s="54">
        <v>0.0</v>
      </c>
      <c r="AK260" s="54">
        <v>0.0</v>
      </c>
      <c r="AL260" s="54">
        <v>0.0</v>
      </c>
      <c r="AM260" s="54">
        <v>0.0</v>
      </c>
      <c r="AN260" s="54">
        <v>0.0</v>
      </c>
      <c r="AO260" s="54">
        <v>0.0</v>
      </c>
      <c r="AP260" s="53">
        <v>0.0</v>
      </c>
      <c r="AQ260" s="53">
        <v>0.0</v>
      </c>
      <c r="AR260" s="53">
        <v>51.44</v>
      </c>
      <c r="AS260" s="53">
        <v>51.44</v>
      </c>
      <c r="AT260" s="53">
        <v>51.44</v>
      </c>
      <c r="AU260" s="53">
        <f t="array" ref="AU260">XLOOKUP(C260,'PL TOTAL D0'!A:A,'PL TOTAL D0'!C:C,"")</f>
        <v>51.44</v>
      </c>
    </row>
    <row r="261" ht="15.75" customHeight="1">
      <c r="A261" s="41" t="s">
        <v>43</v>
      </c>
      <c r="B261" s="42" t="s">
        <v>977</v>
      </c>
      <c r="C261" s="43" t="s">
        <v>978</v>
      </c>
      <c r="D261" s="44" t="s">
        <v>18</v>
      </c>
      <c r="E261" s="45" t="s">
        <v>29</v>
      </c>
      <c r="F261" s="44" t="s">
        <v>168</v>
      </c>
      <c r="G261" s="44" t="str">
        <f t="shared" si="1"/>
        <v>#N/A</v>
      </c>
      <c r="H261" s="51" t="s">
        <v>147</v>
      </c>
      <c r="I261" s="51" t="s">
        <v>161</v>
      </c>
      <c r="J261" s="44" t="str">
        <f t="shared" si="6"/>
        <v>Não</v>
      </c>
      <c r="K261" s="47">
        <v>45056.0</v>
      </c>
      <c r="L261" s="62"/>
      <c r="M261" s="45" t="s">
        <v>190</v>
      </c>
      <c r="N261" s="48">
        <v>0.025</v>
      </c>
      <c r="O261" s="44" t="s">
        <v>191</v>
      </c>
      <c r="P261" s="49">
        <v>0.2</v>
      </c>
      <c r="Q261" s="50"/>
      <c r="R261" s="50"/>
      <c r="S261" s="45" t="s">
        <v>108</v>
      </c>
      <c r="T261" s="24" t="s">
        <v>976</v>
      </c>
      <c r="U261" s="9" t="s">
        <v>29</v>
      </c>
      <c r="V261" s="51" t="str">
        <f t="shared" si="3"/>
        <v>Ativo</v>
      </c>
      <c r="W261" s="45"/>
      <c r="X261" s="52" t="s">
        <v>119</v>
      </c>
      <c r="Y261" s="54"/>
      <c r="Z261" s="54"/>
      <c r="AA261" s="54"/>
      <c r="AB261" s="54"/>
      <c r="AC261" s="54"/>
      <c r="AD261" s="54">
        <v>0.0</v>
      </c>
      <c r="AE261" s="54">
        <v>0.0</v>
      </c>
      <c r="AF261" s="54">
        <v>0.0</v>
      </c>
      <c r="AG261" s="54">
        <v>10590.8</v>
      </c>
      <c r="AH261" s="54">
        <v>862.31</v>
      </c>
      <c r="AI261" s="54">
        <v>0.0</v>
      </c>
      <c r="AJ261" s="54">
        <v>0.0</v>
      </c>
      <c r="AK261" s="54">
        <v>0.0</v>
      </c>
      <c r="AL261" s="54">
        <v>0.0</v>
      </c>
      <c r="AM261" s="54">
        <v>0.0</v>
      </c>
      <c r="AN261" s="54">
        <v>0.0</v>
      </c>
      <c r="AO261" s="54">
        <v>0.0</v>
      </c>
      <c r="AP261" s="53">
        <v>0.0</v>
      </c>
      <c r="AQ261" s="53">
        <v>0.0</v>
      </c>
      <c r="AR261" s="53">
        <v>0.0</v>
      </c>
      <c r="AS261" s="53">
        <v>0.0</v>
      </c>
      <c r="AT261" s="53">
        <v>0.0</v>
      </c>
      <c r="AU261" s="53" t="str">
        <f t="array" ref="AU261">XLOOKUP(C261,'PL TOTAL D0'!A:A,'PL TOTAL D0'!C:C,"")</f>
        <v/>
      </c>
    </row>
    <row r="262" ht="15.75" customHeight="1">
      <c r="A262" s="41" t="s">
        <v>43</v>
      </c>
      <c r="B262" s="42" t="s">
        <v>979</v>
      </c>
      <c r="C262" s="43" t="s">
        <v>980</v>
      </c>
      <c r="D262" s="44" t="s">
        <v>52</v>
      </c>
      <c r="E262" s="45" t="s">
        <v>19</v>
      </c>
      <c r="F262" s="44" t="s">
        <v>53</v>
      </c>
      <c r="G262" s="44" t="str">
        <f t="shared" si="1"/>
        <v>Breno</v>
      </c>
      <c r="H262" s="46" t="s">
        <v>107</v>
      </c>
      <c r="I262" s="46" t="s">
        <v>24</v>
      </c>
      <c r="J262" s="44" t="str">
        <f t="shared" si="6"/>
        <v>Sim</v>
      </c>
      <c r="K262" s="47">
        <v>45260.0</v>
      </c>
      <c r="L262" s="62"/>
      <c r="M262" s="45" t="s">
        <v>55</v>
      </c>
      <c r="N262" s="48">
        <v>0.01</v>
      </c>
      <c r="O262" s="44" t="s">
        <v>24</v>
      </c>
      <c r="P262" s="49">
        <v>0.0</v>
      </c>
      <c r="Q262" s="15" t="s">
        <v>981</v>
      </c>
      <c r="R262" s="50"/>
      <c r="S262" s="45" t="s">
        <v>108</v>
      </c>
      <c r="T262" s="24" t="s">
        <v>982</v>
      </c>
      <c r="U262" s="9" t="s">
        <v>19</v>
      </c>
      <c r="V262" s="51" t="str">
        <f t="shared" si="3"/>
        <v>Ativo</v>
      </c>
      <c r="W262" s="45"/>
      <c r="X262" s="52" t="s">
        <v>110</v>
      </c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>
        <v>338036.22</v>
      </c>
      <c r="AN262" s="54">
        <v>340522.0</v>
      </c>
      <c r="AO262" s="54">
        <v>343331.92</v>
      </c>
      <c r="AP262" s="53">
        <v>345734.41</v>
      </c>
      <c r="AQ262" s="53">
        <v>348379.66</v>
      </c>
      <c r="AR262" s="53">
        <v>350826.87</v>
      </c>
      <c r="AS262" s="53">
        <v>670892.2</v>
      </c>
      <c r="AT262" s="53">
        <v>676607.8</v>
      </c>
      <c r="AU262" s="53">
        <f t="array" ref="AU262">XLOOKUP(C262,'PL TOTAL D0'!A:A,'PL TOTAL D0'!C:C,"")</f>
        <v>678984.4</v>
      </c>
    </row>
    <row r="263" ht="15.75" customHeight="1">
      <c r="A263" s="41" t="s">
        <v>43</v>
      </c>
      <c r="B263" s="42" t="s">
        <v>979</v>
      </c>
      <c r="C263" s="43" t="s">
        <v>983</v>
      </c>
      <c r="D263" s="44" t="s">
        <v>52</v>
      </c>
      <c r="E263" s="45" t="s">
        <v>19</v>
      </c>
      <c r="F263" s="44" t="s">
        <v>53</v>
      </c>
      <c r="G263" s="44" t="str">
        <f t="shared" si="1"/>
        <v>#N/A</v>
      </c>
      <c r="H263" s="51" t="s">
        <v>147</v>
      </c>
      <c r="I263" s="51" t="s">
        <v>148</v>
      </c>
      <c r="J263" s="44" t="str">
        <f t="shared" si="6"/>
        <v>Não</v>
      </c>
      <c r="K263" s="47">
        <v>45260.0</v>
      </c>
      <c r="L263" s="62"/>
      <c r="M263" s="45" t="s">
        <v>149</v>
      </c>
      <c r="N263" s="48">
        <v>0.0</v>
      </c>
      <c r="O263" s="44" t="s">
        <v>24</v>
      </c>
      <c r="P263" s="49">
        <v>0.0</v>
      </c>
      <c r="Q263" s="149"/>
      <c r="R263" s="50"/>
      <c r="S263" s="45" t="s">
        <v>108</v>
      </c>
      <c r="T263" s="24" t="s">
        <v>982</v>
      </c>
      <c r="U263" s="9" t="s">
        <v>19</v>
      </c>
      <c r="V263" s="51" t="str">
        <f t="shared" si="3"/>
        <v>Ativo</v>
      </c>
      <c r="W263" s="45"/>
      <c r="X263" s="52" t="s">
        <v>110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550719.1</v>
      </c>
      <c r="AN263" s="54">
        <v>564843.35</v>
      </c>
      <c r="AO263" s="54">
        <v>557066.15</v>
      </c>
      <c r="AP263" s="53">
        <v>563498.62</v>
      </c>
      <c r="AQ263" s="53">
        <v>568342.23</v>
      </c>
      <c r="AR263" s="53">
        <v>564452.38</v>
      </c>
      <c r="AS263" s="53">
        <v>560162.5</v>
      </c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41" t="s">
        <v>43</v>
      </c>
      <c r="B264" s="64" t="s">
        <v>984</v>
      </c>
      <c r="C264" s="65" t="s">
        <v>985</v>
      </c>
      <c r="D264" s="9" t="s">
        <v>18</v>
      </c>
      <c r="E264" s="24" t="s">
        <v>19</v>
      </c>
      <c r="F264" s="9" t="s">
        <v>213</v>
      </c>
      <c r="G264" s="44" t="str">
        <f t="shared" si="1"/>
        <v>#N/A</v>
      </c>
      <c r="H264" s="51" t="s">
        <v>123</v>
      </c>
      <c r="I264" s="51" t="s">
        <v>219</v>
      </c>
      <c r="J264" s="44" t="str">
        <f t="shared" si="6"/>
        <v>Não</v>
      </c>
      <c r="K264" s="57">
        <v>45446.0</v>
      </c>
      <c r="L264" s="62"/>
      <c r="M264" s="24" t="s">
        <v>55</v>
      </c>
      <c r="N264" s="58">
        <v>0.012</v>
      </c>
      <c r="O264" s="9" t="s">
        <v>24</v>
      </c>
      <c r="P264" s="59">
        <v>0.0</v>
      </c>
      <c r="Q264" s="149"/>
      <c r="R264" s="50"/>
      <c r="S264" s="24" t="s">
        <v>108</v>
      </c>
      <c r="T264" s="24" t="s">
        <v>986</v>
      </c>
      <c r="U264" s="9" t="s">
        <v>19</v>
      </c>
      <c r="V264" s="51" t="str">
        <f t="shared" si="3"/>
        <v>Ativo</v>
      </c>
      <c r="W264" s="24" t="s">
        <v>63</v>
      </c>
      <c r="X264" s="52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3"/>
      <c r="AQ264" s="53"/>
      <c r="AR264" s="53"/>
      <c r="AS264" s="53"/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6" t="s">
        <v>43</v>
      </c>
      <c r="B265" s="64" t="s">
        <v>987</v>
      </c>
      <c r="C265" s="65" t="s">
        <v>988</v>
      </c>
      <c r="D265" s="9" t="s">
        <v>52</v>
      </c>
      <c r="E265" s="24" t="s">
        <v>19</v>
      </c>
      <c r="F265" s="9" t="s">
        <v>53</v>
      </c>
      <c r="G265" s="44" t="str">
        <f t="shared" si="1"/>
        <v>Augusto</v>
      </c>
      <c r="H265" s="51" t="s">
        <v>107</v>
      </c>
      <c r="I265" s="51" t="s">
        <v>24</v>
      </c>
      <c r="J265" s="44" t="str">
        <f t="shared" si="6"/>
        <v>Não</v>
      </c>
      <c r="K265" s="57">
        <v>45483.0</v>
      </c>
      <c r="L265" s="62"/>
      <c r="M265" s="24" t="s">
        <v>55</v>
      </c>
      <c r="N265" s="58">
        <v>0.012</v>
      </c>
      <c r="O265" s="9" t="s">
        <v>24</v>
      </c>
      <c r="P265" s="59">
        <v>0.0</v>
      </c>
      <c r="Q265" s="149"/>
      <c r="R265" s="50"/>
      <c r="S265" s="24" t="s">
        <v>108</v>
      </c>
      <c r="T265" s="24" t="s">
        <v>989</v>
      </c>
      <c r="U265" s="9" t="s">
        <v>19</v>
      </c>
      <c r="V265" s="51" t="str">
        <f t="shared" si="3"/>
        <v>Ativo</v>
      </c>
      <c r="W265" s="24" t="s">
        <v>75</v>
      </c>
      <c r="X265" s="52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3"/>
      <c r="AQ265" s="53"/>
      <c r="AR265" s="53"/>
      <c r="AS265" s="53"/>
      <c r="AT265" s="53"/>
      <c r="AU265" s="53">
        <f t="array" ref="AU265">XLOOKUP(C265,'PL TOTAL D0'!A:A,'PL TOTAL D0'!C:C,"")</f>
        <v>120086.8</v>
      </c>
    </row>
    <row r="266" ht="15.75" customHeight="1">
      <c r="A266" s="41" t="s">
        <v>43</v>
      </c>
      <c r="B266" s="42" t="s">
        <v>990</v>
      </c>
      <c r="C266" s="43" t="s">
        <v>991</v>
      </c>
      <c r="D266" s="9" t="s">
        <v>18</v>
      </c>
      <c r="E266" s="45" t="s">
        <v>29</v>
      </c>
      <c r="F266" s="9" t="s">
        <v>128</v>
      </c>
      <c r="G266" s="44" t="str">
        <f t="shared" si="1"/>
        <v>Augusto</v>
      </c>
      <c r="H266" s="46" t="s">
        <v>107</v>
      </c>
      <c r="I266" s="51" t="s">
        <v>24</v>
      </c>
      <c r="J266" s="44" t="str">
        <f t="shared" si="6"/>
        <v>Não</v>
      </c>
      <c r="K266" s="47">
        <v>45264.0</v>
      </c>
      <c r="L266" s="62"/>
      <c r="M266" s="24" t="s">
        <v>79</v>
      </c>
      <c r="N266" s="48">
        <v>0.014</v>
      </c>
      <c r="O266" s="44" t="s">
        <v>48</v>
      </c>
      <c r="P266" s="49">
        <v>0.2</v>
      </c>
      <c r="Q266" s="97"/>
      <c r="R266" s="50"/>
      <c r="S266" s="45" t="s">
        <v>108</v>
      </c>
      <c r="T266" s="24" t="s">
        <v>992</v>
      </c>
      <c r="U266" s="9" t="s">
        <v>29</v>
      </c>
      <c r="V266" s="51" t="str">
        <f t="shared" si="3"/>
        <v>Ativo</v>
      </c>
      <c r="W266" s="45"/>
      <c r="X266" s="52" t="s">
        <v>119</v>
      </c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>
        <v>24842.56</v>
      </c>
      <c r="AN266" s="54">
        <v>12876.33</v>
      </c>
      <c r="AO266" s="54">
        <v>12838.67</v>
      </c>
      <c r="AP266" s="53">
        <v>139108.07</v>
      </c>
      <c r="AQ266" s="53">
        <v>140596.37</v>
      </c>
      <c r="AR266" s="53">
        <v>140726.53</v>
      </c>
      <c r="AS266" s="53">
        <v>115281.2</v>
      </c>
      <c r="AT266" s="53">
        <v>85219.14</v>
      </c>
      <c r="AU266" s="53">
        <f t="array" ref="AU266">XLOOKUP(C266,'PL TOTAL D0'!A:A,'PL TOTAL D0'!C:C,"")</f>
        <v>86180.49</v>
      </c>
    </row>
    <row r="267" ht="15.75" customHeight="1">
      <c r="A267" s="41" t="s">
        <v>43</v>
      </c>
      <c r="B267" s="42" t="s">
        <v>993</v>
      </c>
      <c r="C267" s="43" t="s">
        <v>994</v>
      </c>
      <c r="D267" s="44" t="s">
        <v>18</v>
      </c>
      <c r="E267" s="45" t="s">
        <v>176</v>
      </c>
      <c r="F267" s="44" t="s">
        <v>177</v>
      </c>
      <c r="G267" s="44" t="str">
        <f t="shared" si="1"/>
        <v>Augusto</v>
      </c>
      <c r="H267" s="46" t="s">
        <v>107</v>
      </c>
      <c r="I267" s="46" t="s">
        <v>24</v>
      </c>
      <c r="J267" s="44" t="str">
        <f t="shared" si="6"/>
        <v>Não</v>
      </c>
      <c r="K267" s="47">
        <v>45071.0</v>
      </c>
      <c r="L267" s="45"/>
      <c r="M267" s="45" t="s">
        <v>79</v>
      </c>
      <c r="N267" s="48">
        <v>0.012</v>
      </c>
      <c r="O267" s="44" t="s">
        <v>24</v>
      </c>
      <c r="P267" s="49">
        <v>0.0</v>
      </c>
      <c r="Q267" s="74"/>
      <c r="R267" s="60" t="s">
        <v>829</v>
      </c>
      <c r="S267" s="45" t="s">
        <v>108</v>
      </c>
      <c r="T267" s="24" t="s">
        <v>995</v>
      </c>
      <c r="U267" s="9" t="s">
        <v>180</v>
      </c>
      <c r="V267" s="51" t="str">
        <f t="shared" si="3"/>
        <v>Ativo</v>
      </c>
      <c r="W267" s="45"/>
      <c r="X267" s="52" t="s">
        <v>110</v>
      </c>
      <c r="Y267" s="54"/>
      <c r="Z267" s="54"/>
      <c r="AA267" s="54"/>
      <c r="AB267" s="54"/>
      <c r="AC267" s="54"/>
      <c r="AD267" s="54"/>
      <c r="AE267" s="54">
        <v>0.0</v>
      </c>
      <c r="AF267" s="54">
        <v>4494.36</v>
      </c>
      <c r="AG267" s="54">
        <v>9046.45</v>
      </c>
      <c r="AH267" s="54">
        <v>59580.63</v>
      </c>
      <c r="AI267" s="54">
        <v>64645.61</v>
      </c>
      <c r="AJ267" s="54">
        <v>69737.71</v>
      </c>
      <c r="AK267" s="54">
        <v>73780.3</v>
      </c>
      <c r="AL267" s="54">
        <v>78497.84</v>
      </c>
      <c r="AM267" s="54">
        <v>83684.32</v>
      </c>
      <c r="AN267" s="54">
        <v>89258.15</v>
      </c>
      <c r="AO267" s="54">
        <v>93577.49</v>
      </c>
      <c r="AP267" s="53">
        <v>98876.78</v>
      </c>
      <c r="AQ267" s="53">
        <v>104327.22</v>
      </c>
      <c r="AR267" s="53">
        <v>108839.68</v>
      </c>
      <c r="AS267" s="53">
        <v>114048.5</v>
      </c>
      <c r="AT267" s="53">
        <v>119832.7</v>
      </c>
      <c r="AU267" s="53">
        <f t="array" ref="AU267">XLOOKUP(C267,'PL TOTAL D0'!A:A,'PL TOTAL D0'!C:C,"")</f>
        <v>120844.7</v>
      </c>
    </row>
    <row r="268" ht="15.75" customHeight="1">
      <c r="A268" s="41" t="s">
        <v>43</v>
      </c>
      <c r="B268" s="61" t="s">
        <v>996</v>
      </c>
      <c r="C268" s="43" t="s">
        <v>997</v>
      </c>
      <c r="D268" s="44" t="s">
        <v>18</v>
      </c>
      <c r="E268" s="45" t="s">
        <v>176</v>
      </c>
      <c r="F268" s="44" t="s">
        <v>177</v>
      </c>
      <c r="G268" s="44" t="str">
        <f t="shared" si="1"/>
        <v>Augusto</v>
      </c>
      <c r="H268" s="46" t="s">
        <v>107</v>
      </c>
      <c r="I268" s="46" t="s">
        <v>24</v>
      </c>
      <c r="J268" s="44" t="str">
        <f t="shared" si="6"/>
        <v>Não</v>
      </c>
      <c r="K268" s="47">
        <v>45166.0</v>
      </c>
      <c r="L268" s="62"/>
      <c r="M268" s="45" t="s">
        <v>55</v>
      </c>
      <c r="N268" s="48">
        <v>0.012</v>
      </c>
      <c r="O268" s="44" t="s">
        <v>24</v>
      </c>
      <c r="P268" s="49">
        <v>0.0</v>
      </c>
      <c r="Q268" s="50"/>
      <c r="R268" s="60" t="s">
        <v>998</v>
      </c>
      <c r="S268" s="45" t="s">
        <v>108</v>
      </c>
      <c r="T268" s="24" t="s">
        <v>999</v>
      </c>
      <c r="U268" s="51" t="s">
        <v>180</v>
      </c>
      <c r="V268" s="51" t="str">
        <f t="shared" si="3"/>
        <v>Ativo</v>
      </c>
      <c r="W268" s="45"/>
      <c r="X268" s="52" t="s">
        <v>110</v>
      </c>
      <c r="Y268" s="172"/>
      <c r="Z268" s="172"/>
      <c r="AA268" s="172"/>
      <c r="AB268" s="172"/>
      <c r="AC268" s="172"/>
      <c r="AD268" s="172"/>
      <c r="AE268" s="172"/>
      <c r="AF268" s="172">
        <v>0.0</v>
      </c>
      <c r="AG268" s="54">
        <v>0.0</v>
      </c>
      <c r="AH268" s="54">
        <v>0.0</v>
      </c>
      <c r="AI268" s="54">
        <v>0.0</v>
      </c>
      <c r="AJ268" s="54">
        <v>0.0</v>
      </c>
      <c r="AK268" s="54">
        <v>254370.41</v>
      </c>
      <c r="AL268" s="54">
        <v>255090.55</v>
      </c>
      <c r="AM268" s="54">
        <v>355615.23</v>
      </c>
      <c r="AN268" s="54">
        <v>359033.96</v>
      </c>
      <c r="AO268" s="54">
        <v>359051.22</v>
      </c>
      <c r="AP268" s="53">
        <v>361215.79</v>
      </c>
      <c r="AQ268" s="53">
        <v>361097.71</v>
      </c>
      <c r="AR268" s="53">
        <v>362952.49</v>
      </c>
      <c r="AS268" s="53">
        <v>363199.8</v>
      </c>
      <c r="AT268" s="53">
        <v>365484.1</v>
      </c>
      <c r="AU268" s="53">
        <f t="array" ref="AU268">XLOOKUP(C268,'PL TOTAL D0'!A:A,'PL TOTAL D0'!C:C,"")</f>
        <v>362926.8</v>
      </c>
    </row>
    <row r="269" ht="15.75" customHeight="1">
      <c r="A269" s="41" t="s">
        <v>43</v>
      </c>
      <c r="B269" s="61" t="s">
        <v>996</v>
      </c>
      <c r="C269" s="43" t="s">
        <v>1000</v>
      </c>
      <c r="D269" s="44" t="s">
        <v>18</v>
      </c>
      <c r="E269" s="45" t="s">
        <v>176</v>
      </c>
      <c r="F269" s="44" t="s">
        <v>177</v>
      </c>
      <c r="G269" s="44" t="str">
        <f t="shared" si="1"/>
        <v>Augusto</v>
      </c>
      <c r="H269" s="46" t="s">
        <v>147</v>
      </c>
      <c r="I269" s="51" t="s">
        <v>148</v>
      </c>
      <c r="J269" s="44" t="str">
        <f t="shared" si="6"/>
        <v>Sim</v>
      </c>
      <c r="K269" s="47">
        <v>45062.0</v>
      </c>
      <c r="L269" s="62"/>
      <c r="M269" s="24" t="s">
        <v>149</v>
      </c>
      <c r="N269" s="48">
        <v>0.0</v>
      </c>
      <c r="O269" s="44" t="s">
        <v>24</v>
      </c>
      <c r="P269" s="49">
        <v>0.0</v>
      </c>
      <c r="Q269" s="173" t="s">
        <v>1001</v>
      </c>
      <c r="R269" s="50"/>
      <c r="S269" s="45" t="s">
        <v>108</v>
      </c>
      <c r="T269" s="24" t="s">
        <v>999</v>
      </c>
      <c r="U269" s="51" t="s">
        <v>180</v>
      </c>
      <c r="V269" s="51" t="str">
        <f t="shared" si="3"/>
        <v>Ativo</v>
      </c>
      <c r="W269" s="45"/>
      <c r="X269" s="52" t="s">
        <v>110</v>
      </c>
      <c r="Y269" s="172"/>
      <c r="Z269" s="172"/>
      <c r="AA269" s="172"/>
      <c r="AB269" s="172"/>
      <c r="AC269" s="172"/>
      <c r="AD269" s="172"/>
      <c r="AE269" s="172"/>
      <c r="AF269" s="172">
        <v>0.0</v>
      </c>
      <c r="AG269" s="54">
        <v>0.0</v>
      </c>
      <c r="AH269" s="54">
        <v>0.0</v>
      </c>
      <c r="AI269" s="54">
        <v>0.0</v>
      </c>
      <c r="AJ269" s="54">
        <v>0.0</v>
      </c>
      <c r="AK269" s="54">
        <v>15451.87</v>
      </c>
      <c r="AL269" s="54">
        <v>111352.41</v>
      </c>
      <c r="AM269" s="54">
        <v>16431.38</v>
      </c>
      <c r="AN269" s="54">
        <v>17943.63</v>
      </c>
      <c r="AO269" s="54">
        <v>16053.74</v>
      </c>
      <c r="AP269" s="53">
        <v>15802.56</v>
      </c>
      <c r="AQ269" s="53">
        <v>18586.32</v>
      </c>
      <c r="AR269" s="53">
        <v>17453.16</v>
      </c>
      <c r="AS269" s="53">
        <v>17166.67</v>
      </c>
      <c r="AT269" s="53">
        <v>16998.55</v>
      </c>
      <c r="AU269" s="53">
        <f t="array" ref="AU269">XLOOKUP(C269,'PL TOTAL D0'!A:A,'PL TOTAL D0'!C:C,"")</f>
        <v>18210.77</v>
      </c>
    </row>
    <row r="270" ht="15.75" customHeight="1">
      <c r="A270" s="41" t="s">
        <v>43</v>
      </c>
      <c r="B270" s="42" t="s">
        <v>1002</v>
      </c>
      <c r="C270" s="43" t="s">
        <v>1003</v>
      </c>
      <c r="D270" s="44" t="s">
        <v>105</v>
      </c>
      <c r="E270" s="45" t="s">
        <v>29</v>
      </c>
      <c r="F270" s="44" t="s">
        <v>849</v>
      </c>
      <c r="G270" s="44" t="str">
        <f t="shared" si="1"/>
        <v>Bruno</v>
      </c>
      <c r="H270" s="46" t="s">
        <v>107</v>
      </c>
      <c r="I270" s="46" t="s">
        <v>24</v>
      </c>
      <c r="J270" s="44" t="str">
        <f t="shared" si="6"/>
        <v>Sim</v>
      </c>
      <c r="K270" s="47">
        <v>44981.0</v>
      </c>
      <c r="L270" s="45"/>
      <c r="M270" s="45" t="s">
        <v>55</v>
      </c>
      <c r="N270" s="48">
        <v>0.01</v>
      </c>
      <c r="O270" s="44" t="s">
        <v>24</v>
      </c>
      <c r="P270" s="49">
        <v>0.0</v>
      </c>
      <c r="Q270" s="174" t="s">
        <v>1004</v>
      </c>
      <c r="R270" s="50"/>
      <c r="S270" s="45" t="s">
        <v>108</v>
      </c>
      <c r="T270" s="24" t="s">
        <v>1005</v>
      </c>
      <c r="U270" s="9" t="s">
        <v>29</v>
      </c>
      <c r="V270" s="51" t="str">
        <f t="shared" si="3"/>
        <v>Ativo</v>
      </c>
      <c r="W270" s="45"/>
      <c r="X270" s="52" t="s">
        <v>110</v>
      </c>
      <c r="Y270" s="54"/>
      <c r="Z270" s="54"/>
      <c r="AA270" s="54"/>
      <c r="AB270" s="54"/>
      <c r="AC270" s="54"/>
      <c r="AD270" s="54">
        <v>0.0</v>
      </c>
      <c r="AE270" s="54">
        <v>1024736.72</v>
      </c>
      <c r="AF270" s="54">
        <v>1124960.48</v>
      </c>
      <c r="AG270" s="54">
        <v>1141560.8</v>
      </c>
      <c r="AH270" s="54">
        <v>1154904.36</v>
      </c>
      <c r="AI270" s="54">
        <v>1185006.62</v>
      </c>
      <c r="AJ270" s="54">
        <v>1197819.19</v>
      </c>
      <c r="AK270" s="54">
        <v>1211281.02</v>
      </c>
      <c r="AL270" s="54">
        <v>1228233.75</v>
      </c>
      <c r="AM270" s="54">
        <v>1236755.29</v>
      </c>
      <c r="AN270" s="54">
        <v>1261922.22</v>
      </c>
      <c r="AO270" s="54">
        <v>1272725.39</v>
      </c>
      <c r="AP270" s="53">
        <v>1282631.02</v>
      </c>
      <c r="AQ270" s="53">
        <v>1312108.37</v>
      </c>
      <c r="AR270" s="53">
        <v>1313712.5</v>
      </c>
      <c r="AS270" s="53">
        <v>1315401.0</v>
      </c>
      <c r="AT270" s="53">
        <v>1324639.0</v>
      </c>
      <c r="AU270" s="53">
        <f t="array" ref="AU270">XLOOKUP(C270,'PL TOTAL D0'!A:A,'PL TOTAL D0'!C:C,"")</f>
        <v>1354459</v>
      </c>
    </row>
    <row r="271" ht="15.75" customHeight="1">
      <c r="A271" s="41" t="s">
        <v>43</v>
      </c>
      <c r="B271" s="42" t="s">
        <v>1006</v>
      </c>
      <c r="C271" s="43" t="s">
        <v>1007</v>
      </c>
      <c r="D271" s="44" t="s">
        <v>18</v>
      </c>
      <c r="E271" s="45" t="s">
        <v>19</v>
      </c>
      <c r="F271" s="44" t="s">
        <v>20</v>
      </c>
      <c r="G271" s="44" t="str">
        <f t="shared" si="1"/>
        <v>Augusto</v>
      </c>
      <c r="H271" s="46" t="s">
        <v>107</v>
      </c>
      <c r="I271" s="46" t="s">
        <v>24</v>
      </c>
      <c r="J271" s="44" t="str">
        <f t="shared" si="6"/>
        <v>Não</v>
      </c>
      <c r="K271" s="47">
        <v>44951.0</v>
      </c>
      <c r="L271" s="45"/>
      <c r="M271" s="45" t="s">
        <v>55</v>
      </c>
      <c r="N271" s="48">
        <v>0.01</v>
      </c>
      <c r="O271" s="44" t="s">
        <v>24</v>
      </c>
      <c r="P271" s="49">
        <v>0.0</v>
      </c>
      <c r="Q271" s="74"/>
      <c r="R271" s="175" t="s">
        <v>1008</v>
      </c>
      <c r="S271" s="45" t="s">
        <v>369</v>
      </c>
      <c r="T271" s="24" t="s">
        <v>1009</v>
      </c>
      <c r="U271" s="9" t="s">
        <v>19</v>
      </c>
      <c r="V271" s="51" t="str">
        <f t="shared" si="3"/>
        <v>Ativo</v>
      </c>
      <c r="W271" s="45"/>
      <c r="X271" s="52" t="s">
        <v>119</v>
      </c>
      <c r="Y271" s="54"/>
      <c r="Z271" s="54"/>
      <c r="AA271" s="54"/>
      <c r="AB271" s="54"/>
      <c r="AC271" s="54">
        <v>166812.44</v>
      </c>
      <c r="AD271" s="54">
        <v>172150.64</v>
      </c>
      <c r="AE271" s="54">
        <v>116340.75</v>
      </c>
      <c r="AF271" s="54">
        <v>33029.19</v>
      </c>
      <c r="AG271" s="54">
        <v>33319.77</v>
      </c>
      <c r="AH271" s="54">
        <v>33450.01</v>
      </c>
      <c r="AI271" s="54">
        <v>33570.75</v>
      </c>
      <c r="AJ271" s="54">
        <v>33812.38</v>
      </c>
      <c r="AK271" s="54">
        <v>34034.86</v>
      </c>
      <c r="AL271" s="54">
        <v>34177.44</v>
      </c>
      <c r="AM271" s="54">
        <v>34378.83</v>
      </c>
      <c r="AN271" s="54">
        <v>34313.3</v>
      </c>
      <c r="AO271" s="54">
        <v>34671.11</v>
      </c>
      <c r="AP271" s="53">
        <v>34902.79</v>
      </c>
      <c r="AQ271" s="53">
        <v>35304.36</v>
      </c>
      <c r="AR271" s="53">
        <v>35362.11</v>
      </c>
      <c r="AS271" s="53">
        <v>35644.19</v>
      </c>
      <c r="AT271" s="53">
        <v>35812.68</v>
      </c>
      <c r="AU271" s="53">
        <f t="array" ref="AU271">XLOOKUP(C271,'PL TOTAL D0'!A:A,'PL TOTAL D0'!C:C,"")</f>
        <v>101110.3</v>
      </c>
    </row>
    <row r="272" ht="15.75" customHeight="1">
      <c r="A272" s="41" t="s">
        <v>43</v>
      </c>
      <c r="B272" s="42" t="s">
        <v>1010</v>
      </c>
      <c r="C272" s="43" t="s">
        <v>1011</v>
      </c>
      <c r="D272" s="44" t="s">
        <v>18</v>
      </c>
      <c r="E272" s="45" t="s">
        <v>176</v>
      </c>
      <c r="F272" s="44" t="s">
        <v>197</v>
      </c>
      <c r="G272" s="44" t="str">
        <f t="shared" si="1"/>
        <v>Augusto</v>
      </c>
      <c r="H272" s="46" t="s">
        <v>107</v>
      </c>
      <c r="I272" s="46" t="s">
        <v>24</v>
      </c>
      <c r="J272" s="44" t="str">
        <f t="shared" si="6"/>
        <v>Não</v>
      </c>
      <c r="K272" s="47">
        <v>45162.0</v>
      </c>
      <c r="L272" s="62"/>
      <c r="M272" s="45" t="s">
        <v>47</v>
      </c>
      <c r="N272" s="48">
        <v>0.015</v>
      </c>
      <c r="O272" s="44" t="s">
        <v>48</v>
      </c>
      <c r="P272" s="49">
        <v>0.1</v>
      </c>
      <c r="Q272" s="74"/>
      <c r="R272" s="60" t="s">
        <v>585</v>
      </c>
      <c r="S272" s="45" t="s">
        <v>108</v>
      </c>
      <c r="T272" s="24" t="s">
        <v>1012</v>
      </c>
      <c r="U272" s="9" t="s">
        <v>34</v>
      </c>
      <c r="V272" s="51" t="str">
        <f t="shared" si="3"/>
        <v>Ativo</v>
      </c>
      <c r="W272" s="45"/>
      <c r="X272" s="52" t="s">
        <v>110</v>
      </c>
      <c r="Y272" s="54"/>
      <c r="Z272" s="54"/>
      <c r="AA272" s="54"/>
      <c r="AB272" s="54"/>
      <c r="AC272" s="54"/>
      <c r="AD272" s="54"/>
      <c r="AE272" s="54"/>
      <c r="AF272" s="54">
        <v>0.0</v>
      </c>
      <c r="AG272" s="54">
        <v>0.0</v>
      </c>
      <c r="AH272" s="54">
        <v>0.0</v>
      </c>
      <c r="AI272" s="54">
        <v>0.0</v>
      </c>
      <c r="AJ272" s="54">
        <v>215837.83</v>
      </c>
      <c r="AK272" s="54">
        <v>339032.61</v>
      </c>
      <c r="AL272" s="54">
        <v>334907.89</v>
      </c>
      <c r="AM272" s="54">
        <v>341266.8</v>
      </c>
      <c r="AN272" s="54">
        <v>347862.26</v>
      </c>
      <c r="AO272" s="54">
        <v>291506.32</v>
      </c>
      <c r="AP272" s="53">
        <v>291958.98</v>
      </c>
      <c r="AQ272" s="53">
        <v>294925.98</v>
      </c>
      <c r="AR272" s="53">
        <v>293014.22</v>
      </c>
      <c r="AS272" s="53">
        <v>291363.1</v>
      </c>
      <c r="AT272" s="53">
        <v>281582.3</v>
      </c>
      <c r="AU272" s="53">
        <f t="array" ref="AU272">XLOOKUP(C272,'PL TOTAL D0'!A:A,'PL TOTAL D0'!C:C,"")</f>
        <v>285960.3</v>
      </c>
    </row>
    <row r="273" ht="15.75" customHeight="1">
      <c r="A273" s="41" t="s">
        <v>43</v>
      </c>
      <c r="B273" s="42" t="s">
        <v>1013</v>
      </c>
      <c r="C273" s="43" t="s">
        <v>1014</v>
      </c>
      <c r="D273" s="44" t="s">
        <v>18</v>
      </c>
      <c r="E273" s="45" t="s">
        <v>176</v>
      </c>
      <c r="F273" s="44" t="s">
        <v>177</v>
      </c>
      <c r="G273" s="44" t="str">
        <f t="shared" si="1"/>
        <v>Breno</v>
      </c>
      <c r="H273" s="46" t="s">
        <v>107</v>
      </c>
      <c r="I273" s="46" t="s">
        <v>24</v>
      </c>
      <c r="J273" s="44" t="str">
        <f t="shared" si="6"/>
        <v>Não</v>
      </c>
      <c r="K273" s="47">
        <v>45162.0</v>
      </c>
      <c r="L273" s="62"/>
      <c r="M273" s="45" t="s">
        <v>47</v>
      </c>
      <c r="N273" s="48">
        <v>0.015</v>
      </c>
      <c r="O273" s="44" t="s">
        <v>48</v>
      </c>
      <c r="P273" s="49">
        <v>0.1</v>
      </c>
      <c r="Q273" s="74"/>
      <c r="R273" s="60" t="s">
        <v>1015</v>
      </c>
      <c r="S273" s="45" t="s">
        <v>108</v>
      </c>
      <c r="T273" s="24" t="s">
        <v>1016</v>
      </c>
      <c r="U273" s="9" t="s">
        <v>180</v>
      </c>
      <c r="V273" s="51" t="str">
        <f t="shared" si="3"/>
        <v>Ativo</v>
      </c>
      <c r="W273" s="45"/>
      <c r="X273" s="52" t="s">
        <v>110</v>
      </c>
      <c r="Y273" s="54"/>
      <c r="Z273" s="54"/>
      <c r="AA273" s="54"/>
      <c r="AB273" s="54"/>
      <c r="AC273" s="54"/>
      <c r="AD273" s="54"/>
      <c r="AE273" s="54">
        <v>0.0</v>
      </c>
      <c r="AF273" s="54">
        <v>0.0</v>
      </c>
      <c r="AG273" s="54">
        <v>0.0</v>
      </c>
      <c r="AH273" s="54">
        <v>0.0</v>
      </c>
      <c r="AI273" s="54">
        <v>0.0</v>
      </c>
      <c r="AJ273" s="54">
        <v>379303.12</v>
      </c>
      <c r="AK273" s="54">
        <v>380937.88</v>
      </c>
      <c r="AL273" s="54">
        <v>376718.5</v>
      </c>
      <c r="AM273" s="54">
        <v>385262.12</v>
      </c>
      <c r="AN273" s="54">
        <v>392664.63</v>
      </c>
      <c r="AO273" s="54">
        <v>386516.66</v>
      </c>
      <c r="AP273" s="53">
        <v>388053.01</v>
      </c>
      <c r="AQ273" s="53">
        <v>404628.32</v>
      </c>
      <c r="AR273" s="53">
        <v>400904.77</v>
      </c>
      <c r="AS273" s="53">
        <v>399765.9</v>
      </c>
      <c r="AT273" s="53">
        <v>402285.0</v>
      </c>
      <c r="AU273" s="53">
        <f t="array" ref="AU273">XLOOKUP(C273,'PL TOTAL D0'!A:A,'PL TOTAL D0'!C:C,"")</f>
        <v>408213</v>
      </c>
    </row>
    <row r="274" ht="15.75" customHeight="1">
      <c r="A274" s="41" t="s">
        <v>43</v>
      </c>
      <c r="B274" s="42" t="s">
        <v>1017</v>
      </c>
      <c r="C274" s="43" t="s">
        <v>1018</v>
      </c>
      <c r="D274" s="44" t="s">
        <v>18</v>
      </c>
      <c r="E274" s="45" t="s">
        <v>19</v>
      </c>
      <c r="F274" s="44" t="s">
        <v>256</v>
      </c>
      <c r="G274" s="44" t="str">
        <f t="shared" si="1"/>
        <v>Augusto</v>
      </c>
      <c r="H274" s="51" t="s">
        <v>147</v>
      </c>
      <c r="I274" s="46" t="s">
        <v>219</v>
      </c>
      <c r="J274" s="44" t="str">
        <f t="shared" si="6"/>
        <v>Não</v>
      </c>
      <c r="K274" s="47">
        <v>44928.0</v>
      </c>
      <c r="L274" s="45"/>
      <c r="M274" s="45" t="s">
        <v>55</v>
      </c>
      <c r="N274" s="48">
        <v>0.01</v>
      </c>
      <c r="O274" s="44" t="s">
        <v>24</v>
      </c>
      <c r="P274" s="49">
        <v>0.0</v>
      </c>
      <c r="Q274" s="50"/>
      <c r="R274" s="60" t="s">
        <v>1019</v>
      </c>
      <c r="S274" s="45" t="s">
        <v>108</v>
      </c>
      <c r="T274" s="24" t="s">
        <v>1020</v>
      </c>
      <c r="U274" s="9" t="s">
        <v>29</v>
      </c>
      <c r="V274" s="51" t="str">
        <f t="shared" si="3"/>
        <v>Ativo</v>
      </c>
      <c r="W274" s="45"/>
      <c r="X274" s="52" t="s">
        <v>119</v>
      </c>
      <c r="Y274" s="54"/>
      <c r="Z274" s="54"/>
      <c r="AA274" s="54"/>
      <c r="AB274" s="54">
        <v>20142.9</v>
      </c>
      <c r="AC274" s="54">
        <v>7109.61</v>
      </c>
      <c r="AD274" s="54">
        <v>7168.33</v>
      </c>
      <c r="AE274" s="54">
        <v>9.65</v>
      </c>
      <c r="AF274" s="54">
        <v>9.66</v>
      </c>
      <c r="AG274" s="54">
        <v>9.67</v>
      </c>
      <c r="AH274" s="54">
        <v>9.67</v>
      </c>
      <c r="AI274" s="54">
        <v>9.68</v>
      </c>
      <c r="AJ274" s="54">
        <v>9.69</v>
      </c>
      <c r="AK274" s="54">
        <v>9.7</v>
      </c>
      <c r="AL274" s="54">
        <v>9.71</v>
      </c>
      <c r="AM274" s="54">
        <v>9.71</v>
      </c>
      <c r="AN274" s="54">
        <v>9.72</v>
      </c>
      <c r="AO274" s="54">
        <v>9.73</v>
      </c>
      <c r="AP274" s="53">
        <v>9.73</v>
      </c>
      <c r="AQ274" s="53">
        <v>9.74</v>
      </c>
      <c r="AR274" s="53">
        <v>9.75</v>
      </c>
      <c r="AS274" s="53">
        <v>9.76</v>
      </c>
      <c r="AT274" s="53">
        <v>9.76</v>
      </c>
      <c r="AU274" s="53">
        <f t="array" ref="AU274">XLOOKUP(C274,'PL TOTAL D0'!A:A,'PL TOTAL D0'!C:C,"")</f>
        <v>9.77</v>
      </c>
    </row>
    <row r="275" ht="15.75" customHeight="1">
      <c r="A275" s="41" t="s">
        <v>43</v>
      </c>
      <c r="B275" s="42" t="s">
        <v>1021</v>
      </c>
      <c r="C275" s="43" t="s">
        <v>1022</v>
      </c>
      <c r="D275" s="44" t="s">
        <v>18</v>
      </c>
      <c r="E275" s="45" t="s">
        <v>19</v>
      </c>
      <c r="F275" s="44" t="s">
        <v>20</v>
      </c>
      <c r="G275" s="44" t="str">
        <f t="shared" si="1"/>
        <v>#N/A</v>
      </c>
      <c r="H275" s="46" t="s">
        <v>186</v>
      </c>
      <c r="I275" s="46" t="s">
        <v>24</v>
      </c>
      <c r="J275" s="44" t="str">
        <f t="shared" si="6"/>
        <v>Não</v>
      </c>
      <c r="K275" s="47">
        <v>44951.0</v>
      </c>
      <c r="L275" s="72">
        <v>45126.0</v>
      </c>
      <c r="M275" s="45" t="s">
        <v>55</v>
      </c>
      <c r="N275" s="48">
        <v>0.012</v>
      </c>
      <c r="O275" s="44" t="s">
        <v>24</v>
      </c>
      <c r="P275" s="49">
        <v>0.0</v>
      </c>
      <c r="Q275" s="74"/>
      <c r="R275" s="50"/>
      <c r="S275" s="45" t="s">
        <v>108</v>
      </c>
      <c r="T275" s="24" t="s">
        <v>1023</v>
      </c>
      <c r="U275" s="9" t="s">
        <v>19</v>
      </c>
      <c r="V275" s="51" t="str">
        <f t="shared" si="3"/>
        <v>Encerrado</v>
      </c>
      <c r="W275" s="45"/>
      <c r="X275" s="52"/>
      <c r="Y275" s="54"/>
      <c r="Z275" s="54"/>
      <c r="AA275" s="54"/>
      <c r="AB275" s="54"/>
      <c r="AC275" s="54">
        <v>174735.51</v>
      </c>
      <c r="AD275" s="54">
        <v>175767.51</v>
      </c>
      <c r="AE275" s="54">
        <v>150419.13</v>
      </c>
      <c r="AF275" s="54">
        <v>163652.6</v>
      </c>
      <c r="AG275" s="54">
        <v>165822.31</v>
      </c>
      <c r="AH275" s="54">
        <v>167418.83</v>
      </c>
      <c r="AI275" s="54">
        <v>0.0</v>
      </c>
      <c r="AJ275" s="54">
        <v>0.0</v>
      </c>
      <c r="AK275" s="54">
        <v>0.0</v>
      </c>
      <c r="AL275" s="54">
        <v>0.0</v>
      </c>
      <c r="AM275" s="54">
        <v>0.0</v>
      </c>
      <c r="AN275" s="54">
        <v>0.0</v>
      </c>
      <c r="AO275" s="54">
        <v>0.0</v>
      </c>
      <c r="AP275" s="53">
        <v>0.0</v>
      </c>
      <c r="AQ275" s="53">
        <v>0.0</v>
      </c>
      <c r="AR275" s="53">
        <v>0.0</v>
      </c>
      <c r="AS275" s="53">
        <v>0.0</v>
      </c>
      <c r="AT275" s="53">
        <v>0.0</v>
      </c>
      <c r="AU275" s="53" t="str">
        <f t="array" ref="AU275">XLOOKUP(C275,'PL TOTAL D0'!A:A,'PL TOTAL D0'!C:C,"")</f>
        <v/>
      </c>
    </row>
    <row r="276" ht="15.75" customHeight="1">
      <c r="A276" s="41" t="s">
        <v>43</v>
      </c>
      <c r="B276" s="42" t="s">
        <v>1024</v>
      </c>
      <c r="C276" s="43" t="s">
        <v>1025</v>
      </c>
      <c r="D276" s="44" t="s">
        <v>18</v>
      </c>
      <c r="E276" s="45" t="s">
        <v>29</v>
      </c>
      <c r="F276" s="44" t="s">
        <v>60</v>
      </c>
      <c r="G276" s="44" t="str">
        <f t="shared" si="1"/>
        <v>Augusto</v>
      </c>
      <c r="H276" s="51" t="s">
        <v>147</v>
      </c>
      <c r="I276" s="51" t="s">
        <v>219</v>
      </c>
      <c r="J276" s="44" t="str">
        <f t="shared" si="6"/>
        <v>Não</v>
      </c>
      <c r="K276" s="47">
        <v>44924.0</v>
      </c>
      <c r="L276" s="45"/>
      <c r="M276" s="45" t="s">
        <v>55</v>
      </c>
      <c r="N276" s="48">
        <v>0.012</v>
      </c>
      <c r="O276" s="44" t="s">
        <v>24</v>
      </c>
      <c r="P276" s="49">
        <v>0.0</v>
      </c>
      <c r="Q276" s="139"/>
      <c r="R276" s="139"/>
      <c r="S276" s="45" t="s">
        <v>108</v>
      </c>
      <c r="T276" s="24" t="s">
        <v>1026</v>
      </c>
      <c r="U276" s="9" t="s">
        <v>791</v>
      </c>
      <c r="V276" s="51" t="str">
        <f t="shared" si="3"/>
        <v>Ativo</v>
      </c>
      <c r="W276" s="45"/>
      <c r="X276" s="52" t="s">
        <v>119</v>
      </c>
      <c r="Y276" s="54"/>
      <c r="Z276" s="54"/>
      <c r="AA276" s="54"/>
      <c r="AB276" s="54">
        <v>200089.91</v>
      </c>
      <c r="AC276" s="54">
        <v>202258.1</v>
      </c>
      <c r="AD276" s="54">
        <v>203853.38</v>
      </c>
      <c r="AE276" s="54">
        <v>206066.06</v>
      </c>
      <c r="AF276" s="54">
        <v>207604.09</v>
      </c>
      <c r="AG276" s="54">
        <v>209789.01</v>
      </c>
      <c r="AH276" s="54">
        <v>211684.93</v>
      </c>
      <c r="AI276" s="54">
        <v>213546.39</v>
      </c>
      <c r="AJ276" s="54">
        <v>215625.62</v>
      </c>
      <c r="AK276" s="54">
        <v>217385.52</v>
      </c>
      <c r="AL276" s="54">
        <v>219295.9</v>
      </c>
      <c r="AM276" s="54">
        <v>207.97</v>
      </c>
      <c r="AN276" s="54">
        <v>21.27</v>
      </c>
      <c r="AO276" s="54">
        <v>21.27</v>
      </c>
      <c r="AP276" s="53">
        <v>136.82</v>
      </c>
      <c r="AQ276" s="53">
        <v>137.32</v>
      </c>
      <c r="AR276" s="53">
        <v>138.53</v>
      </c>
      <c r="AS276" s="53">
        <v>139.24</v>
      </c>
      <c r="AT276" s="53">
        <v>140.34</v>
      </c>
      <c r="AU276" s="53">
        <f t="array" ref="AU276">XLOOKUP(C276,'PL TOTAL D0'!A:A,'PL TOTAL D0'!C:C,"")</f>
        <v>140.89</v>
      </c>
    </row>
    <row r="277" ht="15.75" customHeight="1">
      <c r="A277" s="41" t="s">
        <v>43</v>
      </c>
      <c r="B277" s="55" t="s">
        <v>1027</v>
      </c>
      <c r="C277" s="56" t="s">
        <v>1028</v>
      </c>
      <c r="D277" s="9" t="s">
        <v>18</v>
      </c>
      <c r="E277" s="24" t="s">
        <v>29</v>
      </c>
      <c r="F277" s="44" t="s">
        <v>60</v>
      </c>
      <c r="G277" s="44" t="str">
        <f t="shared" si="1"/>
        <v>#N/A</v>
      </c>
      <c r="H277" s="51" t="s">
        <v>123</v>
      </c>
      <c r="I277" s="51" t="s">
        <v>24</v>
      </c>
      <c r="J277" s="44" t="str">
        <f t="shared" si="6"/>
        <v>Não</v>
      </c>
      <c r="K277" s="57">
        <v>45467.0</v>
      </c>
      <c r="L277" s="45"/>
      <c r="M277" s="24" t="s">
        <v>389</v>
      </c>
      <c r="N277" s="58">
        <v>0.008</v>
      </c>
      <c r="O277" s="9" t="s">
        <v>24</v>
      </c>
      <c r="P277" s="59">
        <v>0.0</v>
      </c>
      <c r="Q277" s="139"/>
      <c r="R277" s="139"/>
      <c r="S277" s="24" t="s">
        <v>369</v>
      </c>
      <c r="T277" s="24" t="s">
        <v>1029</v>
      </c>
      <c r="U277" s="9" t="s">
        <v>29</v>
      </c>
      <c r="V277" s="51" t="str">
        <f t="shared" si="3"/>
        <v>Ativo</v>
      </c>
      <c r="W277" s="24" t="s">
        <v>63</v>
      </c>
      <c r="X277" s="52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3"/>
      <c r="AQ277" s="53"/>
      <c r="AR277" s="53"/>
      <c r="AS277" s="53"/>
      <c r="AT277" s="53">
        <v>0.0</v>
      </c>
      <c r="AU277" s="53" t="str">
        <f t="array" ref="AU277">XLOOKUP(C277,'PL TOTAL D0'!A:A,'PL TOTAL D0'!C:C,"")</f>
        <v/>
      </c>
    </row>
    <row r="278" ht="15.75" customHeight="1">
      <c r="A278" s="41" t="s">
        <v>43</v>
      </c>
      <c r="B278" s="42" t="s">
        <v>1030</v>
      </c>
      <c r="C278" s="43" t="s">
        <v>1031</v>
      </c>
      <c r="D278" s="44" t="s">
        <v>18</v>
      </c>
      <c r="E278" s="45" t="s">
        <v>176</v>
      </c>
      <c r="F278" s="44" t="s">
        <v>532</v>
      </c>
      <c r="G278" s="44" t="str">
        <f t="shared" si="1"/>
        <v>#N/A</v>
      </c>
      <c r="H278" s="46" t="s">
        <v>147</v>
      </c>
      <c r="I278" s="46" t="s">
        <v>219</v>
      </c>
      <c r="J278" s="44" t="str">
        <f t="shared" si="6"/>
        <v>Não</v>
      </c>
      <c r="K278" s="47">
        <v>45166.0</v>
      </c>
      <c r="L278" s="62"/>
      <c r="M278" s="45" t="s">
        <v>55</v>
      </c>
      <c r="N278" s="48">
        <v>0.007</v>
      </c>
      <c r="O278" s="44" t="s">
        <v>24</v>
      </c>
      <c r="P278" s="49">
        <v>0.0</v>
      </c>
      <c r="Q278" s="139"/>
      <c r="R278" s="50" t="s">
        <v>1032</v>
      </c>
      <c r="S278" s="45" t="s">
        <v>108</v>
      </c>
      <c r="T278" s="24" t="s">
        <v>1033</v>
      </c>
      <c r="U278" s="9" t="s">
        <v>34</v>
      </c>
      <c r="V278" s="51" t="str">
        <f t="shared" si="3"/>
        <v>Ativo</v>
      </c>
      <c r="W278" s="45"/>
      <c r="X278" s="52" t="s">
        <v>110</v>
      </c>
      <c r="Y278" s="54"/>
      <c r="Z278" s="54"/>
      <c r="AA278" s="54"/>
      <c r="AB278" s="54"/>
      <c r="AC278" s="54"/>
      <c r="AD278" s="54"/>
      <c r="AE278" s="54"/>
      <c r="AF278" s="54">
        <v>0.0</v>
      </c>
      <c r="AG278" s="54">
        <v>0.0</v>
      </c>
      <c r="AH278" s="54">
        <v>0.0</v>
      </c>
      <c r="AI278" s="54">
        <v>0.0</v>
      </c>
      <c r="AJ278" s="54">
        <v>0.0</v>
      </c>
      <c r="AK278" s="54">
        <v>0.0</v>
      </c>
      <c r="AL278" s="54">
        <v>0.0</v>
      </c>
      <c r="AM278" s="54">
        <v>0.0</v>
      </c>
      <c r="AN278" s="54">
        <v>0.0</v>
      </c>
      <c r="AO278" s="54">
        <v>0.0</v>
      </c>
      <c r="AP278" s="53">
        <v>0.0</v>
      </c>
      <c r="AQ278" s="53">
        <v>0.0</v>
      </c>
      <c r="AR278" s="53">
        <v>0.0</v>
      </c>
      <c r="AS278" s="53">
        <v>0.0</v>
      </c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43</v>
      </c>
      <c r="B279" s="126" t="s">
        <v>1034</v>
      </c>
      <c r="C279" s="71" t="s">
        <v>1035</v>
      </c>
      <c r="D279" s="44" t="s">
        <v>18</v>
      </c>
      <c r="E279" s="45" t="s">
        <v>19</v>
      </c>
      <c r="F279" s="44" t="s">
        <v>20</v>
      </c>
      <c r="G279" s="44" t="str">
        <f t="shared" si="1"/>
        <v>Bruno</v>
      </c>
      <c r="H279" s="51" t="s">
        <v>107</v>
      </c>
      <c r="I279" s="51" t="s">
        <v>24</v>
      </c>
      <c r="J279" s="44" t="str">
        <f t="shared" si="6"/>
        <v>Não</v>
      </c>
      <c r="K279" s="47">
        <v>45219.0</v>
      </c>
      <c r="L279" s="45"/>
      <c r="M279" s="45" t="s">
        <v>55</v>
      </c>
      <c r="N279" s="176">
        <v>0.008</v>
      </c>
      <c r="O279" s="44" t="s">
        <v>24</v>
      </c>
      <c r="P279" s="49">
        <v>0.0</v>
      </c>
      <c r="Q279" s="50"/>
      <c r="R279" s="50"/>
      <c r="S279" s="45" t="s">
        <v>369</v>
      </c>
      <c r="T279" s="24" t="s">
        <v>1036</v>
      </c>
      <c r="U279" s="9" t="s">
        <v>19</v>
      </c>
      <c r="V279" s="51" t="str">
        <f t="shared" si="3"/>
        <v>Ativo</v>
      </c>
      <c r="W279" s="45"/>
      <c r="X279" s="52" t="s">
        <v>119</v>
      </c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>
        <v>0.0</v>
      </c>
      <c r="AM279" s="54">
        <v>0.0</v>
      </c>
      <c r="AN279" s="54">
        <v>0.0</v>
      </c>
      <c r="AO279" s="54">
        <v>0.0</v>
      </c>
      <c r="AP279" s="53">
        <v>886613.59</v>
      </c>
      <c r="AQ279" s="53">
        <v>983365.96</v>
      </c>
      <c r="AR279" s="53">
        <v>1493039.19</v>
      </c>
      <c r="AS279" s="53">
        <v>2057689.0</v>
      </c>
      <c r="AT279" s="53">
        <v>2075857.0</v>
      </c>
      <c r="AU279" s="53">
        <f t="array" ref="AU279">XLOOKUP(C279,'PL TOTAL D0'!A:A,'PL TOTAL D0'!C:C,"")</f>
        <v>2583906</v>
      </c>
    </row>
    <row r="280" ht="15.75" customHeight="1">
      <c r="A280" s="41" t="s">
        <v>43</v>
      </c>
      <c r="B280" s="42" t="s">
        <v>1037</v>
      </c>
      <c r="C280" s="43" t="s">
        <v>1038</v>
      </c>
      <c r="D280" s="44" t="s">
        <v>18</v>
      </c>
      <c r="E280" s="45" t="s">
        <v>19</v>
      </c>
      <c r="F280" s="44" t="s">
        <v>20</v>
      </c>
      <c r="G280" s="44" t="str">
        <f t="shared" si="1"/>
        <v>Augusto</v>
      </c>
      <c r="H280" s="46" t="s">
        <v>107</v>
      </c>
      <c r="I280" s="46" t="s">
        <v>24</v>
      </c>
      <c r="J280" s="44" t="str">
        <f t="shared" si="6"/>
        <v>Não</v>
      </c>
      <c r="K280" s="47">
        <v>44998.0</v>
      </c>
      <c r="L280" s="45"/>
      <c r="M280" s="45" t="s">
        <v>55</v>
      </c>
      <c r="N280" s="48">
        <v>0.012</v>
      </c>
      <c r="O280" s="44" t="s">
        <v>24</v>
      </c>
      <c r="P280" s="49">
        <v>0.0</v>
      </c>
      <c r="Q280" s="139"/>
      <c r="R280" s="139"/>
      <c r="S280" s="45" t="s">
        <v>108</v>
      </c>
      <c r="T280" s="24" t="s">
        <v>1039</v>
      </c>
      <c r="U280" s="9" t="s">
        <v>19</v>
      </c>
      <c r="V280" s="51" t="str">
        <f t="shared" si="3"/>
        <v>Ativo</v>
      </c>
      <c r="W280" s="45"/>
      <c r="X280" s="52" t="s">
        <v>119</v>
      </c>
      <c r="Y280" s="54"/>
      <c r="Z280" s="54"/>
      <c r="AA280" s="54"/>
      <c r="AB280" s="54"/>
      <c r="AC280" s="54"/>
      <c r="AD280" s="54">
        <v>21865.15</v>
      </c>
      <c r="AE280" s="54">
        <v>43465.11</v>
      </c>
      <c r="AF280" s="54">
        <v>43794.1</v>
      </c>
      <c r="AG280" s="54">
        <v>43995.85</v>
      </c>
      <c r="AH280" s="54">
        <v>44411.94</v>
      </c>
      <c r="AI280" s="54">
        <v>43803.84</v>
      </c>
      <c r="AJ280" s="54">
        <v>8628.77</v>
      </c>
      <c r="AK280" s="54">
        <v>8648.56</v>
      </c>
      <c r="AL280" s="54">
        <v>8712.66</v>
      </c>
      <c r="AM280" s="54">
        <v>8769.11</v>
      </c>
      <c r="AN280" s="54">
        <v>8830.75</v>
      </c>
      <c r="AO280" s="54">
        <v>8914.99</v>
      </c>
      <c r="AP280" s="53">
        <v>8989.08</v>
      </c>
      <c r="AQ280" s="53">
        <v>9079.5</v>
      </c>
      <c r="AR280" s="53">
        <v>9175.44</v>
      </c>
      <c r="AS280" s="53">
        <v>9241.1</v>
      </c>
      <c r="AT280" s="53">
        <v>9315.07</v>
      </c>
      <c r="AU280" s="53">
        <f t="array" ref="AU280">XLOOKUP(C280,'PL TOTAL D0'!A:A,'PL TOTAL D0'!C:C,"")</f>
        <v>9349.91</v>
      </c>
    </row>
    <row r="281" ht="15.75" customHeight="1">
      <c r="A281" s="41" t="s">
        <v>43</v>
      </c>
      <c r="B281" s="42" t="s">
        <v>1040</v>
      </c>
      <c r="C281" s="43" t="s">
        <v>1041</v>
      </c>
      <c r="D281" s="44" t="s">
        <v>18</v>
      </c>
      <c r="E281" s="45" t="s">
        <v>29</v>
      </c>
      <c r="F281" s="44" t="s">
        <v>294</v>
      </c>
      <c r="G281" s="44" t="str">
        <f t="shared" si="1"/>
        <v>Augusto</v>
      </c>
      <c r="H281" s="46" t="s">
        <v>107</v>
      </c>
      <c r="I281" s="46" t="s">
        <v>24</v>
      </c>
      <c r="J281" s="44" t="str">
        <f t="shared" si="6"/>
        <v>Não</v>
      </c>
      <c r="K281" s="47">
        <v>45086.0</v>
      </c>
      <c r="L281" s="45"/>
      <c r="M281" s="45" t="s">
        <v>129</v>
      </c>
      <c r="N281" s="58">
        <v>0.0</v>
      </c>
      <c r="O281" s="9" t="s">
        <v>24</v>
      </c>
      <c r="P281" s="59">
        <v>0.0</v>
      </c>
      <c r="Q281" s="41"/>
      <c r="R281" s="60" t="s">
        <v>1042</v>
      </c>
      <c r="S281" s="45" t="s">
        <v>108</v>
      </c>
      <c r="T281" s="24" t="s">
        <v>1043</v>
      </c>
      <c r="U281" s="9" t="s">
        <v>29</v>
      </c>
      <c r="V281" s="51" t="str">
        <f t="shared" si="3"/>
        <v>Ativo</v>
      </c>
      <c r="W281" s="45"/>
      <c r="X281" s="52" t="s">
        <v>119</v>
      </c>
      <c r="Y281" s="54"/>
      <c r="Z281" s="54"/>
      <c r="AA281" s="54"/>
      <c r="AB281" s="54"/>
      <c r="AC281" s="54"/>
      <c r="AD281" s="54"/>
      <c r="AE281" s="54"/>
      <c r="AF281" s="54"/>
      <c r="AG281" s="54">
        <v>0.0</v>
      </c>
      <c r="AH281" s="54">
        <v>25144.17</v>
      </c>
      <c r="AI281" s="54">
        <v>25359.46</v>
      </c>
      <c r="AJ281" s="54">
        <v>25603.34</v>
      </c>
      <c r="AK281" s="54">
        <v>25643.06</v>
      </c>
      <c r="AL281" s="54">
        <v>25817.29</v>
      </c>
      <c r="AM281" s="54">
        <v>25753.04</v>
      </c>
      <c r="AN281" s="54">
        <v>25949.84</v>
      </c>
      <c r="AO281" s="54">
        <v>26197.12</v>
      </c>
      <c r="AP281" s="53">
        <v>26382.92</v>
      </c>
      <c r="AQ281" s="53">
        <v>26561.96</v>
      </c>
      <c r="AR281" s="53">
        <v>25673.55</v>
      </c>
      <c r="AS281" s="53">
        <v>25878.66</v>
      </c>
      <c r="AT281" s="53">
        <v>25936.27</v>
      </c>
      <c r="AU281" s="53">
        <f t="array" ref="AU281">XLOOKUP(C281,'PL TOTAL D0'!A:A,'PL TOTAL D0'!C:C,"")</f>
        <v>26059.95</v>
      </c>
    </row>
    <row r="282" ht="15.75" customHeight="1">
      <c r="A282" s="41" t="s">
        <v>43</v>
      </c>
      <c r="B282" s="66" t="s">
        <v>1044</v>
      </c>
      <c r="C282" s="134" t="s">
        <v>1045</v>
      </c>
      <c r="D282" s="44" t="s">
        <v>18</v>
      </c>
      <c r="E282" s="45" t="s">
        <v>176</v>
      </c>
      <c r="F282" s="93" t="s">
        <v>177</v>
      </c>
      <c r="G282" s="44" t="str">
        <f t="shared" si="1"/>
        <v>Augusto</v>
      </c>
      <c r="H282" s="51" t="s">
        <v>147</v>
      </c>
      <c r="I282" s="51" t="s">
        <v>219</v>
      </c>
      <c r="J282" s="44" t="str">
        <f t="shared" si="6"/>
        <v>Não</v>
      </c>
      <c r="K282" s="47">
        <v>45212.0</v>
      </c>
      <c r="L282" s="45"/>
      <c r="M282" s="45" t="s">
        <v>129</v>
      </c>
      <c r="N282" s="48">
        <v>0.0</v>
      </c>
      <c r="O282" s="44" t="s">
        <v>24</v>
      </c>
      <c r="P282" s="49">
        <v>0.0</v>
      </c>
      <c r="Q282" s="41"/>
      <c r="R282" s="50"/>
      <c r="S282" s="45" t="s">
        <v>108</v>
      </c>
      <c r="T282" s="24" t="s">
        <v>1046</v>
      </c>
      <c r="U282" s="9" t="s">
        <v>180</v>
      </c>
      <c r="V282" s="51" t="str">
        <f t="shared" si="3"/>
        <v>Ativo</v>
      </c>
      <c r="W282" s="45"/>
      <c r="X282" s="52" t="s">
        <v>110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>
        <v>20580.91</v>
      </c>
      <c r="AM282" s="54">
        <v>20755.49</v>
      </c>
      <c r="AN282" s="54">
        <v>20889.91</v>
      </c>
      <c r="AO282" s="54">
        <v>0.0</v>
      </c>
      <c r="AP282" s="53">
        <v>0.09</v>
      </c>
      <c r="AQ282" s="53">
        <v>0.09</v>
      </c>
      <c r="AR282" s="53">
        <v>0.09</v>
      </c>
      <c r="AS282" s="53">
        <v>0.09</v>
      </c>
      <c r="AT282" s="53">
        <v>0.09</v>
      </c>
      <c r="AU282" s="53">
        <f t="array" ref="AU282">XLOOKUP(C282,'PL TOTAL D0'!A:A,'PL TOTAL D0'!C:C,"")</f>
        <v>0.09</v>
      </c>
    </row>
    <row r="283" ht="15.75" customHeight="1">
      <c r="A283" s="41" t="s">
        <v>43</v>
      </c>
      <c r="B283" s="177" t="s">
        <v>1047</v>
      </c>
      <c r="C283" s="178" t="s">
        <v>1048</v>
      </c>
      <c r="D283" s="9" t="s">
        <v>18</v>
      </c>
      <c r="E283" s="24" t="s">
        <v>29</v>
      </c>
      <c r="F283" s="11" t="s">
        <v>632</v>
      </c>
      <c r="G283" s="44" t="str">
        <f t="shared" si="1"/>
        <v>Augusto</v>
      </c>
      <c r="H283" s="51" t="s">
        <v>123</v>
      </c>
      <c r="I283" s="51" t="s">
        <v>219</v>
      </c>
      <c r="J283" s="44" t="str">
        <f t="shared" si="6"/>
        <v>Não</v>
      </c>
      <c r="K283" s="57">
        <v>45454.0</v>
      </c>
      <c r="L283" s="45"/>
      <c r="M283" s="24" t="s">
        <v>55</v>
      </c>
      <c r="N283" s="58">
        <v>0.012</v>
      </c>
      <c r="O283" s="9" t="s">
        <v>24</v>
      </c>
      <c r="P283" s="59">
        <v>0.0</v>
      </c>
      <c r="Q283" s="41"/>
      <c r="R283" s="50"/>
      <c r="S283" s="24" t="s">
        <v>108</v>
      </c>
      <c r="T283" s="24" t="s">
        <v>1049</v>
      </c>
      <c r="U283" s="9" t="s">
        <v>34</v>
      </c>
      <c r="V283" s="51" t="str">
        <f t="shared" si="3"/>
        <v>Ativo</v>
      </c>
      <c r="W283" s="24" t="s">
        <v>75</v>
      </c>
      <c r="X283" s="52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3"/>
      <c r="AQ283" s="53"/>
      <c r="AR283" s="53"/>
      <c r="AS283" s="53"/>
      <c r="AT283" s="53">
        <v>125681.7</v>
      </c>
      <c r="AU283" s="53">
        <f t="array" ref="AU283">XLOOKUP(C283,'PL TOTAL D0'!A:A,'PL TOTAL D0'!C:C,"")</f>
        <v>126168.9</v>
      </c>
    </row>
    <row r="284" ht="15.75" customHeight="1">
      <c r="A284" s="41" t="s">
        <v>43</v>
      </c>
      <c r="B284" s="42" t="s">
        <v>1050</v>
      </c>
      <c r="C284" s="43" t="s">
        <v>1051</v>
      </c>
      <c r="D284" s="44" t="s">
        <v>18</v>
      </c>
      <c r="E284" s="45" t="s">
        <v>19</v>
      </c>
      <c r="F284" s="44" t="s">
        <v>122</v>
      </c>
      <c r="G284" s="44" t="str">
        <f t="shared" si="1"/>
        <v>Augusto</v>
      </c>
      <c r="H284" s="46" t="s">
        <v>107</v>
      </c>
      <c r="I284" s="46" t="s">
        <v>24</v>
      </c>
      <c r="J284" s="44" t="str">
        <f t="shared" si="6"/>
        <v>Não</v>
      </c>
      <c r="K284" s="47">
        <v>45086.0</v>
      </c>
      <c r="L284" s="45"/>
      <c r="M284" s="45" t="s">
        <v>55</v>
      </c>
      <c r="N284" s="48">
        <v>0.012</v>
      </c>
      <c r="O284" s="44" t="s">
        <v>24</v>
      </c>
      <c r="P284" s="49">
        <v>0.0</v>
      </c>
      <c r="Q284" s="50"/>
      <c r="R284" s="139"/>
      <c r="S284" s="45" t="s">
        <v>108</v>
      </c>
      <c r="T284" s="24" t="s">
        <v>1052</v>
      </c>
      <c r="U284" s="9" t="s">
        <v>19</v>
      </c>
      <c r="V284" s="51" t="str">
        <f t="shared" si="3"/>
        <v>Ativo</v>
      </c>
      <c r="W284" s="45"/>
      <c r="X284" s="52" t="s">
        <v>119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>
        <v>130886.44</v>
      </c>
      <c r="AI284" s="54">
        <v>132006.38</v>
      </c>
      <c r="AJ284" s="54">
        <v>133338.15</v>
      </c>
      <c r="AK284" s="54">
        <v>119244.02</v>
      </c>
      <c r="AL284" s="54">
        <v>106189.76</v>
      </c>
      <c r="AM284" s="54">
        <v>106947.0</v>
      </c>
      <c r="AN284" s="54">
        <v>61874.96</v>
      </c>
      <c r="AO284" s="54">
        <v>62390.42</v>
      </c>
      <c r="AP284" s="53">
        <v>62854.8</v>
      </c>
      <c r="AQ284" s="53">
        <v>57945.12</v>
      </c>
      <c r="AR284" s="53">
        <v>58386.23</v>
      </c>
      <c r="AS284" s="53">
        <v>58807.36</v>
      </c>
      <c r="AT284" s="53">
        <v>14752.63</v>
      </c>
      <c r="AU284" s="53">
        <f t="array" ref="AU284">XLOOKUP(C284,'PL TOTAL D0'!A:A,'PL TOTAL D0'!C:C,"")</f>
        <v>14794.93</v>
      </c>
    </row>
    <row r="285" ht="15.75" customHeight="1">
      <c r="A285" s="41" t="s">
        <v>43</v>
      </c>
      <c r="B285" s="42" t="s">
        <v>1053</v>
      </c>
      <c r="C285" s="67" t="s">
        <v>1054</v>
      </c>
      <c r="D285" s="44" t="s">
        <v>105</v>
      </c>
      <c r="E285" s="45" t="s">
        <v>29</v>
      </c>
      <c r="F285" s="44" t="s">
        <v>106</v>
      </c>
      <c r="G285" s="44" t="str">
        <f t="shared" si="1"/>
        <v>Breno</v>
      </c>
      <c r="H285" s="46" t="s">
        <v>107</v>
      </c>
      <c r="I285" s="46" t="s">
        <v>24</v>
      </c>
      <c r="J285" s="44" t="str">
        <f t="shared" si="6"/>
        <v>Não</v>
      </c>
      <c r="K285" s="47">
        <v>45173.0</v>
      </c>
      <c r="L285" s="45"/>
      <c r="M285" s="45" t="s">
        <v>47</v>
      </c>
      <c r="N285" s="48">
        <v>0.01</v>
      </c>
      <c r="O285" s="44" t="s">
        <v>48</v>
      </c>
      <c r="P285" s="49">
        <v>0.1</v>
      </c>
      <c r="Q285" s="50"/>
      <c r="R285" s="139"/>
      <c r="S285" s="45" t="s">
        <v>108</v>
      </c>
      <c r="T285" s="24" t="s">
        <v>1055</v>
      </c>
      <c r="U285" s="9" t="s">
        <v>29</v>
      </c>
      <c r="V285" s="51" t="str">
        <f t="shared" si="3"/>
        <v>Ativo</v>
      </c>
      <c r="W285" s="45"/>
      <c r="X285" s="52" t="s">
        <v>110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>
        <v>272748.49</v>
      </c>
      <c r="AK285" s="54">
        <v>406616.99</v>
      </c>
      <c r="AL285" s="54">
        <v>408579.22</v>
      </c>
      <c r="AM285" s="54">
        <v>414068.26</v>
      </c>
      <c r="AN285" s="54">
        <v>421408.31</v>
      </c>
      <c r="AO285" s="54">
        <v>416908.41</v>
      </c>
      <c r="AP285" s="53">
        <v>421109.72</v>
      </c>
      <c r="AQ285" s="53">
        <v>425000.19</v>
      </c>
      <c r="AR285" s="53">
        <v>421252.01</v>
      </c>
      <c r="AS285" s="53">
        <v>419970.6</v>
      </c>
      <c r="AT285" s="53">
        <v>422664.1</v>
      </c>
      <c r="AU285" s="53">
        <f t="array" ref="AU285">XLOOKUP(C285,'PL TOTAL D0'!A:A,'PL TOTAL D0'!C:C,"")</f>
        <v>428712.4</v>
      </c>
    </row>
    <row r="286" ht="15.75" customHeight="1">
      <c r="A286" s="6" t="s">
        <v>43</v>
      </c>
      <c r="B286" s="42" t="s">
        <v>1056</v>
      </c>
      <c r="C286" s="43" t="s">
        <v>1057</v>
      </c>
      <c r="D286" s="9" t="s">
        <v>105</v>
      </c>
      <c r="E286" s="24" t="s">
        <v>29</v>
      </c>
      <c r="F286" s="45" t="s">
        <v>146</v>
      </c>
      <c r="G286" s="44" t="str">
        <f t="shared" si="1"/>
        <v>Augusto</v>
      </c>
      <c r="H286" s="51" t="s">
        <v>147</v>
      </c>
      <c r="I286" s="51" t="s">
        <v>148</v>
      </c>
      <c r="J286" s="44" t="str">
        <f t="shared" si="6"/>
        <v>Sim</v>
      </c>
      <c r="K286" s="57">
        <v>45279.0</v>
      </c>
      <c r="L286" s="45"/>
      <c r="M286" s="24" t="s">
        <v>149</v>
      </c>
      <c r="N286" s="58">
        <v>0.003</v>
      </c>
      <c r="O286" s="9" t="s">
        <v>24</v>
      </c>
      <c r="P286" s="59">
        <v>0.0</v>
      </c>
      <c r="Q286" s="15" t="s">
        <v>150</v>
      </c>
      <c r="R286" s="139"/>
      <c r="S286" s="24" t="s">
        <v>108</v>
      </c>
      <c r="T286" s="24" t="s">
        <v>1058</v>
      </c>
      <c r="U286" s="9" t="s">
        <v>29</v>
      </c>
      <c r="V286" s="51" t="str">
        <f t="shared" si="3"/>
        <v>Ativo</v>
      </c>
      <c r="W286" s="45"/>
      <c r="X286" s="52" t="s">
        <v>110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>
        <v>702013.08</v>
      </c>
      <c r="AO286" s="54">
        <v>863930.09</v>
      </c>
      <c r="AP286" s="53">
        <v>16.18</v>
      </c>
      <c r="AQ286" s="53">
        <v>16.18</v>
      </c>
      <c r="AR286" s="53">
        <v>16.18</v>
      </c>
      <c r="AS286" s="53">
        <v>16.18</v>
      </c>
      <c r="AT286" s="53">
        <v>19.2</v>
      </c>
      <c r="AU286" s="53">
        <f t="array" ref="AU286">XLOOKUP(C286,'PL TOTAL D0'!A:A,'PL TOTAL D0'!C:C,"")</f>
        <v>19.2</v>
      </c>
    </row>
    <row r="287" ht="15.75" customHeight="1">
      <c r="A287" s="41" t="s">
        <v>43</v>
      </c>
      <c r="B287" s="61" t="s">
        <v>1059</v>
      </c>
      <c r="C287" s="43" t="s">
        <v>1060</v>
      </c>
      <c r="D287" s="44" t="s">
        <v>18</v>
      </c>
      <c r="E287" s="45" t="s">
        <v>176</v>
      </c>
      <c r="F287" s="44" t="s">
        <v>197</v>
      </c>
      <c r="G287" s="44" t="str">
        <f t="shared" si="1"/>
        <v>Augusto</v>
      </c>
      <c r="H287" s="46" t="s">
        <v>107</v>
      </c>
      <c r="I287" s="46" t="s">
        <v>24</v>
      </c>
      <c r="J287" s="44" t="str">
        <f t="shared" si="6"/>
        <v>Não</v>
      </c>
      <c r="K287" s="47">
        <v>45022.0</v>
      </c>
      <c r="L287" s="45"/>
      <c r="M287" s="45" t="s">
        <v>47</v>
      </c>
      <c r="N287" s="48">
        <v>0.015</v>
      </c>
      <c r="O287" s="44" t="s">
        <v>48</v>
      </c>
      <c r="P287" s="49">
        <v>0.1</v>
      </c>
      <c r="Q287" s="60"/>
      <c r="R287" s="139"/>
      <c r="S287" s="45" t="s">
        <v>108</v>
      </c>
      <c r="T287" s="24" t="s">
        <v>1061</v>
      </c>
      <c r="U287" s="9" t="s">
        <v>180</v>
      </c>
      <c r="V287" s="51" t="str">
        <f t="shared" si="3"/>
        <v>Ativo</v>
      </c>
      <c r="W287" s="45"/>
      <c r="X287" s="52" t="s">
        <v>110</v>
      </c>
      <c r="Y287" s="54"/>
      <c r="Z287" s="54"/>
      <c r="AA287" s="54"/>
      <c r="AB287" s="54"/>
      <c r="AC287" s="54"/>
      <c r="AD287" s="54"/>
      <c r="AE287" s="54">
        <v>0.0</v>
      </c>
      <c r="AF287" s="54">
        <v>178768.84</v>
      </c>
      <c r="AG287" s="54">
        <v>217959.2</v>
      </c>
      <c r="AH287" s="54">
        <v>227559.12</v>
      </c>
      <c r="AI287" s="54">
        <v>233832.43</v>
      </c>
      <c r="AJ287" s="54">
        <v>211821.84</v>
      </c>
      <c r="AK287" s="54">
        <v>212805.65</v>
      </c>
      <c r="AL287" s="54">
        <v>215002.09</v>
      </c>
      <c r="AM287" s="54">
        <v>231266.51</v>
      </c>
      <c r="AN287" s="54">
        <v>235736.96</v>
      </c>
      <c r="AO287" s="54">
        <v>236622.47</v>
      </c>
      <c r="AP287" s="53">
        <v>241182.41</v>
      </c>
      <c r="AQ287" s="53">
        <v>245498.57</v>
      </c>
      <c r="AR287" s="53">
        <v>186316.5</v>
      </c>
      <c r="AS287" s="53">
        <v>187781.6</v>
      </c>
      <c r="AT287" s="53">
        <v>190591.7</v>
      </c>
      <c r="AU287" s="53">
        <f t="array" ref="AU287">XLOOKUP(C287,'PL TOTAL D0'!A:A,'PL TOTAL D0'!C:C,"")</f>
        <v>195427.5</v>
      </c>
    </row>
    <row r="288" ht="15.75" customHeight="1">
      <c r="A288" s="41" t="s">
        <v>43</v>
      </c>
      <c r="B288" s="42" t="s">
        <v>1062</v>
      </c>
      <c r="C288" s="43" t="s">
        <v>1063</v>
      </c>
      <c r="D288" s="44" t="s">
        <v>18</v>
      </c>
      <c r="E288" s="45" t="s">
        <v>19</v>
      </c>
      <c r="F288" s="44" t="s">
        <v>213</v>
      </c>
      <c r="G288" s="44" t="str">
        <f t="shared" si="1"/>
        <v>Augusto</v>
      </c>
      <c r="H288" s="46" t="s">
        <v>107</v>
      </c>
      <c r="I288" s="46" t="s">
        <v>24</v>
      </c>
      <c r="J288" s="44" t="str">
        <f t="shared" si="6"/>
        <v>Não</v>
      </c>
      <c r="K288" s="47">
        <v>45000.0</v>
      </c>
      <c r="L288" s="45"/>
      <c r="M288" s="45" t="s">
        <v>55</v>
      </c>
      <c r="N288" s="48">
        <v>0.012</v>
      </c>
      <c r="O288" s="44" t="s">
        <v>24</v>
      </c>
      <c r="P288" s="49">
        <v>0.0</v>
      </c>
      <c r="Q288" s="139"/>
      <c r="R288" s="139"/>
      <c r="S288" s="45" t="s">
        <v>108</v>
      </c>
      <c r="T288" s="24" t="s">
        <v>1064</v>
      </c>
      <c r="U288" s="9" t="s">
        <v>19</v>
      </c>
      <c r="V288" s="51" t="str">
        <f t="shared" si="3"/>
        <v>Ativo</v>
      </c>
      <c r="W288" s="45"/>
      <c r="X288" s="52" t="s">
        <v>119</v>
      </c>
      <c r="Y288" s="54"/>
      <c r="Z288" s="54"/>
      <c r="AA288" s="54"/>
      <c r="AB288" s="54"/>
      <c r="AC288" s="54"/>
      <c r="AD288" s="54"/>
      <c r="AE288" s="54">
        <v>174896.65</v>
      </c>
      <c r="AF288" s="54">
        <v>206415.12</v>
      </c>
      <c r="AG288" s="54">
        <v>704652.48</v>
      </c>
      <c r="AH288" s="54">
        <v>706625.56</v>
      </c>
      <c r="AI288" s="54">
        <v>705083.3</v>
      </c>
      <c r="AJ288" s="54">
        <v>716756.26</v>
      </c>
      <c r="AK288" s="54">
        <v>722243.24</v>
      </c>
      <c r="AL288" s="54">
        <v>761808.76</v>
      </c>
      <c r="AM288" s="54">
        <v>793383.7</v>
      </c>
      <c r="AN288" s="54">
        <v>799717.97</v>
      </c>
      <c r="AO288" s="54">
        <v>806972.53</v>
      </c>
      <c r="AP288" s="53">
        <v>802850.76</v>
      </c>
      <c r="AQ288" s="53">
        <v>801302.32</v>
      </c>
      <c r="AR288" s="53">
        <v>808094.5</v>
      </c>
      <c r="AS288" s="53">
        <v>100308.8</v>
      </c>
      <c r="AT288" s="53">
        <v>100820.7</v>
      </c>
      <c r="AU288" s="53">
        <f t="array" ref="AU288">XLOOKUP(C288,'PL TOTAL D0'!A:A,'PL TOTAL D0'!C:C,"")</f>
        <v>101144.9</v>
      </c>
    </row>
    <row r="289" ht="15.75" customHeight="1">
      <c r="A289" s="41" t="s">
        <v>43</v>
      </c>
      <c r="B289" s="64" t="s">
        <v>1065</v>
      </c>
      <c r="C289" s="65" t="s">
        <v>1066</v>
      </c>
      <c r="D289" s="9" t="s">
        <v>18</v>
      </c>
      <c r="E289" s="24" t="s">
        <v>29</v>
      </c>
      <c r="F289" s="9" t="s">
        <v>78</v>
      </c>
      <c r="G289" s="44" t="str">
        <f t="shared" si="1"/>
        <v>Augusto</v>
      </c>
      <c r="H289" s="51" t="s">
        <v>107</v>
      </c>
      <c r="I289" s="51" t="s">
        <v>24</v>
      </c>
      <c r="J289" s="44" t="str">
        <f t="shared" si="6"/>
        <v>Não</v>
      </c>
      <c r="K289" s="57">
        <v>45439.0</v>
      </c>
      <c r="L289" s="45"/>
      <c r="M289" s="24" t="s">
        <v>79</v>
      </c>
      <c r="N289" s="58">
        <v>0.012</v>
      </c>
      <c r="O289" s="9" t="s">
        <v>48</v>
      </c>
      <c r="P289" s="59">
        <v>0.1</v>
      </c>
      <c r="Q289" s="139"/>
      <c r="R289" s="139"/>
      <c r="S289" s="24" t="s">
        <v>108</v>
      </c>
      <c r="T289" s="23" t="s">
        <v>1067</v>
      </c>
      <c r="U289" s="9" t="s">
        <v>29</v>
      </c>
      <c r="V289" s="51" t="str">
        <f t="shared" si="3"/>
        <v>Ativo</v>
      </c>
      <c r="W289" s="24" t="s">
        <v>75</v>
      </c>
      <c r="X289" s="52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3"/>
      <c r="AQ289" s="53"/>
      <c r="AR289" s="53"/>
      <c r="AS289" s="53">
        <v>62779.43</v>
      </c>
      <c r="AT289" s="53">
        <v>66910.08</v>
      </c>
      <c r="AU289" s="53">
        <f t="array" ref="AU289">XLOOKUP(C289,'PL TOTAL D0'!A:A,'PL TOTAL D0'!C:C,"")</f>
        <v>67151.01</v>
      </c>
    </row>
    <row r="290" ht="15.75" customHeight="1">
      <c r="A290" s="41" t="s">
        <v>43</v>
      </c>
      <c r="B290" s="42" t="s">
        <v>1068</v>
      </c>
      <c r="C290" s="43" t="s">
        <v>1069</v>
      </c>
      <c r="D290" s="44" t="s">
        <v>18</v>
      </c>
      <c r="E290" s="45" t="s">
        <v>29</v>
      </c>
      <c r="F290" s="44" t="s">
        <v>294</v>
      </c>
      <c r="G290" s="44" t="str">
        <f t="shared" si="1"/>
        <v>Augusto</v>
      </c>
      <c r="H290" s="46" t="s">
        <v>107</v>
      </c>
      <c r="I290" s="46" t="s">
        <v>24</v>
      </c>
      <c r="J290" s="44" t="str">
        <f t="shared" si="6"/>
        <v>Não</v>
      </c>
      <c r="K290" s="47">
        <v>45012.0</v>
      </c>
      <c r="L290" s="45"/>
      <c r="M290" s="45" t="s">
        <v>55</v>
      </c>
      <c r="N290" s="48">
        <v>0.012</v>
      </c>
      <c r="O290" s="44" t="s">
        <v>24</v>
      </c>
      <c r="P290" s="49">
        <v>0.0</v>
      </c>
      <c r="Q290" s="139"/>
      <c r="R290" s="139"/>
      <c r="S290" s="45" t="s">
        <v>108</v>
      </c>
      <c r="T290" s="24" t="s">
        <v>1070</v>
      </c>
      <c r="U290" s="179" t="s">
        <v>1071</v>
      </c>
      <c r="V290" s="51" t="str">
        <f t="shared" si="3"/>
        <v>Ativo</v>
      </c>
      <c r="W290" s="45"/>
      <c r="X290" s="52" t="s">
        <v>119</v>
      </c>
      <c r="Y290" s="54"/>
      <c r="Z290" s="54"/>
      <c r="AA290" s="54"/>
      <c r="AB290" s="54"/>
      <c r="AC290" s="54"/>
      <c r="AD290" s="54"/>
      <c r="AE290" s="54">
        <v>25864.7</v>
      </c>
      <c r="AF290" s="54">
        <v>30146.55</v>
      </c>
      <c r="AG290" s="54">
        <v>30452.71</v>
      </c>
      <c r="AH290" s="54">
        <v>35206.62</v>
      </c>
      <c r="AI290" s="54">
        <v>35422.57</v>
      </c>
      <c r="AJ290" s="54">
        <v>40792.84</v>
      </c>
      <c r="AK290" s="54">
        <v>41124.97</v>
      </c>
      <c r="AL290" s="54">
        <v>41413.94</v>
      </c>
      <c r="AM290" s="54">
        <v>41684.11</v>
      </c>
      <c r="AN290" s="54">
        <v>41999.88</v>
      </c>
      <c r="AO290" s="54">
        <v>42204.33</v>
      </c>
      <c r="AP290" s="53">
        <v>42543.11</v>
      </c>
      <c r="AQ290" s="53">
        <v>42896.63</v>
      </c>
      <c r="AR290" s="53">
        <v>43196.12</v>
      </c>
      <c r="AS290" s="53">
        <v>43521.48</v>
      </c>
      <c r="AT290" s="53">
        <v>43853.62</v>
      </c>
      <c r="AU290" s="53">
        <f t="array" ref="AU290">XLOOKUP(C290,'PL TOTAL D0'!A:A,'PL TOTAL D0'!C:C,"")</f>
        <v>43983.54</v>
      </c>
    </row>
    <row r="291" ht="15.75" customHeight="1">
      <c r="A291" s="41" t="s">
        <v>43</v>
      </c>
      <c r="B291" s="64" t="s">
        <v>1072</v>
      </c>
      <c r="C291" s="65" t="s">
        <v>1073</v>
      </c>
      <c r="D291" s="9" t="s">
        <v>18</v>
      </c>
      <c r="E291" s="24" t="s">
        <v>19</v>
      </c>
      <c r="F291" s="9" t="s">
        <v>20</v>
      </c>
      <c r="G291" s="44" t="str">
        <f t="shared" si="1"/>
        <v>Augusto</v>
      </c>
      <c r="H291" s="51" t="s">
        <v>107</v>
      </c>
      <c r="I291" s="51" t="s">
        <v>24</v>
      </c>
      <c r="J291" s="44" t="str">
        <f t="shared" si="6"/>
        <v>Não</v>
      </c>
      <c r="K291" s="57">
        <v>45414.0</v>
      </c>
      <c r="L291" s="45"/>
      <c r="M291" s="45" t="s">
        <v>55</v>
      </c>
      <c r="N291" s="48">
        <v>0.012</v>
      </c>
      <c r="O291" s="44" t="s">
        <v>24</v>
      </c>
      <c r="P291" s="49">
        <v>0.0</v>
      </c>
      <c r="Q291" s="139"/>
      <c r="R291" s="139"/>
      <c r="S291" s="24" t="s">
        <v>369</v>
      </c>
      <c r="T291" s="23" t="s">
        <v>1074</v>
      </c>
      <c r="U291" s="23" t="s">
        <v>19</v>
      </c>
      <c r="V291" s="51" t="str">
        <f t="shared" si="3"/>
        <v>Ativo</v>
      </c>
      <c r="W291" s="24" t="s">
        <v>75</v>
      </c>
      <c r="X291" s="52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3"/>
      <c r="AQ291" s="53"/>
      <c r="AR291" s="53"/>
      <c r="AS291" s="53">
        <v>0.0</v>
      </c>
      <c r="AT291" s="53">
        <v>0.0</v>
      </c>
      <c r="AU291" s="53">
        <f t="array" ref="AU291">XLOOKUP(C291,'PL TOTAL D0'!A:A,'PL TOTAL D0'!C:C,"")</f>
        <v>200678</v>
      </c>
    </row>
    <row r="292" ht="15.75" customHeight="1">
      <c r="A292" s="41" t="s">
        <v>43</v>
      </c>
      <c r="B292" s="97" t="s">
        <v>1075</v>
      </c>
      <c r="C292" s="71" t="s">
        <v>1076</v>
      </c>
      <c r="D292" s="44" t="s">
        <v>105</v>
      </c>
      <c r="E292" s="45" t="s">
        <v>29</v>
      </c>
      <c r="F292" s="44" t="s">
        <v>106</v>
      </c>
      <c r="G292" s="44" t="str">
        <f t="shared" si="1"/>
        <v>Augusto</v>
      </c>
      <c r="H292" s="46" t="s">
        <v>107</v>
      </c>
      <c r="I292" s="46" t="s">
        <v>24</v>
      </c>
      <c r="J292" s="44" t="str">
        <f t="shared" si="6"/>
        <v>Não</v>
      </c>
      <c r="K292" s="47">
        <v>45257.0</v>
      </c>
      <c r="L292" s="45"/>
      <c r="M292" s="45" t="s">
        <v>79</v>
      </c>
      <c r="N292" s="48">
        <v>0.012</v>
      </c>
      <c r="O292" s="44" t="s">
        <v>48</v>
      </c>
      <c r="P292" s="49">
        <v>0.1</v>
      </c>
      <c r="Q292" s="139"/>
      <c r="R292" s="139"/>
      <c r="S292" s="45" t="s">
        <v>108</v>
      </c>
      <c r="T292" s="24" t="s">
        <v>1077</v>
      </c>
      <c r="U292" s="180" t="s">
        <v>29</v>
      </c>
      <c r="V292" s="51" t="str">
        <f t="shared" si="3"/>
        <v>Ativo</v>
      </c>
      <c r="W292" s="45"/>
      <c r="X292" s="52" t="s">
        <v>110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>
        <v>697839.31</v>
      </c>
      <c r="AN292" s="54">
        <v>341582.5</v>
      </c>
      <c r="AO292" s="54">
        <v>341631.92</v>
      </c>
      <c r="AP292" s="53">
        <v>344322.63</v>
      </c>
      <c r="AQ292" s="53">
        <v>345713.6</v>
      </c>
      <c r="AR292" s="53">
        <v>240293.79</v>
      </c>
      <c r="AS292" s="53">
        <v>189082.7</v>
      </c>
      <c r="AT292" s="53">
        <v>190381.5</v>
      </c>
      <c r="AU292" s="53">
        <f t="array" ref="AU292">XLOOKUP(C292,'PL TOTAL D0'!A:A,'PL TOTAL D0'!C:C,"")</f>
        <v>192213.3</v>
      </c>
    </row>
    <row r="293" ht="15.75" customHeight="1">
      <c r="A293" s="41" t="s">
        <v>43</v>
      </c>
      <c r="B293" s="42" t="s">
        <v>1078</v>
      </c>
      <c r="C293" s="43" t="s">
        <v>1079</v>
      </c>
      <c r="D293" s="44" t="s">
        <v>18</v>
      </c>
      <c r="E293" s="45" t="s">
        <v>19</v>
      </c>
      <c r="F293" s="44" t="s">
        <v>213</v>
      </c>
      <c r="G293" s="44" t="str">
        <f t="shared" si="1"/>
        <v>Breno</v>
      </c>
      <c r="H293" s="46" t="s">
        <v>107</v>
      </c>
      <c r="I293" s="46" t="s">
        <v>24</v>
      </c>
      <c r="J293" s="44" t="str">
        <f t="shared" si="6"/>
        <v>Não</v>
      </c>
      <c r="K293" s="47">
        <v>45132.0</v>
      </c>
      <c r="L293" s="45"/>
      <c r="M293" s="45" t="s">
        <v>55</v>
      </c>
      <c r="N293" s="48">
        <v>0.012</v>
      </c>
      <c r="O293" s="44" t="s">
        <v>24</v>
      </c>
      <c r="P293" s="49">
        <v>0.0</v>
      </c>
      <c r="Q293" s="139"/>
      <c r="R293" s="139"/>
      <c r="S293" s="45" t="s">
        <v>108</v>
      </c>
      <c r="T293" s="24" t="s">
        <v>1080</v>
      </c>
      <c r="U293" s="9" t="s">
        <v>19</v>
      </c>
      <c r="V293" s="51" t="str">
        <f t="shared" si="3"/>
        <v>Ativo</v>
      </c>
      <c r="W293" s="45"/>
      <c r="X293" s="52" t="s">
        <v>119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>
        <v>320613.61</v>
      </c>
      <c r="AJ293" s="54">
        <v>323891.64</v>
      </c>
      <c r="AK293" s="54">
        <v>326428.52</v>
      </c>
      <c r="AL293" s="54">
        <v>329253.36</v>
      </c>
      <c r="AM293" s="54">
        <v>331557.81</v>
      </c>
      <c r="AN293" s="54">
        <v>323510.06</v>
      </c>
      <c r="AO293" s="54">
        <v>326108.63</v>
      </c>
      <c r="AP293" s="53">
        <v>328312.54</v>
      </c>
      <c r="AQ293" s="53">
        <v>330757.68</v>
      </c>
      <c r="AR293" s="53">
        <v>333159.47</v>
      </c>
      <c r="AS293" s="53">
        <v>386215.9</v>
      </c>
      <c r="AT293" s="53">
        <v>429875.5</v>
      </c>
      <c r="AU293" s="53">
        <f t="array" ref="AU293">XLOOKUP(C293,'PL TOTAL D0'!A:A,'PL TOTAL D0'!C:C,"")</f>
        <v>431283.6</v>
      </c>
    </row>
    <row r="294" ht="15.75" customHeight="1">
      <c r="A294" s="41" t="s">
        <v>43</v>
      </c>
      <c r="B294" s="42" t="s">
        <v>1081</v>
      </c>
      <c r="C294" s="43" t="s">
        <v>1082</v>
      </c>
      <c r="D294" s="44" t="s">
        <v>18</v>
      </c>
      <c r="E294" s="45" t="s">
        <v>176</v>
      </c>
      <c r="F294" s="44" t="s">
        <v>197</v>
      </c>
      <c r="G294" s="44" t="str">
        <f t="shared" si="1"/>
        <v>#N/A</v>
      </c>
      <c r="H294" s="46" t="s">
        <v>147</v>
      </c>
      <c r="I294" s="46" t="s">
        <v>219</v>
      </c>
      <c r="J294" s="44" t="str">
        <f t="shared" si="6"/>
        <v>Não</v>
      </c>
      <c r="K294" s="47">
        <v>45103.0</v>
      </c>
      <c r="L294" s="45"/>
      <c r="M294" s="45" t="s">
        <v>47</v>
      </c>
      <c r="N294" s="48">
        <v>0.015</v>
      </c>
      <c r="O294" s="44" t="s">
        <v>48</v>
      </c>
      <c r="P294" s="49">
        <v>0.1</v>
      </c>
      <c r="Q294" s="139"/>
      <c r="R294" s="181" t="s">
        <v>1083</v>
      </c>
      <c r="S294" s="45" t="s">
        <v>108</v>
      </c>
      <c r="T294" s="24" t="s">
        <v>1084</v>
      </c>
      <c r="U294" s="9" t="s">
        <v>791</v>
      </c>
      <c r="V294" s="51" t="str">
        <f t="shared" si="3"/>
        <v>Ativo</v>
      </c>
      <c r="W294" s="45"/>
      <c r="X294" s="52" t="s">
        <v>110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>
        <v>0.0</v>
      </c>
      <c r="AJ294" s="54">
        <v>434.0</v>
      </c>
      <c r="AK294" s="54">
        <v>334.0</v>
      </c>
      <c r="AL294" s="54">
        <v>0.0</v>
      </c>
      <c r="AM294" s="54">
        <v>0.0</v>
      </c>
      <c r="AN294" s="54">
        <v>0.0</v>
      </c>
      <c r="AO294" s="54">
        <v>0.0</v>
      </c>
      <c r="AP294" s="53">
        <v>0.0</v>
      </c>
      <c r="AQ294" s="53">
        <v>0.0</v>
      </c>
      <c r="AR294" s="53">
        <v>0.0</v>
      </c>
      <c r="AS294" s="53">
        <v>0.0</v>
      </c>
      <c r="AT294" s="53">
        <v>0.0</v>
      </c>
      <c r="AU294" s="53" t="str">
        <f t="array" ref="AU294">XLOOKUP(C294,'PL TOTAL D0'!A:A,'PL TOTAL D0'!C:C,"")</f>
        <v/>
      </c>
    </row>
    <row r="295" ht="15.75" customHeight="1">
      <c r="A295" s="41" t="s">
        <v>43</v>
      </c>
      <c r="B295" s="61" t="s">
        <v>1085</v>
      </c>
      <c r="C295" s="43" t="s">
        <v>1086</v>
      </c>
      <c r="D295" s="44" t="s">
        <v>18</v>
      </c>
      <c r="E295" s="45" t="s">
        <v>19</v>
      </c>
      <c r="F295" s="44" t="s">
        <v>20</v>
      </c>
      <c r="G295" s="44" t="str">
        <f t="shared" si="1"/>
        <v>Bruno</v>
      </c>
      <c r="H295" s="46" t="s">
        <v>107</v>
      </c>
      <c r="I295" s="46" t="s">
        <v>24</v>
      </c>
      <c r="J295" s="44" t="str">
        <f t="shared" si="6"/>
        <v>Não</v>
      </c>
      <c r="K295" s="47">
        <v>45013.0</v>
      </c>
      <c r="L295" s="45"/>
      <c r="M295" s="24" t="s">
        <v>139</v>
      </c>
      <c r="N295" s="48">
        <v>0.012</v>
      </c>
      <c r="O295" s="9" t="s">
        <v>48</v>
      </c>
      <c r="P295" s="59">
        <v>0.1</v>
      </c>
      <c r="Q295" s="174"/>
      <c r="R295" s="182" t="s">
        <v>1087</v>
      </c>
      <c r="S295" s="45" t="s">
        <v>108</v>
      </c>
      <c r="T295" s="24" t="s">
        <v>1088</v>
      </c>
      <c r="U295" s="9" t="s">
        <v>19</v>
      </c>
      <c r="V295" s="51" t="str">
        <f t="shared" si="3"/>
        <v>Ativo</v>
      </c>
      <c r="W295" s="45"/>
      <c r="X295" s="52" t="s">
        <v>110</v>
      </c>
      <c r="Y295" s="54"/>
      <c r="Z295" s="54"/>
      <c r="AA295" s="54"/>
      <c r="AB295" s="54"/>
      <c r="AC295" s="54"/>
      <c r="AD295" s="54"/>
      <c r="AE295" s="54">
        <v>104138.41</v>
      </c>
      <c r="AF295" s="54">
        <v>1219227.02</v>
      </c>
      <c r="AG295" s="54">
        <v>1236011.28</v>
      </c>
      <c r="AH295" s="54">
        <v>1248592.63</v>
      </c>
      <c r="AI295" s="54">
        <v>1259014.66</v>
      </c>
      <c r="AJ295" s="54">
        <v>1271123.79</v>
      </c>
      <c r="AK295" s="54">
        <v>1281011.89</v>
      </c>
      <c r="AL295" s="54">
        <v>1287933.72</v>
      </c>
      <c r="AM295" s="54">
        <v>1296732.87</v>
      </c>
      <c r="AN295" s="54">
        <v>1359249.82</v>
      </c>
      <c r="AO295" s="54">
        <v>1369971.36</v>
      </c>
      <c r="AP295" s="53">
        <v>1432652.01</v>
      </c>
      <c r="AQ295" s="53">
        <v>1444199.99</v>
      </c>
      <c r="AR295" s="53">
        <v>1646633.99</v>
      </c>
      <c r="AS295" s="53">
        <v>1693514.0</v>
      </c>
      <c r="AT295" s="53">
        <v>1793006.0</v>
      </c>
      <c r="AU295" s="53">
        <f t="array" ref="AU295">XLOOKUP(C295,'PL TOTAL D0'!A:A,'PL TOTAL D0'!C:C,"")</f>
        <v>1850690</v>
      </c>
    </row>
    <row r="296" ht="15.75" customHeight="1">
      <c r="A296" s="6" t="s">
        <v>43</v>
      </c>
      <c r="B296" s="55" t="s">
        <v>1089</v>
      </c>
      <c r="C296" s="56" t="s">
        <v>1090</v>
      </c>
      <c r="D296" s="9" t="s">
        <v>52</v>
      </c>
      <c r="E296" s="24" t="s">
        <v>19</v>
      </c>
      <c r="F296" s="9" t="s">
        <v>53</v>
      </c>
      <c r="G296" s="44" t="str">
        <f t="shared" si="1"/>
        <v>Augusto</v>
      </c>
      <c r="H296" s="51" t="s">
        <v>107</v>
      </c>
      <c r="I296" s="51" t="s">
        <v>24</v>
      </c>
      <c r="J296" s="44" t="str">
        <f t="shared" si="6"/>
        <v>Não</v>
      </c>
      <c r="K296" s="57">
        <v>45301.0</v>
      </c>
      <c r="L296" s="45"/>
      <c r="M296" s="24" t="s">
        <v>55</v>
      </c>
      <c r="N296" s="58">
        <v>0.012</v>
      </c>
      <c r="O296" s="9" t="s">
        <v>24</v>
      </c>
      <c r="P296" s="59">
        <v>0.0</v>
      </c>
      <c r="Q296" s="139"/>
      <c r="R296" s="139"/>
      <c r="S296" s="24" t="s">
        <v>108</v>
      </c>
      <c r="T296" s="24" t="s">
        <v>1091</v>
      </c>
      <c r="U296" s="9" t="s">
        <v>19</v>
      </c>
      <c r="V296" s="51" t="str">
        <f t="shared" si="3"/>
        <v>Ativo</v>
      </c>
      <c r="W296" s="45"/>
      <c r="X296" s="52" t="s">
        <v>119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>
        <v>360048.14</v>
      </c>
      <c r="AP296" s="53">
        <v>362928.01</v>
      </c>
      <c r="AQ296" s="53">
        <v>366231.42</v>
      </c>
      <c r="AR296" s="53">
        <v>368738.79</v>
      </c>
      <c r="AS296" s="53">
        <v>369682.5</v>
      </c>
      <c r="AT296" s="53">
        <v>372594.1</v>
      </c>
      <c r="AU296" s="53">
        <f t="array" ref="AU296">XLOOKUP(C296,'PL TOTAL D0'!A:A,'PL TOTAL D0'!C:C,"")</f>
        <v>373798.9</v>
      </c>
    </row>
    <row r="297" ht="15.75" customHeight="1">
      <c r="A297" s="41" t="s">
        <v>43</v>
      </c>
      <c r="B297" s="80" t="s">
        <v>1092</v>
      </c>
      <c r="C297" s="67" t="s">
        <v>1093</v>
      </c>
      <c r="D297" s="44" t="s">
        <v>18</v>
      </c>
      <c r="E297" s="45" t="s">
        <v>176</v>
      </c>
      <c r="F297" s="44" t="s">
        <v>197</v>
      </c>
      <c r="G297" s="44" t="str">
        <f t="shared" si="1"/>
        <v>#N/A</v>
      </c>
      <c r="H297" s="51" t="s">
        <v>186</v>
      </c>
      <c r="I297" s="51" t="s">
        <v>24</v>
      </c>
      <c r="J297" s="44" t="str">
        <f t="shared" si="6"/>
        <v>Não</v>
      </c>
      <c r="K297" s="47">
        <v>45187.0</v>
      </c>
      <c r="L297" s="82">
        <v>45440.0</v>
      </c>
      <c r="M297" s="45" t="s">
        <v>55</v>
      </c>
      <c r="N297" s="48">
        <v>0.012</v>
      </c>
      <c r="O297" s="44" t="s">
        <v>24</v>
      </c>
      <c r="P297" s="49">
        <v>0.0</v>
      </c>
      <c r="Q297" s="139"/>
      <c r="R297" s="50" t="s">
        <v>1083</v>
      </c>
      <c r="S297" s="45" t="s">
        <v>108</v>
      </c>
      <c r="T297" s="24" t="s">
        <v>1094</v>
      </c>
      <c r="U297" s="9" t="s">
        <v>180</v>
      </c>
      <c r="V297" s="51" t="str">
        <f t="shared" si="3"/>
        <v>Encerrado</v>
      </c>
      <c r="W297" s="45"/>
      <c r="X297" s="52" t="s">
        <v>110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>
        <v>3010.17</v>
      </c>
      <c r="AL297" s="54">
        <v>7075.21</v>
      </c>
      <c r="AM297" s="54">
        <v>11157.62</v>
      </c>
      <c r="AN297" s="54">
        <v>11248.06</v>
      </c>
      <c r="AO297" s="54">
        <v>11345.97</v>
      </c>
      <c r="AP297" s="53">
        <v>11426.78</v>
      </c>
      <c r="AQ297" s="53">
        <v>11512.46</v>
      </c>
      <c r="AR297" s="53">
        <v>11604.37</v>
      </c>
      <c r="AS297" s="53">
        <v>0.0</v>
      </c>
      <c r="AT297" s="53">
        <v>0.0</v>
      </c>
      <c r="AU297" s="53" t="str">
        <f t="array" ref="AU297">XLOOKUP(C297,'PL TOTAL D0'!A:A,'PL TOTAL D0'!C:C,"")</f>
        <v/>
      </c>
    </row>
    <row r="298" ht="15.75" customHeight="1">
      <c r="A298" s="41" t="s">
        <v>43</v>
      </c>
      <c r="B298" s="64" t="s">
        <v>1095</v>
      </c>
      <c r="C298" s="65" t="s">
        <v>1096</v>
      </c>
      <c r="D298" s="9" t="s">
        <v>70</v>
      </c>
      <c r="E298" s="24" t="s">
        <v>29</v>
      </c>
      <c r="F298" s="9" t="s">
        <v>71</v>
      </c>
      <c r="G298" s="44" t="str">
        <f t="shared" si="1"/>
        <v>Breno</v>
      </c>
      <c r="H298" s="51" t="s">
        <v>107</v>
      </c>
      <c r="I298" s="51" t="s">
        <v>24</v>
      </c>
      <c r="J298" s="44" t="str">
        <f t="shared" si="6"/>
        <v>Não</v>
      </c>
      <c r="K298" s="57">
        <v>45418.0</v>
      </c>
      <c r="L298" s="45"/>
      <c r="M298" s="24" t="s">
        <v>55</v>
      </c>
      <c r="N298" s="58">
        <v>0.012</v>
      </c>
      <c r="O298" s="9" t="s">
        <v>24</v>
      </c>
      <c r="P298" s="59">
        <v>0.0</v>
      </c>
      <c r="Q298" s="139"/>
      <c r="R298" s="50"/>
      <c r="S298" s="24" t="s">
        <v>108</v>
      </c>
      <c r="T298" s="24" t="s">
        <v>1097</v>
      </c>
      <c r="U298" s="9" t="s">
        <v>29</v>
      </c>
      <c r="V298" s="51" t="str">
        <f t="shared" si="3"/>
        <v>Ativo</v>
      </c>
      <c r="W298" s="24" t="s">
        <v>75</v>
      </c>
      <c r="X298" s="52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3"/>
      <c r="AQ298" s="53"/>
      <c r="AR298" s="53"/>
      <c r="AS298" s="53">
        <v>658865.3</v>
      </c>
      <c r="AT298" s="53">
        <v>663758.8</v>
      </c>
      <c r="AU298" s="53">
        <f t="array" ref="AU298">XLOOKUP(C298,'PL TOTAL D0'!A:A,'PL TOTAL D0'!C:C,"")</f>
        <v>665689.5</v>
      </c>
    </row>
    <row r="299" ht="15.75" customHeight="1">
      <c r="A299" s="41" t="s">
        <v>43</v>
      </c>
      <c r="B299" s="42" t="s">
        <v>1098</v>
      </c>
      <c r="C299" s="43" t="s">
        <v>1099</v>
      </c>
      <c r="D299" s="44" t="s">
        <v>18</v>
      </c>
      <c r="E299" s="45" t="s">
        <v>29</v>
      </c>
      <c r="F299" s="44" t="s">
        <v>294</v>
      </c>
      <c r="G299" s="44" t="str">
        <f t="shared" si="1"/>
        <v>Augusto</v>
      </c>
      <c r="H299" s="46" t="s">
        <v>107</v>
      </c>
      <c r="I299" s="46" t="s">
        <v>24</v>
      </c>
      <c r="J299" s="44" t="str">
        <f t="shared" si="6"/>
        <v>Não</v>
      </c>
      <c r="K299" s="47">
        <v>44955.0</v>
      </c>
      <c r="L299" s="45"/>
      <c r="M299" s="45" t="s">
        <v>55</v>
      </c>
      <c r="N299" s="48">
        <v>0.01</v>
      </c>
      <c r="O299" s="44" t="s">
        <v>24</v>
      </c>
      <c r="P299" s="49">
        <v>0.0</v>
      </c>
      <c r="Q299" s="139"/>
      <c r="R299" s="139"/>
      <c r="S299" s="45" t="s">
        <v>108</v>
      </c>
      <c r="T299" s="24" t="s">
        <v>1100</v>
      </c>
      <c r="U299" s="9" t="s">
        <v>29</v>
      </c>
      <c r="V299" s="51" t="str">
        <f t="shared" si="3"/>
        <v>Ativo</v>
      </c>
      <c r="W299" s="45"/>
      <c r="X299" s="52" t="s">
        <v>119</v>
      </c>
      <c r="Y299" s="54"/>
      <c r="Z299" s="54"/>
      <c r="AA299" s="54"/>
      <c r="AB299" s="54"/>
      <c r="AC299" s="54">
        <v>86000.57</v>
      </c>
      <c r="AD299" s="54">
        <v>99999.09</v>
      </c>
      <c r="AE299" s="54">
        <v>101013.83</v>
      </c>
      <c r="AF299" s="54">
        <v>101652.76</v>
      </c>
      <c r="AG299" s="54">
        <v>102562.49</v>
      </c>
      <c r="AH299" s="54">
        <v>103228.03</v>
      </c>
      <c r="AI299" s="54">
        <v>104020.22</v>
      </c>
      <c r="AJ299" s="54">
        <v>104899.6</v>
      </c>
      <c r="AK299" s="54">
        <v>105646.4</v>
      </c>
      <c r="AL299" s="54">
        <v>106495.19</v>
      </c>
      <c r="AM299" s="54">
        <v>107148.96</v>
      </c>
      <c r="AN299" s="54">
        <v>107896.84</v>
      </c>
      <c r="AO299" s="54">
        <v>106244.51</v>
      </c>
      <c r="AP299" s="53">
        <v>107072.08</v>
      </c>
      <c r="AQ299" s="53">
        <v>107989.36</v>
      </c>
      <c r="AR299" s="53">
        <v>108872.81</v>
      </c>
      <c r="AS299" s="53">
        <v>109449.7</v>
      </c>
      <c r="AT299" s="53">
        <v>105689.3</v>
      </c>
      <c r="AU299" s="53">
        <f t="array" ref="AU299">XLOOKUP(C299,'PL TOTAL D0'!A:A,'PL TOTAL D0'!C:C,"")</f>
        <v>106054.9</v>
      </c>
    </row>
    <row r="300" ht="15.75" customHeight="1">
      <c r="A300" s="41" t="s">
        <v>43</v>
      </c>
      <c r="B300" s="183" t="s">
        <v>1101</v>
      </c>
      <c r="C300" s="140" t="s">
        <v>1102</v>
      </c>
      <c r="D300" s="44" t="s">
        <v>18</v>
      </c>
      <c r="E300" s="45" t="s">
        <v>19</v>
      </c>
      <c r="F300" s="44" t="s">
        <v>20</v>
      </c>
      <c r="G300" s="44" t="str">
        <f t="shared" si="1"/>
        <v>#N/A</v>
      </c>
      <c r="H300" s="51" t="s">
        <v>147</v>
      </c>
      <c r="I300" s="46" t="s">
        <v>219</v>
      </c>
      <c r="J300" s="44" t="str">
        <f t="shared" si="6"/>
        <v>Não</v>
      </c>
      <c r="K300" s="47">
        <v>45223.0</v>
      </c>
      <c r="L300" s="45"/>
      <c r="M300" s="45" t="s">
        <v>55</v>
      </c>
      <c r="N300" s="48">
        <v>0.012</v>
      </c>
      <c r="O300" s="44" t="s">
        <v>24</v>
      </c>
      <c r="P300" s="49">
        <v>0.0</v>
      </c>
      <c r="Q300" s="78"/>
      <c r="R300" s="184" t="s">
        <v>1103</v>
      </c>
      <c r="S300" s="45" t="s">
        <v>108</v>
      </c>
      <c r="T300" s="24" t="s">
        <v>1104</v>
      </c>
      <c r="U300" s="9" t="s">
        <v>19</v>
      </c>
      <c r="V300" s="51" t="str">
        <f t="shared" si="3"/>
        <v>Ativo</v>
      </c>
      <c r="W300" s="45"/>
      <c r="X300" s="52" t="s">
        <v>119</v>
      </c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>
        <v>0.0</v>
      </c>
      <c r="AM300" s="54">
        <v>0.0</v>
      </c>
      <c r="AN300" s="54">
        <v>0.0</v>
      </c>
      <c r="AO300" s="54">
        <v>0.0</v>
      </c>
      <c r="AP300" s="53">
        <v>0.0</v>
      </c>
      <c r="AQ300" s="53">
        <v>0.0</v>
      </c>
      <c r="AR300" s="53">
        <v>0.0</v>
      </c>
      <c r="AS300" s="53">
        <v>0.0</v>
      </c>
      <c r="AT300" s="53">
        <v>0.0</v>
      </c>
      <c r="AU300" s="53" t="str">
        <f t="array" ref="AU300">XLOOKUP(C300,'PL TOTAL D0'!A:A,'PL TOTAL D0'!C:C,"")</f>
        <v/>
      </c>
    </row>
    <row r="301" ht="15.75" customHeight="1">
      <c r="A301" s="6" t="s">
        <v>43</v>
      </c>
      <c r="B301" s="112" t="s">
        <v>1105</v>
      </c>
      <c r="C301" s="113" t="s">
        <v>1106</v>
      </c>
      <c r="D301" s="9" t="s">
        <v>18</v>
      </c>
      <c r="E301" s="24" t="s">
        <v>19</v>
      </c>
      <c r="F301" s="9" t="s">
        <v>256</v>
      </c>
      <c r="G301" s="44" t="str">
        <f t="shared" si="1"/>
        <v>Augusto</v>
      </c>
      <c r="H301" s="51" t="s">
        <v>107</v>
      </c>
      <c r="I301" s="51" t="s">
        <v>24</v>
      </c>
      <c r="J301" s="44" t="str">
        <f t="shared" si="6"/>
        <v>Sim</v>
      </c>
      <c r="K301" s="57">
        <v>45364.0</v>
      </c>
      <c r="L301" s="45"/>
      <c r="M301" s="24" t="s">
        <v>79</v>
      </c>
      <c r="N301" s="58">
        <v>0.012</v>
      </c>
      <c r="O301" s="9" t="s">
        <v>48</v>
      </c>
      <c r="P301" s="59">
        <v>0.1</v>
      </c>
      <c r="Q301" s="15" t="s">
        <v>1107</v>
      </c>
      <c r="R301" s="139"/>
      <c r="S301" s="24" t="s">
        <v>108</v>
      </c>
      <c r="T301" s="5" t="s">
        <v>1108</v>
      </c>
      <c r="U301" s="9" t="s">
        <v>19</v>
      </c>
      <c r="V301" s="51" t="str">
        <f t="shared" si="3"/>
        <v>Ativo</v>
      </c>
      <c r="W301" s="45"/>
      <c r="X301" s="52" t="s">
        <v>119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3"/>
      <c r="AQ301" s="53">
        <v>0.0</v>
      </c>
      <c r="AR301" s="53">
        <v>100000.0</v>
      </c>
      <c r="AS301" s="53">
        <v>101097.5</v>
      </c>
      <c r="AT301" s="53">
        <v>182553.5</v>
      </c>
      <c r="AU301" s="53">
        <f t="array" ref="AU301">XLOOKUP(C301,'PL TOTAL D0'!A:A,'PL TOTAL D0'!C:C,"")</f>
        <v>183272.5</v>
      </c>
    </row>
    <row r="302" ht="15.75" customHeight="1">
      <c r="A302" s="6" t="s">
        <v>43</v>
      </c>
      <c r="B302" s="112" t="s">
        <v>1109</v>
      </c>
      <c r="C302" s="113" t="s">
        <v>1110</v>
      </c>
      <c r="D302" s="9" t="s">
        <v>52</v>
      </c>
      <c r="E302" s="24" t="s">
        <v>19</v>
      </c>
      <c r="F302" s="9" t="s">
        <v>53</v>
      </c>
      <c r="G302" s="44" t="str">
        <f t="shared" si="1"/>
        <v>Breno</v>
      </c>
      <c r="H302" s="51" t="s">
        <v>123</v>
      </c>
      <c r="I302" s="51" t="s">
        <v>219</v>
      </c>
      <c r="J302" s="44" t="str">
        <f t="shared" si="6"/>
        <v>Não</v>
      </c>
      <c r="K302" s="57">
        <v>45446.0</v>
      </c>
      <c r="L302" s="45"/>
      <c r="M302" s="162" t="s">
        <v>55</v>
      </c>
      <c r="N302" s="86">
        <v>0.012</v>
      </c>
      <c r="O302" s="163" t="s">
        <v>24</v>
      </c>
      <c r="P302" s="88">
        <v>0.0</v>
      </c>
      <c r="Q302" s="15"/>
      <c r="R302" s="139"/>
      <c r="S302" s="24" t="s">
        <v>108</v>
      </c>
      <c r="T302" s="5" t="s">
        <v>1111</v>
      </c>
      <c r="U302" s="9" t="s">
        <v>1112</v>
      </c>
      <c r="V302" s="51" t="str">
        <f t="shared" si="3"/>
        <v>Ativo</v>
      </c>
      <c r="W302" s="24" t="s">
        <v>67</v>
      </c>
      <c r="X302" s="52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/>
      <c r="AR302" s="53"/>
      <c r="AS302" s="53"/>
      <c r="AT302" s="53">
        <v>564152.7</v>
      </c>
      <c r="AU302" s="53">
        <f t="array" ref="AU302">XLOOKUP(C302,'PL TOTAL D0'!A:A,'PL TOTAL D0'!C:C,"")</f>
        <v>591005.5</v>
      </c>
    </row>
    <row r="303" ht="15.75" customHeight="1">
      <c r="A303" s="6" t="s">
        <v>43</v>
      </c>
      <c r="B303" s="42" t="s">
        <v>1113</v>
      </c>
      <c r="C303" s="56" t="s">
        <v>1114</v>
      </c>
      <c r="D303" s="9" t="s">
        <v>18</v>
      </c>
      <c r="E303" s="24" t="s">
        <v>19</v>
      </c>
      <c r="F303" s="9" t="s">
        <v>122</v>
      </c>
      <c r="G303" s="44" t="str">
        <f t="shared" si="1"/>
        <v>#N/A</v>
      </c>
      <c r="H303" s="51" t="s">
        <v>147</v>
      </c>
      <c r="I303" s="51" t="s">
        <v>161</v>
      </c>
      <c r="J303" s="44" t="str">
        <f t="shared" si="6"/>
        <v>Não</v>
      </c>
      <c r="K303" s="57">
        <v>45309.0</v>
      </c>
      <c r="L303" s="45"/>
      <c r="M303" s="93" t="s">
        <v>55</v>
      </c>
      <c r="N303" s="94">
        <v>0.012</v>
      </c>
      <c r="O303" s="95" t="s">
        <v>24</v>
      </c>
      <c r="P303" s="96">
        <v>0.0</v>
      </c>
      <c r="Q303" s="79"/>
      <c r="R303" s="139"/>
      <c r="S303" s="24" t="s">
        <v>369</v>
      </c>
      <c r="T303" s="24" t="s">
        <v>1115</v>
      </c>
      <c r="U303" s="9" t="s">
        <v>19</v>
      </c>
      <c r="V303" s="51" t="str">
        <f t="shared" si="3"/>
        <v>Ativo</v>
      </c>
      <c r="W303" s="45"/>
      <c r="X303" s="52" t="s">
        <v>119</v>
      </c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>
        <v>0.0</v>
      </c>
      <c r="AP303" s="53">
        <v>0.0</v>
      </c>
      <c r="AQ303" s="53">
        <v>0.0</v>
      </c>
      <c r="AR303" s="53">
        <v>0.0</v>
      </c>
      <c r="AS303" s="53">
        <v>0.0</v>
      </c>
      <c r="AT303" s="53">
        <v>0.0</v>
      </c>
      <c r="AU303" s="53" t="str">
        <f t="array" ref="AU303">XLOOKUP(C303,'PL TOTAL D0'!A:A,'PL TOTAL D0'!C:C,"")</f>
        <v/>
      </c>
    </row>
    <row r="304" ht="15.75" customHeight="1">
      <c r="A304" s="41" t="s">
        <v>43</v>
      </c>
      <c r="B304" s="42" t="s">
        <v>1116</v>
      </c>
      <c r="C304" s="43" t="s">
        <v>1117</v>
      </c>
      <c r="D304" s="44" t="s">
        <v>18</v>
      </c>
      <c r="E304" s="45" t="s">
        <v>19</v>
      </c>
      <c r="F304" s="44" t="s">
        <v>20</v>
      </c>
      <c r="G304" s="44" t="str">
        <f t="shared" si="1"/>
        <v>Augusto</v>
      </c>
      <c r="H304" s="51" t="s">
        <v>107</v>
      </c>
      <c r="I304" s="51" t="s">
        <v>24</v>
      </c>
      <c r="J304" s="44" t="str">
        <f t="shared" si="6"/>
        <v>Não</v>
      </c>
      <c r="K304" s="47">
        <v>44944.0</v>
      </c>
      <c r="L304" s="45"/>
      <c r="M304" s="24" t="s">
        <v>139</v>
      </c>
      <c r="N304" s="58">
        <v>0.012</v>
      </c>
      <c r="O304" s="9" t="s">
        <v>48</v>
      </c>
      <c r="P304" s="59">
        <v>0.1</v>
      </c>
      <c r="Q304" s="78"/>
      <c r="R304" s="60" t="s">
        <v>1118</v>
      </c>
      <c r="S304" s="45" t="s">
        <v>108</v>
      </c>
      <c r="T304" s="24" t="s">
        <v>1119</v>
      </c>
      <c r="U304" s="9" t="s">
        <v>19</v>
      </c>
      <c r="V304" s="51" t="str">
        <f t="shared" si="3"/>
        <v>Ativo</v>
      </c>
      <c r="W304" s="45"/>
      <c r="X304" s="52" t="s">
        <v>119</v>
      </c>
      <c r="Y304" s="54"/>
      <c r="Z304" s="54"/>
      <c r="AA304" s="54"/>
      <c r="AB304" s="54"/>
      <c r="AC304" s="54">
        <v>5379.4</v>
      </c>
      <c r="AD304" s="54">
        <v>5432.22</v>
      </c>
      <c r="AE304" s="54">
        <v>44329.56</v>
      </c>
      <c r="AF304" s="54">
        <v>87717.56</v>
      </c>
      <c r="AG304" s="54">
        <v>107326.56</v>
      </c>
      <c r="AH304" s="54">
        <v>108290.97</v>
      </c>
      <c r="AI304" s="54">
        <v>138763.11</v>
      </c>
      <c r="AJ304" s="54">
        <v>139892.01</v>
      </c>
      <c r="AK304" s="54">
        <v>142567.1</v>
      </c>
      <c r="AL304" s="54">
        <v>146745.03</v>
      </c>
      <c r="AM304" s="54">
        <v>147811.24</v>
      </c>
      <c r="AN304" s="54">
        <v>148976.11</v>
      </c>
      <c r="AO304" s="54">
        <v>152388.93</v>
      </c>
      <c r="AP304" s="53">
        <v>156551.96</v>
      </c>
      <c r="AQ304" s="53">
        <v>160286.49</v>
      </c>
      <c r="AR304" s="53">
        <v>164453.17</v>
      </c>
      <c r="AS304" s="53">
        <v>166956.4</v>
      </c>
      <c r="AT304" s="53">
        <v>170351.6</v>
      </c>
      <c r="AU304" s="53">
        <f t="array" ref="AU304">XLOOKUP(C304,'PL TOTAL D0'!A:A,'PL TOTAL D0'!C:C,"")</f>
        <v>172586.1</v>
      </c>
    </row>
    <row r="305" ht="15.75" customHeight="1">
      <c r="A305" s="41" t="s">
        <v>43</v>
      </c>
      <c r="B305" s="42" t="s">
        <v>1120</v>
      </c>
      <c r="C305" s="43" t="s">
        <v>1121</v>
      </c>
      <c r="D305" s="44" t="s">
        <v>18</v>
      </c>
      <c r="E305" s="45" t="s">
        <v>19</v>
      </c>
      <c r="F305" s="44" t="s">
        <v>213</v>
      </c>
      <c r="G305" s="44" t="str">
        <f t="shared" si="1"/>
        <v>Augusto</v>
      </c>
      <c r="H305" s="51" t="s">
        <v>147</v>
      </c>
      <c r="I305" s="51" t="s">
        <v>219</v>
      </c>
      <c r="J305" s="44" t="str">
        <f t="shared" si="6"/>
        <v>Não</v>
      </c>
      <c r="K305" s="47">
        <v>45056.0</v>
      </c>
      <c r="L305" s="45"/>
      <c r="M305" s="45" t="s">
        <v>55</v>
      </c>
      <c r="N305" s="48">
        <v>0.012</v>
      </c>
      <c r="O305" s="44" t="s">
        <v>24</v>
      </c>
      <c r="P305" s="49">
        <v>0.0</v>
      </c>
      <c r="Q305" s="139"/>
      <c r="R305" s="139"/>
      <c r="S305" s="45" t="s">
        <v>108</v>
      </c>
      <c r="T305" s="24" t="s">
        <v>1122</v>
      </c>
      <c r="U305" s="9" t="s">
        <v>19</v>
      </c>
      <c r="V305" s="51" t="str">
        <f t="shared" si="3"/>
        <v>Ativo</v>
      </c>
      <c r="W305" s="45"/>
      <c r="X305" s="52" t="s">
        <v>119</v>
      </c>
      <c r="Y305" s="54"/>
      <c r="Z305" s="54"/>
      <c r="AA305" s="54"/>
      <c r="AB305" s="54"/>
      <c r="AC305" s="54"/>
      <c r="AD305" s="54"/>
      <c r="AE305" s="54"/>
      <c r="AF305" s="54">
        <v>445004.58</v>
      </c>
      <c r="AG305" s="54">
        <v>450031.58</v>
      </c>
      <c r="AH305" s="54">
        <v>454481.44</v>
      </c>
      <c r="AI305" s="54">
        <v>458776.15</v>
      </c>
      <c r="AJ305" s="54">
        <v>462672.2</v>
      </c>
      <c r="AK305" s="54">
        <v>466634.96</v>
      </c>
      <c r="AL305" s="54">
        <v>470661.51</v>
      </c>
      <c r="AM305" s="54">
        <v>474201.15</v>
      </c>
      <c r="AN305" s="54">
        <v>477990.33</v>
      </c>
      <c r="AO305" s="54">
        <v>482406.36</v>
      </c>
      <c r="AP305" s="53">
        <v>197.68</v>
      </c>
      <c r="AQ305" s="53">
        <v>146.74</v>
      </c>
      <c r="AR305" s="53">
        <v>147.63</v>
      </c>
      <c r="AS305" s="53">
        <v>147.7</v>
      </c>
      <c r="AT305" s="53">
        <v>148.61</v>
      </c>
      <c r="AU305" s="53">
        <f t="array" ref="AU305">XLOOKUP(C305,'PL TOTAL D0'!A:A,'PL TOTAL D0'!C:C,"")</f>
        <v>149.02</v>
      </c>
    </row>
    <row r="306" ht="15.75" customHeight="1">
      <c r="A306" s="41" t="s">
        <v>43</v>
      </c>
      <c r="B306" s="66" t="s">
        <v>1123</v>
      </c>
      <c r="C306" s="67" t="s">
        <v>1124</v>
      </c>
      <c r="D306" s="44" t="s">
        <v>18</v>
      </c>
      <c r="E306" s="45" t="s">
        <v>19</v>
      </c>
      <c r="F306" s="44" t="s">
        <v>122</v>
      </c>
      <c r="G306" s="44" t="str">
        <f t="shared" si="1"/>
        <v>Augusto</v>
      </c>
      <c r="H306" s="46" t="s">
        <v>107</v>
      </c>
      <c r="I306" s="46" t="s">
        <v>24</v>
      </c>
      <c r="J306" s="44" t="str">
        <f t="shared" si="6"/>
        <v>Não</v>
      </c>
      <c r="K306" s="47">
        <v>45183.0</v>
      </c>
      <c r="L306" s="45"/>
      <c r="M306" s="45" t="s">
        <v>47</v>
      </c>
      <c r="N306" s="48">
        <v>0.015</v>
      </c>
      <c r="O306" s="44" t="s">
        <v>48</v>
      </c>
      <c r="P306" s="49">
        <v>0.1</v>
      </c>
      <c r="Q306" s="139"/>
      <c r="R306" s="139"/>
      <c r="S306" s="45" t="s">
        <v>108</v>
      </c>
      <c r="T306" s="24" t="s">
        <v>1125</v>
      </c>
      <c r="U306" s="9" t="s">
        <v>29</v>
      </c>
      <c r="V306" s="51" t="str">
        <f t="shared" si="3"/>
        <v>Ativo</v>
      </c>
      <c r="W306" s="45"/>
      <c r="X306" s="52" t="s">
        <v>119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>
        <v>92871.91</v>
      </c>
      <c r="AL306" s="54">
        <v>128014.4</v>
      </c>
      <c r="AM306" s="54">
        <v>156010.58</v>
      </c>
      <c r="AN306" s="54">
        <v>188898.43</v>
      </c>
      <c r="AO306" s="54">
        <v>226640.08</v>
      </c>
      <c r="AP306" s="53">
        <v>261942.39</v>
      </c>
      <c r="AQ306" s="53">
        <v>264749.49</v>
      </c>
      <c r="AR306" s="53">
        <v>262927.17</v>
      </c>
      <c r="AS306" s="53">
        <v>286396.5</v>
      </c>
      <c r="AT306" s="53">
        <v>288107.6</v>
      </c>
      <c r="AU306" s="53">
        <f t="array" ref="AU306">XLOOKUP(C306,'PL TOTAL D0'!A:A,'PL TOTAL D0'!C:C,"")</f>
        <v>292399</v>
      </c>
    </row>
    <row r="307" ht="15.75" customHeight="1">
      <c r="A307" s="6" t="s">
        <v>43</v>
      </c>
      <c r="B307" s="6" t="s">
        <v>1126</v>
      </c>
      <c r="C307" s="21" t="s">
        <v>1127</v>
      </c>
      <c r="D307" s="9" t="s">
        <v>18</v>
      </c>
      <c r="E307" s="24" t="s">
        <v>29</v>
      </c>
      <c r="F307" s="9" t="s">
        <v>106</v>
      </c>
      <c r="G307" s="44" t="str">
        <f t="shared" si="1"/>
        <v>Augusto</v>
      </c>
      <c r="H307" s="51" t="s">
        <v>147</v>
      </c>
      <c r="I307" s="51" t="s">
        <v>148</v>
      </c>
      <c r="J307" s="44" t="str">
        <f t="shared" si="6"/>
        <v>Não</v>
      </c>
      <c r="K307" s="57">
        <v>45370.0</v>
      </c>
      <c r="L307" s="45"/>
      <c r="M307" s="24" t="s">
        <v>149</v>
      </c>
      <c r="N307" s="58">
        <v>0.0</v>
      </c>
      <c r="O307" s="9" t="s">
        <v>24</v>
      </c>
      <c r="P307" s="59">
        <v>0.0</v>
      </c>
      <c r="Q307" s="139"/>
      <c r="R307" s="139"/>
      <c r="S307" s="24" t="s">
        <v>108</v>
      </c>
      <c r="T307" s="23" t="s">
        <v>1128</v>
      </c>
      <c r="U307" s="9" t="s">
        <v>29</v>
      </c>
      <c r="V307" s="51" t="str">
        <f t="shared" si="3"/>
        <v>Ativo</v>
      </c>
      <c r="W307" s="45"/>
      <c r="X307" s="52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3"/>
      <c r="AQ307" s="53">
        <v>0.0</v>
      </c>
      <c r="AR307" s="53">
        <v>0.0</v>
      </c>
      <c r="AS307" s="53">
        <v>0.0</v>
      </c>
      <c r="AT307" s="53">
        <v>1.1</v>
      </c>
      <c r="AU307" s="53">
        <f t="array" ref="AU307">XLOOKUP(C307,'PL TOTAL D0'!A:A,'PL TOTAL D0'!C:C,"")</f>
        <v>1.1</v>
      </c>
    </row>
    <row r="308" ht="15.75" customHeight="1">
      <c r="A308" s="6" t="s">
        <v>43</v>
      </c>
      <c r="B308" s="42" t="s">
        <v>1129</v>
      </c>
      <c r="C308" s="43" t="s">
        <v>1130</v>
      </c>
      <c r="D308" s="9" t="s">
        <v>105</v>
      </c>
      <c r="E308" s="24" t="s">
        <v>29</v>
      </c>
      <c r="F308" s="45" t="s">
        <v>146</v>
      </c>
      <c r="G308" s="44" t="str">
        <f t="shared" si="1"/>
        <v>Augusto</v>
      </c>
      <c r="H308" s="51" t="s">
        <v>147</v>
      </c>
      <c r="I308" s="51" t="s">
        <v>148</v>
      </c>
      <c r="J308" s="44" t="str">
        <f t="shared" si="6"/>
        <v>Sim</v>
      </c>
      <c r="K308" s="57">
        <v>45279.0</v>
      </c>
      <c r="L308" s="45"/>
      <c r="M308" s="24" t="s">
        <v>149</v>
      </c>
      <c r="N308" s="58">
        <v>0.003</v>
      </c>
      <c r="O308" s="9" t="s">
        <v>24</v>
      </c>
      <c r="P308" s="59">
        <v>0.0</v>
      </c>
      <c r="Q308" s="15" t="s">
        <v>150</v>
      </c>
      <c r="R308" s="139"/>
      <c r="S308" s="24" t="s">
        <v>108</v>
      </c>
      <c r="T308" s="24" t="s">
        <v>1131</v>
      </c>
      <c r="U308" s="9" t="s">
        <v>152</v>
      </c>
      <c r="V308" s="51" t="str">
        <f t="shared" si="3"/>
        <v>Ativo</v>
      </c>
      <c r="W308" s="45"/>
      <c r="X308" s="52" t="s">
        <v>119</v>
      </c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>
        <v>0.0</v>
      </c>
      <c r="AO308" s="54">
        <v>0.0</v>
      </c>
      <c r="AP308" s="53">
        <v>223.64</v>
      </c>
      <c r="AQ308" s="53">
        <v>225.51</v>
      </c>
      <c r="AR308" s="53">
        <v>227.49</v>
      </c>
      <c r="AS308" s="53">
        <v>228.36</v>
      </c>
      <c r="AT308" s="53">
        <v>230.45</v>
      </c>
      <c r="AU308" s="53">
        <f t="array" ref="AU308">XLOOKUP(C308,'PL TOTAL D0'!A:A,'PL TOTAL D0'!C:C,"")</f>
        <v>231.35</v>
      </c>
    </row>
    <row r="309" ht="15.75" customHeight="1">
      <c r="A309" s="41" t="s">
        <v>43</v>
      </c>
      <c r="B309" s="97" t="s">
        <v>1132</v>
      </c>
      <c r="C309" s="71" t="s">
        <v>1133</v>
      </c>
      <c r="D309" s="44" t="s">
        <v>18</v>
      </c>
      <c r="E309" s="45" t="s">
        <v>176</v>
      </c>
      <c r="F309" s="44" t="s">
        <v>532</v>
      </c>
      <c r="G309" s="44" t="str">
        <f t="shared" si="1"/>
        <v>#N/A</v>
      </c>
      <c r="H309" s="51" t="s">
        <v>186</v>
      </c>
      <c r="I309" s="51" t="s">
        <v>24</v>
      </c>
      <c r="J309" s="44" t="str">
        <f t="shared" si="6"/>
        <v>Não</v>
      </c>
      <c r="K309" s="47">
        <v>45236.0</v>
      </c>
      <c r="L309" s="82">
        <v>45393.0</v>
      </c>
      <c r="M309" s="45" t="s">
        <v>129</v>
      </c>
      <c r="N309" s="48">
        <v>0.0</v>
      </c>
      <c r="O309" s="44" t="s">
        <v>24</v>
      </c>
      <c r="P309" s="49">
        <v>0.0</v>
      </c>
      <c r="Q309" s="50"/>
      <c r="R309" s="60" t="s">
        <v>1134</v>
      </c>
      <c r="S309" s="45" t="s">
        <v>108</v>
      </c>
      <c r="T309" s="24" t="s">
        <v>1135</v>
      </c>
      <c r="U309" s="9" t="s">
        <v>180</v>
      </c>
      <c r="V309" s="51" t="str">
        <f t="shared" si="3"/>
        <v>Encerrado</v>
      </c>
      <c r="W309" s="45"/>
      <c r="X309" s="52" t="s">
        <v>110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>
        <v>1074083.05</v>
      </c>
      <c r="AN309" s="54">
        <v>1082442.27</v>
      </c>
      <c r="AO309" s="54">
        <v>1032148.19</v>
      </c>
      <c r="AP309" s="53">
        <v>908055.54</v>
      </c>
      <c r="AQ309" s="53">
        <v>862950.86</v>
      </c>
      <c r="AR309" s="53">
        <v>0.0</v>
      </c>
      <c r="AS309" s="53">
        <v>0.0</v>
      </c>
      <c r="AT309" s="53">
        <v>0.0</v>
      </c>
      <c r="AU309" s="53" t="str">
        <f t="array" ref="AU309">XLOOKUP(C309,'PL TOTAL D0'!A:A,'PL TOTAL D0'!C:C,"")</f>
        <v/>
      </c>
    </row>
    <row r="310" ht="15.75" customHeight="1">
      <c r="A310" s="41" t="s">
        <v>43</v>
      </c>
      <c r="B310" s="64" t="s">
        <v>1136</v>
      </c>
      <c r="C310" s="65" t="s">
        <v>1137</v>
      </c>
      <c r="D310" s="9" t="s">
        <v>18</v>
      </c>
      <c r="E310" s="24" t="s">
        <v>29</v>
      </c>
      <c r="F310" s="9" t="s">
        <v>60</v>
      </c>
      <c r="G310" s="44" t="str">
        <f t="shared" si="1"/>
        <v>Breno</v>
      </c>
      <c r="H310" s="51" t="s">
        <v>107</v>
      </c>
      <c r="I310" s="51" t="s">
        <v>24</v>
      </c>
      <c r="J310" s="44" t="str">
        <f t="shared" si="6"/>
        <v>Não</v>
      </c>
      <c r="K310" s="57">
        <v>45439.0</v>
      </c>
      <c r="L310" s="82"/>
      <c r="M310" s="185" t="s">
        <v>55</v>
      </c>
      <c r="N310" s="186">
        <v>0.012</v>
      </c>
      <c r="O310" s="187" t="s">
        <v>24</v>
      </c>
      <c r="P310" s="188">
        <v>0.0</v>
      </c>
      <c r="Q310" s="50"/>
      <c r="R310" s="60"/>
      <c r="S310" s="24" t="s">
        <v>108</v>
      </c>
      <c r="T310" s="24" t="s">
        <v>1138</v>
      </c>
      <c r="U310" s="9" t="s">
        <v>29</v>
      </c>
      <c r="V310" s="51" t="str">
        <f t="shared" si="3"/>
        <v>Ativo</v>
      </c>
      <c r="W310" s="24" t="s">
        <v>75</v>
      </c>
      <c r="X310" s="52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3"/>
      <c r="AQ310" s="53"/>
      <c r="AR310" s="53"/>
      <c r="AS310" s="53">
        <v>200017.5</v>
      </c>
      <c r="AT310" s="53">
        <v>504224.4</v>
      </c>
      <c r="AU310" s="53">
        <f t="array" ref="AU310">XLOOKUP(C310,'PL TOTAL D0'!A:A,'PL TOTAL D0'!C:C,"")</f>
        <v>505945.1</v>
      </c>
    </row>
    <row r="311" ht="15.75" customHeight="1">
      <c r="A311" s="41" t="s">
        <v>43</v>
      </c>
      <c r="B311" s="42" t="s">
        <v>574</v>
      </c>
      <c r="C311" s="43" t="s">
        <v>1139</v>
      </c>
      <c r="D311" s="44" t="s">
        <v>18</v>
      </c>
      <c r="E311" s="45" t="s">
        <v>34</v>
      </c>
      <c r="F311" s="44" t="s">
        <v>574</v>
      </c>
      <c r="G311" s="44" t="str">
        <f t="shared" si="1"/>
        <v>Augusto</v>
      </c>
      <c r="H311" s="51" t="s">
        <v>147</v>
      </c>
      <c r="I311" s="51" t="s">
        <v>219</v>
      </c>
      <c r="J311" s="44" t="str">
        <f t="shared" si="6"/>
        <v>Não</v>
      </c>
      <c r="K311" s="47">
        <v>45056.0</v>
      </c>
      <c r="L311" s="62"/>
      <c r="M311" s="45" t="s">
        <v>47</v>
      </c>
      <c r="N311" s="48">
        <v>0.012</v>
      </c>
      <c r="O311" s="44" t="s">
        <v>48</v>
      </c>
      <c r="P311" s="49">
        <v>0.1</v>
      </c>
      <c r="Q311" s="74"/>
      <c r="R311" s="50"/>
      <c r="S311" s="45" t="s">
        <v>108</v>
      </c>
      <c r="T311" s="24" t="s">
        <v>1140</v>
      </c>
      <c r="U311" s="9" t="s">
        <v>34</v>
      </c>
      <c r="V311" s="51" t="str">
        <f t="shared" si="3"/>
        <v>Ativo</v>
      </c>
      <c r="W311" s="45"/>
      <c r="X311" s="52" t="s">
        <v>119</v>
      </c>
      <c r="Y311" s="54"/>
      <c r="Z311" s="54"/>
      <c r="AA311" s="54"/>
      <c r="AB311" s="54"/>
      <c r="AC311" s="54">
        <v>0.01</v>
      </c>
      <c r="AD311" s="54">
        <v>0.01</v>
      </c>
      <c r="AE311" s="54">
        <v>0.01</v>
      </c>
      <c r="AF311" s="54">
        <v>0.01</v>
      </c>
      <c r="AG311" s="54">
        <v>0.01</v>
      </c>
      <c r="AH311" s="54">
        <v>0.01</v>
      </c>
      <c r="AI311" s="54">
        <v>0.01</v>
      </c>
      <c r="AJ311" s="54">
        <v>0.01</v>
      </c>
      <c r="AK311" s="54">
        <v>0.01</v>
      </c>
      <c r="AL311" s="54">
        <v>0.01</v>
      </c>
      <c r="AM311" s="54">
        <v>0.01</v>
      </c>
      <c r="AN311" s="54">
        <v>0.01</v>
      </c>
      <c r="AO311" s="54">
        <v>0.01</v>
      </c>
      <c r="AP311" s="53">
        <v>0.01</v>
      </c>
      <c r="AQ311" s="53">
        <v>0.01</v>
      </c>
      <c r="AR311" s="53">
        <v>0.01</v>
      </c>
      <c r="AS311" s="53">
        <v>0.01</v>
      </c>
      <c r="AT311" s="53">
        <v>0.01</v>
      </c>
      <c r="AU311" s="53">
        <f t="array" ref="AU311">XLOOKUP(C311,'PL TOTAL D0'!A:A,'PL TOTAL D0'!C:C,"")</f>
        <v>0.01</v>
      </c>
    </row>
    <row r="312" ht="15.75" customHeight="1">
      <c r="A312" s="41" t="s">
        <v>43</v>
      </c>
      <c r="B312" s="42" t="s">
        <v>1141</v>
      </c>
      <c r="C312" s="189" t="s">
        <v>1142</v>
      </c>
      <c r="D312" s="44" t="s">
        <v>18</v>
      </c>
      <c r="E312" s="45" t="s">
        <v>34</v>
      </c>
      <c r="F312" s="44" t="s">
        <v>574</v>
      </c>
      <c r="G312" s="44" t="str">
        <f t="shared" si="1"/>
        <v>#N/A</v>
      </c>
      <c r="H312" s="51" t="s">
        <v>147</v>
      </c>
      <c r="I312" s="46" t="s">
        <v>219</v>
      </c>
      <c r="J312" s="44" t="str">
        <f t="shared" si="6"/>
        <v>Não</v>
      </c>
      <c r="K312" s="47">
        <v>45162.0</v>
      </c>
      <c r="L312" s="62"/>
      <c r="M312" s="45" t="s">
        <v>47</v>
      </c>
      <c r="N312" s="48">
        <v>0.012</v>
      </c>
      <c r="O312" s="44" t="s">
        <v>48</v>
      </c>
      <c r="P312" s="49">
        <v>0.1</v>
      </c>
      <c r="Q312" s="74"/>
      <c r="R312" s="50"/>
      <c r="S312" s="45" t="s">
        <v>108</v>
      </c>
      <c r="T312" s="24" t="s">
        <v>1140</v>
      </c>
      <c r="U312" s="9" t="s">
        <v>34</v>
      </c>
      <c r="V312" s="51" t="str">
        <f t="shared" si="3"/>
        <v>Inativo</v>
      </c>
      <c r="W312" s="45"/>
      <c r="X312" s="52" t="s">
        <v>119</v>
      </c>
      <c r="Y312" s="54"/>
      <c r="Z312" s="54"/>
      <c r="AA312" s="54"/>
      <c r="AB312" s="54"/>
      <c r="AC312" s="54">
        <v>0.0</v>
      </c>
      <c r="AD312" s="54">
        <v>0.0</v>
      </c>
      <c r="AE312" s="54">
        <v>0.0</v>
      </c>
      <c r="AF312" s="54">
        <v>0.0</v>
      </c>
      <c r="AG312" s="54">
        <v>0.0</v>
      </c>
      <c r="AH312" s="54">
        <v>0.0</v>
      </c>
      <c r="AI312" s="54">
        <v>0.0</v>
      </c>
      <c r="AJ312" s="54">
        <v>0.0</v>
      </c>
      <c r="AK312" s="54">
        <v>0.0</v>
      </c>
      <c r="AL312" s="54">
        <v>0.0</v>
      </c>
      <c r="AM312" s="54">
        <v>0.0</v>
      </c>
      <c r="AN312" s="54">
        <v>0.0</v>
      </c>
      <c r="AO312" s="54">
        <v>0.0</v>
      </c>
      <c r="AP312" s="53">
        <v>0.0</v>
      </c>
      <c r="AQ312" s="53">
        <v>0.0</v>
      </c>
      <c r="AR312" s="53">
        <v>0.0</v>
      </c>
      <c r="AS312" s="53">
        <v>0.0</v>
      </c>
      <c r="AT312" s="53">
        <v>0.0</v>
      </c>
      <c r="AU312" s="53" t="str">
        <f t="array" ref="AU312">XLOOKUP(C312,'PL TOTAL D0'!A:A,'PL TOTAL D0'!C:C,"")</f>
        <v/>
      </c>
    </row>
    <row r="313" ht="15.75" customHeight="1">
      <c r="A313" s="41" t="s">
        <v>43</v>
      </c>
      <c r="B313" s="61" t="s">
        <v>1143</v>
      </c>
      <c r="C313" s="43" t="s">
        <v>1144</v>
      </c>
      <c r="D313" s="44" t="s">
        <v>18</v>
      </c>
      <c r="E313" s="45" t="s">
        <v>176</v>
      </c>
      <c r="F313" s="44" t="s">
        <v>177</v>
      </c>
      <c r="G313" s="44" t="str">
        <f t="shared" si="1"/>
        <v>Augusto</v>
      </c>
      <c r="H313" s="46" t="s">
        <v>107</v>
      </c>
      <c r="I313" s="46" t="s">
        <v>24</v>
      </c>
      <c r="J313" s="44" t="str">
        <f t="shared" si="6"/>
        <v>Não</v>
      </c>
      <c r="K313" s="47">
        <v>45056.0</v>
      </c>
      <c r="L313" s="62"/>
      <c r="M313" s="45" t="s">
        <v>47</v>
      </c>
      <c r="N313" s="48">
        <v>0.015</v>
      </c>
      <c r="O313" s="44" t="s">
        <v>48</v>
      </c>
      <c r="P313" s="49">
        <v>0.1</v>
      </c>
      <c r="Q313" s="63"/>
      <c r="R313" s="60" t="s">
        <v>1145</v>
      </c>
      <c r="S313" s="45" t="s">
        <v>108</v>
      </c>
      <c r="T313" s="24" t="s">
        <v>1146</v>
      </c>
      <c r="U313" s="9" t="s">
        <v>180</v>
      </c>
      <c r="V313" s="51" t="str">
        <f t="shared" si="3"/>
        <v>Ativo</v>
      </c>
      <c r="W313" s="45"/>
      <c r="X313" s="52" t="s">
        <v>110</v>
      </c>
      <c r="Y313" s="54"/>
      <c r="Z313" s="54"/>
      <c r="AA313" s="54"/>
      <c r="AB313" s="54"/>
      <c r="AC313" s="54"/>
      <c r="AD313" s="54"/>
      <c r="AE313" s="54">
        <v>0.0</v>
      </c>
      <c r="AF313" s="54">
        <v>0.0</v>
      </c>
      <c r="AG313" s="54">
        <v>0.0</v>
      </c>
      <c r="AH313" s="54">
        <v>27481.85</v>
      </c>
      <c r="AI313" s="54">
        <v>28721.07</v>
      </c>
      <c r="AJ313" s="54">
        <v>27772.17</v>
      </c>
      <c r="AK313" s="54">
        <v>27830.25</v>
      </c>
      <c r="AL313" s="54">
        <v>106670.24</v>
      </c>
      <c r="AM313" s="54">
        <v>109135.89</v>
      </c>
      <c r="AN313" s="54">
        <v>111233.69</v>
      </c>
      <c r="AO313" s="54">
        <v>109627.24</v>
      </c>
      <c r="AP313" s="53">
        <v>110509.7</v>
      </c>
      <c r="AQ313" s="53">
        <v>140287.07</v>
      </c>
      <c r="AR313" s="53">
        <v>139762.28</v>
      </c>
      <c r="AS313" s="53">
        <v>139250.8</v>
      </c>
      <c r="AT313" s="53">
        <v>140130.7</v>
      </c>
      <c r="AU313" s="53">
        <f t="array" ref="AU313">XLOOKUP(C313,'PL TOTAL D0'!A:A,'PL TOTAL D0'!C:C,"")</f>
        <v>142279</v>
      </c>
    </row>
    <row r="314" ht="15.75" customHeight="1">
      <c r="A314" s="41" t="s">
        <v>43</v>
      </c>
      <c r="B314" s="55" t="s">
        <v>1147</v>
      </c>
      <c r="C314" s="43" t="s">
        <v>1148</v>
      </c>
      <c r="D314" s="44" t="s">
        <v>18</v>
      </c>
      <c r="E314" s="45" t="s">
        <v>176</v>
      </c>
      <c r="F314" s="44" t="s">
        <v>177</v>
      </c>
      <c r="G314" s="44" t="str">
        <f t="shared" si="1"/>
        <v>#N/A</v>
      </c>
      <c r="H314" s="51" t="s">
        <v>147</v>
      </c>
      <c r="I314" s="51" t="s">
        <v>219</v>
      </c>
      <c r="J314" s="44" t="str">
        <f t="shared" si="6"/>
        <v>Não</v>
      </c>
      <c r="K314" s="47">
        <v>45000.0</v>
      </c>
      <c r="L314" s="45"/>
      <c r="M314" s="45" t="s">
        <v>55</v>
      </c>
      <c r="N314" s="48">
        <v>0.012</v>
      </c>
      <c r="O314" s="44" t="s">
        <v>24</v>
      </c>
      <c r="P314" s="49">
        <v>0.0</v>
      </c>
      <c r="Q314" s="50"/>
      <c r="R314" s="50"/>
      <c r="S314" s="45" t="s">
        <v>108</v>
      </c>
      <c r="T314" s="56" t="s">
        <v>1140</v>
      </c>
      <c r="U314" s="9" t="s">
        <v>180</v>
      </c>
      <c r="V314" s="51" t="str">
        <f t="shared" si="3"/>
        <v>Ativo</v>
      </c>
      <c r="W314" s="45"/>
      <c r="X314" s="52" t="s">
        <v>110</v>
      </c>
      <c r="Y314" s="54"/>
      <c r="Z314" s="54"/>
      <c r="AA314" s="54"/>
      <c r="AB314" s="54"/>
      <c r="AC314" s="54"/>
      <c r="AD314" s="54"/>
      <c r="AE314" s="54">
        <v>1204769.98</v>
      </c>
      <c r="AF314" s="54">
        <v>1213660.87</v>
      </c>
      <c r="AG314" s="54">
        <v>1226801.03</v>
      </c>
      <c r="AH314" s="54">
        <v>984540.31</v>
      </c>
      <c r="AI314" s="54">
        <v>993536.81</v>
      </c>
      <c r="AJ314" s="54">
        <v>1004120.36</v>
      </c>
      <c r="AK314" s="54">
        <v>1011117.33</v>
      </c>
      <c r="AL314" s="54">
        <v>1020081.73</v>
      </c>
      <c r="AM314" s="54">
        <v>399196.85</v>
      </c>
      <c r="AN314" s="54">
        <v>189.08</v>
      </c>
      <c r="AO314" s="54">
        <v>0.0</v>
      </c>
      <c r="AP314" s="53">
        <v>81.8</v>
      </c>
      <c r="AQ314" s="53">
        <v>0.0</v>
      </c>
      <c r="AR314" s="53">
        <v>0.0</v>
      </c>
      <c r="AS314" s="53">
        <v>0.0</v>
      </c>
      <c r="AT314" s="53">
        <v>0.0</v>
      </c>
      <c r="AU314" s="53" t="str">
        <f t="array" ref="AU314">XLOOKUP(C314,'PL TOTAL D0'!A:A,'PL TOTAL D0'!C:C,"")</f>
        <v/>
      </c>
    </row>
    <row r="315" ht="15.75" customHeight="1">
      <c r="A315" s="41" t="s">
        <v>43</v>
      </c>
      <c r="B315" s="42" t="s">
        <v>1149</v>
      </c>
      <c r="C315" s="56" t="s">
        <v>1150</v>
      </c>
      <c r="D315" s="44" t="s">
        <v>18</v>
      </c>
      <c r="E315" s="45" t="s">
        <v>176</v>
      </c>
      <c r="F315" s="44" t="s">
        <v>177</v>
      </c>
      <c r="G315" s="44" t="str">
        <f t="shared" si="1"/>
        <v>Augusto</v>
      </c>
      <c r="H315" s="46" t="s">
        <v>107</v>
      </c>
      <c r="I315" s="46" t="s">
        <v>24</v>
      </c>
      <c r="J315" s="44" t="str">
        <f t="shared" si="6"/>
        <v>Não</v>
      </c>
      <c r="K315" s="47">
        <v>45065.0</v>
      </c>
      <c r="L315" s="45"/>
      <c r="M315" s="45" t="s">
        <v>79</v>
      </c>
      <c r="N315" s="48">
        <v>0.012</v>
      </c>
      <c r="O315" s="44" t="s">
        <v>24</v>
      </c>
      <c r="P315" s="49">
        <v>0.0</v>
      </c>
      <c r="Q315" s="50"/>
      <c r="R315" s="50"/>
      <c r="S315" s="45" t="s">
        <v>108</v>
      </c>
      <c r="T315" s="24" t="s">
        <v>1151</v>
      </c>
      <c r="U315" s="9" t="s">
        <v>180</v>
      </c>
      <c r="V315" s="51" t="str">
        <f t="shared" si="3"/>
        <v>Ativo</v>
      </c>
      <c r="W315" s="45"/>
      <c r="X315" s="52" t="s">
        <v>110</v>
      </c>
      <c r="Y315" s="54"/>
      <c r="Z315" s="54"/>
      <c r="AA315" s="54"/>
      <c r="AB315" s="54"/>
      <c r="AC315" s="54"/>
      <c r="AD315" s="54"/>
      <c r="AE315" s="54">
        <v>0.0</v>
      </c>
      <c r="AF315" s="54">
        <v>0.0</v>
      </c>
      <c r="AG315" s="54">
        <v>363226.57</v>
      </c>
      <c r="AH315" s="54">
        <v>366392.92</v>
      </c>
      <c r="AI315" s="54">
        <v>368988.46</v>
      </c>
      <c r="AJ315" s="54">
        <v>371859.91</v>
      </c>
      <c r="AK315" s="54">
        <v>373297.73</v>
      </c>
      <c r="AL315" s="54">
        <v>373865.0</v>
      </c>
      <c r="AM315" s="54">
        <v>380177.08</v>
      </c>
      <c r="AN315" s="54">
        <v>385489.77</v>
      </c>
      <c r="AO315" s="54">
        <v>384570.08</v>
      </c>
      <c r="AP315" s="53">
        <v>386416.47</v>
      </c>
      <c r="AQ315" s="53">
        <v>390387.65</v>
      </c>
      <c r="AR315" s="53">
        <v>389403.06</v>
      </c>
      <c r="AS315" s="53">
        <v>387464.3</v>
      </c>
      <c r="AT315" s="53">
        <v>390000.8</v>
      </c>
      <c r="AU315" s="53">
        <f t="array" ref="AU315">XLOOKUP(C315,'PL TOTAL D0'!A:A,'PL TOTAL D0'!C:C,"")</f>
        <v>393584.1</v>
      </c>
    </row>
    <row r="316" ht="15.75" customHeight="1">
      <c r="A316" s="41" t="s">
        <v>43</v>
      </c>
      <c r="B316" s="64" t="s">
        <v>1152</v>
      </c>
      <c r="C316" s="190" t="s">
        <v>1153</v>
      </c>
      <c r="D316" s="9" t="s">
        <v>18</v>
      </c>
      <c r="E316" s="24" t="s">
        <v>29</v>
      </c>
      <c r="F316" s="9" t="s">
        <v>168</v>
      </c>
      <c r="G316" s="44" t="str">
        <f t="shared" si="1"/>
        <v>Augusto</v>
      </c>
      <c r="H316" s="51" t="s">
        <v>123</v>
      </c>
      <c r="I316" s="51" t="s">
        <v>24</v>
      </c>
      <c r="J316" s="44" t="str">
        <f t="shared" si="6"/>
        <v>Não</v>
      </c>
      <c r="K316" s="57">
        <v>45385.0</v>
      </c>
      <c r="L316" s="62"/>
      <c r="M316" s="24" t="s">
        <v>55</v>
      </c>
      <c r="N316" s="58">
        <v>0.0</v>
      </c>
      <c r="O316" s="9" t="s">
        <v>24</v>
      </c>
      <c r="P316" s="59">
        <v>0.0</v>
      </c>
      <c r="Q316" s="74"/>
      <c r="R316" s="60" t="s">
        <v>1154</v>
      </c>
      <c r="S316" s="24" t="s">
        <v>108</v>
      </c>
      <c r="T316" s="5" t="s">
        <v>1155</v>
      </c>
      <c r="U316" s="9" t="s">
        <v>29</v>
      </c>
      <c r="V316" s="51" t="str">
        <f t="shared" si="3"/>
        <v>Ativo</v>
      </c>
      <c r="W316" s="45"/>
      <c r="X316" s="52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3"/>
      <c r="AQ316" s="53"/>
      <c r="AR316" s="53">
        <v>53000.04</v>
      </c>
      <c r="AS316" s="53">
        <v>50079.66</v>
      </c>
      <c r="AT316" s="53">
        <v>43484.62</v>
      </c>
      <c r="AU316" s="53">
        <f t="array" ref="AU316">XLOOKUP(C316,'PL TOTAL D0'!A:A,'PL TOTAL D0'!C:C,"")</f>
        <v>43716.94</v>
      </c>
    </row>
    <row r="317" ht="15.75" customHeight="1">
      <c r="A317" s="41" t="s">
        <v>43</v>
      </c>
      <c r="B317" s="115" t="s">
        <v>1156</v>
      </c>
      <c r="C317" s="43" t="s">
        <v>1157</v>
      </c>
      <c r="D317" s="44" t="s">
        <v>18</v>
      </c>
      <c r="E317" s="45" t="s">
        <v>176</v>
      </c>
      <c r="F317" s="44" t="s">
        <v>177</v>
      </c>
      <c r="G317" s="44" t="str">
        <f t="shared" si="1"/>
        <v>Breno</v>
      </c>
      <c r="H317" s="46" t="s">
        <v>107</v>
      </c>
      <c r="I317" s="46" t="s">
        <v>24</v>
      </c>
      <c r="J317" s="44" t="str">
        <f t="shared" si="6"/>
        <v>Não</v>
      </c>
      <c r="K317" s="47">
        <v>45134.0</v>
      </c>
      <c r="L317" s="62"/>
      <c r="M317" s="45" t="s">
        <v>47</v>
      </c>
      <c r="N317" s="48">
        <v>0.016</v>
      </c>
      <c r="O317" s="44" t="s">
        <v>48</v>
      </c>
      <c r="P317" s="49">
        <v>0.2</v>
      </c>
      <c r="Q317" s="74"/>
      <c r="R317" s="50"/>
      <c r="S317" s="45" t="s">
        <v>108</v>
      </c>
      <c r="T317" s="24" t="s">
        <v>1158</v>
      </c>
      <c r="U317" s="9" t="s">
        <v>180</v>
      </c>
      <c r="V317" s="51" t="str">
        <f t="shared" si="3"/>
        <v>Ativo</v>
      </c>
      <c r="W317" s="45"/>
      <c r="X317" s="52" t="s">
        <v>110</v>
      </c>
      <c r="Y317" s="54"/>
      <c r="Z317" s="54"/>
      <c r="AA317" s="54"/>
      <c r="AB317" s="54"/>
      <c r="AC317" s="54"/>
      <c r="AD317" s="54"/>
      <c r="AE317" s="54"/>
      <c r="AF317" s="54">
        <v>0.0</v>
      </c>
      <c r="AG317" s="54">
        <v>0.0</v>
      </c>
      <c r="AH317" s="54">
        <v>0.0</v>
      </c>
      <c r="AI317" s="54">
        <v>357015.53</v>
      </c>
      <c r="AJ317" s="54">
        <v>360860.21</v>
      </c>
      <c r="AK317" s="54">
        <v>362504.3</v>
      </c>
      <c r="AL317" s="54">
        <v>362332.13</v>
      </c>
      <c r="AM317" s="54">
        <v>371141.9</v>
      </c>
      <c r="AN317" s="54">
        <v>378752.13</v>
      </c>
      <c r="AO317" s="54">
        <v>371962.12</v>
      </c>
      <c r="AP317" s="53">
        <v>372998.45</v>
      </c>
      <c r="AQ317" s="53">
        <v>421870.6</v>
      </c>
      <c r="AR317" s="53">
        <v>415883.5</v>
      </c>
      <c r="AS317" s="53">
        <v>423050.6</v>
      </c>
      <c r="AT317" s="53">
        <v>429647.6</v>
      </c>
      <c r="AU317" s="53">
        <f t="array" ref="AU317">XLOOKUP(C317,'PL TOTAL D0'!A:A,'PL TOTAL D0'!C:C,"")</f>
        <v>437692.2</v>
      </c>
    </row>
    <row r="318" ht="15.75" customHeight="1">
      <c r="A318" s="41" t="s">
        <v>43</v>
      </c>
      <c r="B318" s="55" t="s">
        <v>1156</v>
      </c>
      <c r="C318" s="75" t="s">
        <v>1159</v>
      </c>
      <c r="D318" s="44" t="s">
        <v>18</v>
      </c>
      <c r="E318" s="45" t="s">
        <v>176</v>
      </c>
      <c r="F318" s="44" t="s">
        <v>177</v>
      </c>
      <c r="G318" s="44" t="str">
        <f t="shared" si="1"/>
        <v>#N/A</v>
      </c>
      <c r="H318" s="51" t="s">
        <v>147</v>
      </c>
      <c r="I318" s="46" t="s">
        <v>219</v>
      </c>
      <c r="J318" s="44" t="str">
        <f t="shared" si="6"/>
        <v>Não</v>
      </c>
      <c r="K318" s="47">
        <v>45162.0</v>
      </c>
      <c r="L318" s="45"/>
      <c r="M318" s="45" t="s">
        <v>194</v>
      </c>
      <c r="N318" s="176">
        <v>0.008</v>
      </c>
      <c r="O318" s="44" t="s">
        <v>195</v>
      </c>
      <c r="P318" s="49">
        <v>0.1</v>
      </c>
      <c r="Q318" s="50"/>
      <c r="R318" s="50"/>
      <c r="S318" s="45" t="s">
        <v>108</v>
      </c>
      <c r="T318" s="24" t="s">
        <v>1158</v>
      </c>
      <c r="U318" s="9" t="s">
        <v>180</v>
      </c>
      <c r="V318" s="51" t="str">
        <f t="shared" si="3"/>
        <v>Ativo</v>
      </c>
      <c r="W318" s="45"/>
      <c r="X318" s="52" t="s">
        <v>110</v>
      </c>
      <c r="Y318" s="54"/>
      <c r="Z318" s="54"/>
      <c r="AA318" s="54"/>
      <c r="AB318" s="54"/>
      <c r="AC318" s="54"/>
      <c r="AD318" s="54"/>
      <c r="AE318" s="54"/>
      <c r="AF318" s="54"/>
      <c r="AG318" s="54"/>
      <c r="AH318" s="54">
        <v>0.0</v>
      </c>
      <c r="AI318" s="54">
        <v>0.0</v>
      </c>
      <c r="AJ318" s="54">
        <v>0.0</v>
      </c>
      <c r="AK318" s="54">
        <v>0.0</v>
      </c>
      <c r="AL318" s="54">
        <v>0.0</v>
      </c>
      <c r="AM318" s="54">
        <v>0.0</v>
      </c>
      <c r="AN318" s="54">
        <v>0.0</v>
      </c>
      <c r="AO318" s="54">
        <v>0.0</v>
      </c>
      <c r="AP318" s="53">
        <v>0.0</v>
      </c>
      <c r="AQ318" s="53">
        <v>0.0</v>
      </c>
      <c r="AR318" s="53">
        <v>0.0</v>
      </c>
      <c r="AS318" s="53">
        <v>0.0</v>
      </c>
      <c r="AT318" s="53">
        <v>0.0</v>
      </c>
      <c r="AU318" s="53" t="str">
        <f t="array" ref="AU318">XLOOKUP(C318,'PL TOTAL D0'!A:A,'PL TOTAL D0'!C:C,"")</f>
        <v/>
      </c>
    </row>
    <row r="319" ht="15.75" customHeight="1">
      <c r="A319" s="41" t="s">
        <v>43</v>
      </c>
      <c r="B319" s="42" t="s">
        <v>1160</v>
      </c>
      <c r="C319" s="43" t="s">
        <v>1161</v>
      </c>
      <c r="D319" s="44" t="s">
        <v>18</v>
      </c>
      <c r="E319" s="45" t="s">
        <v>19</v>
      </c>
      <c r="F319" s="44" t="s">
        <v>213</v>
      </c>
      <c r="G319" s="44" t="str">
        <f t="shared" si="1"/>
        <v>Augusto</v>
      </c>
      <c r="H319" s="46" t="s">
        <v>107</v>
      </c>
      <c r="I319" s="46" t="s">
        <v>24</v>
      </c>
      <c r="J319" s="44" t="str">
        <f t="shared" si="6"/>
        <v>Não</v>
      </c>
      <c r="K319" s="47">
        <v>44928.0</v>
      </c>
      <c r="L319" s="45"/>
      <c r="M319" s="45" t="s">
        <v>55</v>
      </c>
      <c r="N319" s="48">
        <v>0.01</v>
      </c>
      <c r="O319" s="44" t="s">
        <v>24</v>
      </c>
      <c r="P319" s="49">
        <v>0.0</v>
      </c>
      <c r="Q319" s="60"/>
      <c r="R319" s="50"/>
      <c r="S319" s="45" t="s">
        <v>108</v>
      </c>
      <c r="T319" s="24" t="s">
        <v>1162</v>
      </c>
      <c r="U319" s="9" t="s">
        <v>19</v>
      </c>
      <c r="V319" s="51" t="str">
        <f t="shared" si="3"/>
        <v>Ativo</v>
      </c>
      <c r="W319" s="45"/>
      <c r="X319" s="52" t="s">
        <v>119</v>
      </c>
      <c r="Y319" s="54"/>
      <c r="Z319" s="54"/>
      <c r="AA319" s="54"/>
      <c r="AB319" s="54">
        <v>60489.03</v>
      </c>
      <c r="AC319" s="54">
        <v>67871.16</v>
      </c>
      <c r="AD319" s="54">
        <v>68499.79</v>
      </c>
      <c r="AE319" s="54">
        <v>55128.26</v>
      </c>
      <c r="AF319" s="54">
        <v>137580.65</v>
      </c>
      <c r="AG319" s="54">
        <v>138871.22</v>
      </c>
      <c r="AH319" s="54">
        <v>133995.65</v>
      </c>
      <c r="AI319" s="54">
        <v>84945.2</v>
      </c>
      <c r="AJ319" s="54">
        <v>83654.29</v>
      </c>
      <c r="AK319" s="54">
        <v>75545.65</v>
      </c>
      <c r="AL319" s="54">
        <v>50485.35</v>
      </c>
      <c r="AM319" s="54">
        <v>31521.88</v>
      </c>
      <c r="AN319" s="54">
        <v>20080.36</v>
      </c>
      <c r="AO319" s="54">
        <v>32997.86</v>
      </c>
      <c r="AP319" s="53">
        <v>27116.67</v>
      </c>
      <c r="AQ319" s="53">
        <v>10117.07</v>
      </c>
      <c r="AR319" s="53">
        <v>1167.18</v>
      </c>
      <c r="AS319" s="53">
        <v>1504.03</v>
      </c>
      <c r="AT319" s="53">
        <v>0.86</v>
      </c>
      <c r="AU319" s="53">
        <f t="array" ref="AU319">XLOOKUP(C319,'PL TOTAL D0'!A:A,'PL TOTAL D0'!C:C,"")</f>
        <v>0.86</v>
      </c>
    </row>
    <row r="320" ht="15.75" customHeight="1">
      <c r="A320" s="41" t="s">
        <v>43</v>
      </c>
      <c r="B320" s="61" t="s">
        <v>1163</v>
      </c>
      <c r="C320" s="43" t="s">
        <v>1164</v>
      </c>
      <c r="D320" s="44" t="s">
        <v>18</v>
      </c>
      <c r="E320" s="45" t="s">
        <v>29</v>
      </c>
      <c r="F320" s="44" t="s">
        <v>78</v>
      </c>
      <c r="G320" s="44" t="str">
        <f t="shared" si="1"/>
        <v>Breno</v>
      </c>
      <c r="H320" s="51" t="s">
        <v>107</v>
      </c>
      <c r="I320" s="51" t="s">
        <v>24</v>
      </c>
      <c r="J320" s="44" t="str">
        <f t="shared" si="6"/>
        <v>Sim</v>
      </c>
      <c r="K320" s="47">
        <v>45014.0</v>
      </c>
      <c r="L320" s="45"/>
      <c r="M320" s="45" t="s">
        <v>55</v>
      </c>
      <c r="N320" s="48">
        <v>0.01</v>
      </c>
      <c r="O320" s="44" t="s">
        <v>24</v>
      </c>
      <c r="P320" s="49">
        <v>0.0</v>
      </c>
      <c r="Q320" s="60" t="s">
        <v>1165</v>
      </c>
      <c r="R320" s="60" t="s">
        <v>1166</v>
      </c>
      <c r="S320" s="45" t="s">
        <v>108</v>
      </c>
      <c r="T320" s="24" t="s">
        <v>1167</v>
      </c>
      <c r="U320" s="9" t="s">
        <v>791</v>
      </c>
      <c r="V320" s="51" t="str">
        <f t="shared" si="3"/>
        <v>Ativo</v>
      </c>
      <c r="W320" s="45"/>
      <c r="X320" s="52" t="s">
        <v>119</v>
      </c>
      <c r="Y320" s="54"/>
      <c r="Z320" s="54"/>
      <c r="AA320" s="54"/>
      <c r="AB320" s="54"/>
      <c r="AC320" s="54"/>
      <c r="AD320" s="54"/>
      <c r="AE320" s="54">
        <v>266535.1</v>
      </c>
      <c r="AF320" s="54">
        <v>268529.92</v>
      </c>
      <c r="AG320" s="54">
        <v>280076.21</v>
      </c>
      <c r="AH320" s="54">
        <v>282591.82</v>
      </c>
      <c r="AI320" s="54">
        <v>423787.5</v>
      </c>
      <c r="AJ320" s="54">
        <v>320550.36</v>
      </c>
      <c r="AK320" s="54">
        <v>323015.09</v>
      </c>
      <c r="AL320" s="54">
        <v>325639.68</v>
      </c>
      <c r="AM320" s="54">
        <v>328069.17</v>
      </c>
      <c r="AN320" s="54">
        <v>331670.26</v>
      </c>
      <c r="AO320" s="54">
        <v>336143.26</v>
      </c>
      <c r="AP320" s="53">
        <v>339018.15</v>
      </c>
      <c r="AQ320" s="53">
        <v>346764.92</v>
      </c>
      <c r="AR320" s="53">
        <v>352465.83</v>
      </c>
      <c r="AS320" s="53">
        <v>355912.1</v>
      </c>
      <c r="AT320" s="53">
        <v>479981.2</v>
      </c>
      <c r="AU320" s="53">
        <f t="array" ref="AU320">XLOOKUP(C320,'PL TOTAL D0'!A:A,'PL TOTAL D0'!C:C,"")</f>
        <v>482226.2</v>
      </c>
    </row>
    <row r="321" ht="15.75" customHeight="1">
      <c r="A321" s="41" t="s">
        <v>43</v>
      </c>
      <c r="B321" s="61" t="s">
        <v>1163</v>
      </c>
      <c r="C321" s="43" t="s">
        <v>1168</v>
      </c>
      <c r="D321" s="44" t="s">
        <v>18</v>
      </c>
      <c r="E321" s="45" t="s">
        <v>29</v>
      </c>
      <c r="F321" s="44" t="s">
        <v>78</v>
      </c>
      <c r="G321" s="44" t="str">
        <f t="shared" si="1"/>
        <v>Augusto</v>
      </c>
      <c r="H321" s="51" t="s">
        <v>147</v>
      </c>
      <c r="I321" s="51" t="s">
        <v>693</v>
      </c>
      <c r="J321" s="44" t="str">
        <f t="shared" si="6"/>
        <v>Sim</v>
      </c>
      <c r="K321" s="47">
        <v>45155.0</v>
      </c>
      <c r="L321" s="45"/>
      <c r="M321" s="45" t="s">
        <v>47</v>
      </c>
      <c r="N321" s="48">
        <v>0.015</v>
      </c>
      <c r="O321" s="44" t="s">
        <v>48</v>
      </c>
      <c r="P321" s="49">
        <v>0.1</v>
      </c>
      <c r="Q321" s="60" t="s">
        <v>1169</v>
      </c>
      <c r="R321" s="60" t="s">
        <v>1166</v>
      </c>
      <c r="S321" s="45" t="s">
        <v>108</v>
      </c>
      <c r="T321" s="24" t="s">
        <v>1167</v>
      </c>
      <c r="U321" s="9" t="s">
        <v>791</v>
      </c>
      <c r="V321" s="51" t="str">
        <f t="shared" si="3"/>
        <v>Ativo</v>
      </c>
      <c r="W321" s="45"/>
      <c r="X321" s="52" t="s">
        <v>119</v>
      </c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>
        <v>0.0</v>
      </c>
      <c r="AJ321" s="54">
        <v>105836.32</v>
      </c>
      <c r="AK321" s="54">
        <v>106490.87</v>
      </c>
      <c r="AL321" s="54">
        <v>106310.81</v>
      </c>
      <c r="AM321" s="54">
        <v>108368.87</v>
      </c>
      <c r="AN321" s="54">
        <v>111434.97</v>
      </c>
      <c r="AO321" s="54">
        <v>109846.93</v>
      </c>
      <c r="AP321" s="53">
        <v>110817.33</v>
      </c>
      <c r="AQ321" s="53">
        <v>111940.5</v>
      </c>
      <c r="AR321" s="53">
        <v>111118.47</v>
      </c>
      <c r="AS321" s="53">
        <v>110725.5</v>
      </c>
      <c r="AT321" s="53">
        <v>2532.29</v>
      </c>
      <c r="AU321" s="53">
        <f t="array" ref="AU321">XLOOKUP(C321,'PL TOTAL D0'!A:A,'PL TOTAL D0'!C:C,"")</f>
        <v>2543.36</v>
      </c>
    </row>
    <row r="322" ht="15.75" customHeight="1">
      <c r="A322" s="41" t="s">
        <v>43</v>
      </c>
      <c r="B322" s="42" t="s">
        <v>1170</v>
      </c>
      <c r="C322" s="43" t="s">
        <v>1171</v>
      </c>
      <c r="D322" s="44" t="s">
        <v>18</v>
      </c>
      <c r="E322" s="45" t="s">
        <v>19</v>
      </c>
      <c r="F322" s="44" t="s">
        <v>20</v>
      </c>
      <c r="G322" s="44" t="str">
        <f t="shared" si="1"/>
        <v>Breno</v>
      </c>
      <c r="H322" s="51" t="s">
        <v>147</v>
      </c>
      <c r="I322" s="46" t="s">
        <v>24</v>
      </c>
      <c r="J322" s="44" t="str">
        <f t="shared" si="6"/>
        <v>Sim</v>
      </c>
      <c r="K322" s="47">
        <v>44945.0</v>
      </c>
      <c r="L322" s="45"/>
      <c r="M322" s="45" t="s">
        <v>55</v>
      </c>
      <c r="N322" s="48">
        <v>0.012</v>
      </c>
      <c r="O322" s="44" t="s">
        <v>24</v>
      </c>
      <c r="P322" s="49">
        <v>0.0</v>
      </c>
      <c r="Q322" s="60" t="s">
        <v>1172</v>
      </c>
      <c r="R322" s="50"/>
      <c r="S322" s="45" t="s">
        <v>108</v>
      </c>
      <c r="T322" s="24" t="s">
        <v>1173</v>
      </c>
      <c r="U322" s="9" t="s">
        <v>19</v>
      </c>
      <c r="V322" s="51" t="str">
        <f t="shared" si="3"/>
        <v>Ativo</v>
      </c>
      <c r="W322" s="45"/>
      <c r="X322" s="52" t="s">
        <v>119</v>
      </c>
      <c r="Y322" s="54"/>
      <c r="Z322" s="54"/>
      <c r="AA322" s="54"/>
      <c r="AB322" s="54"/>
      <c r="AC322" s="54">
        <v>1922920.39</v>
      </c>
      <c r="AD322" s="54">
        <v>2493271.63</v>
      </c>
      <c r="AE322" s="54">
        <v>2520762.31</v>
      </c>
      <c r="AF322" s="54">
        <v>2538779.45</v>
      </c>
      <c r="AG322" s="54">
        <v>2566640.21</v>
      </c>
      <c r="AH322" s="54">
        <v>2590353.9</v>
      </c>
      <c r="AI322" s="54">
        <v>2613104.75</v>
      </c>
      <c r="AJ322" s="54">
        <v>2636690.92</v>
      </c>
      <c r="AK322" s="54">
        <v>2658373.0</v>
      </c>
      <c r="AL322" s="54">
        <v>2682028.77</v>
      </c>
      <c r="AM322" s="54">
        <v>2701699.72</v>
      </c>
      <c r="AN322" s="54">
        <v>2722116.52</v>
      </c>
      <c r="AO322" s="54">
        <v>2714748.31</v>
      </c>
      <c r="AP322" s="53">
        <v>643021.64</v>
      </c>
      <c r="AQ322" s="53">
        <v>648589.35</v>
      </c>
      <c r="AR322" s="53">
        <v>585320.19</v>
      </c>
      <c r="AS322" s="53">
        <v>590091.3</v>
      </c>
      <c r="AT322" s="53">
        <v>594830.0</v>
      </c>
      <c r="AU322" s="53">
        <f t="array" ref="AU322">XLOOKUP(C322,'PL TOTAL D0'!A:A,'PL TOTAL D0'!C:C,"")</f>
        <v>596584.1</v>
      </c>
    </row>
    <row r="323" ht="15.75" customHeight="1">
      <c r="A323" s="41" t="s">
        <v>43</v>
      </c>
      <c r="B323" s="42" t="s">
        <v>1174</v>
      </c>
      <c r="C323" s="43" t="s">
        <v>1175</v>
      </c>
      <c r="D323" s="44" t="s">
        <v>18</v>
      </c>
      <c r="E323" s="45" t="s">
        <v>176</v>
      </c>
      <c r="F323" s="44" t="s">
        <v>197</v>
      </c>
      <c r="G323" s="44" t="str">
        <f t="shared" si="1"/>
        <v>Breno</v>
      </c>
      <c r="H323" s="46" t="s">
        <v>107</v>
      </c>
      <c r="I323" s="46" t="s">
        <v>24</v>
      </c>
      <c r="J323" s="44" t="str">
        <f t="shared" si="6"/>
        <v>Não</v>
      </c>
      <c r="K323" s="47">
        <v>45028.0</v>
      </c>
      <c r="L323" s="45"/>
      <c r="M323" s="45" t="s">
        <v>47</v>
      </c>
      <c r="N323" s="48">
        <v>0.015</v>
      </c>
      <c r="O323" s="44" t="s">
        <v>48</v>
      </c>
      <c r="P323" s="49">
        <v>0.1</v>
      </c>
      <c r="Q323" s="139"/>
      <c r="R323" s="139"/>
      <c r="S323" s="45" t="s">
        <v>108</v>
      </c>
      <c r="T323" s="24" t="s">
        <v>1176</v>
      </c>
      <c r="U323" s="9" t="s">
        <v>29</v>
      </c>
      <c r="V323" s="51" t="str">
        <f t="shared" si="3"/>
        <v>Ativo</v>
      </c>
      <c r="W323" s="45"/>
      <c r="X323" s="52" t="s">
        <v>110</v>
      </c>
      <c r="Y323" s="54"/>
      <c r="Z323" s="54"/>
      <c r="AA323" s="54"/>
      <c r="AB323" s="54"/>
      <c r="AC323" s="54">
        <v>0.0</v>
      </c>
      <c r="AD323" s="54">
        <v>0.0</v>
      </c>
      <c r="AE323" s="54">
        <v>0.0</v>
      </c>
      <c r="AF323" s="54">
        <v>1257106.81</v>
      </c>
      <c r="AG323" s="54">
        <v>1279464.7</v>
      </c>
      <c r="AH323" s="54">
        <v>1303880.5</v>
      </c>
      <c r="AI323" s="54">
        <v>1319712.68</v>
      </c>
      <c r="AJ323" s="54">
        <v>1301655.48</v>
      </c>
      <c r="AK323" s="54">
        <v>1306517.9</v>
      </c>
      <c r="AL323" s="54">
        <v>1294721.43</v>
      </c>
      <c r="AM323" s="54">
        <v>1309541.25</v>
      </c>
      <c r="AN323" s="54">
        <v>1332806.55</v>
      </c>
      <c r="AO323" s="54">
        <v>935959.23</v>
      </c>
      <c r="AP323" s="53">
        <v>939767.14</v>
      </c>
      <c r="AQ323" s="53">
        <v>929335.64</v>
      </c>
      <c r="AR323" s="53">
        <v>915961.54</v>
      </c>
      <c r="AS323" s="53">
        <v>900357.0</v>
      </c>
      <c r="AT323" s="53">
        <v>878661.4</v>
      </c>
      <c r="AU323" s="53">
        <f t="array" ref="AU323">XLOOKUP(C323,'PL TOTAL D0'!A:A,'PL TOTAL D0'!C:C,"")</f>
        <v>886900.3</v>
      </c>
    </row>
    <row r="324" ht="15.75" customHeight="1">
      <c r="A324" s="41" t="s">
        <v>43</v>
      </c>
      <c r="B324" s="55" t="s">
        <v>1177</v>
      </c>
      <c r="C324" s="56" t="s">
        <v>1178</v>
      </c>
      <c r="D324" s="9" t="s">
        <v>18</v>
      </c>
      <c r="E324" s="24" t="s">
        <v>29</v>
      </c>
      <c r="F324" s="9" t="s">
        <v>373</v>
      </c>
      <c r="G324" s="44" t="str">
        <f t="shared" si="1"/>
        <v>Augusto</v>
      </c>
      <c r="H324" s="51" t="s">
        <v>123</v>
      </c>
      <c r="I324" s="51" t="s">
        <v>24</v>
      </c>
      <c r="J324" s="44" t="str">
        <f t="shared" si="6"/>
        <v>Não</v>
      </c>
      <c r="K324" s="57">
        <v>45470.0</v>
      </c>
      <c r="L324" s="45"/>
      <c r="M324" s="24" t="s">
        <v>55</v>
      </c>
      <c r="N324" s="58">
        <v>0.011</v>
      </c>
      <c r="O324" s="9" t="s">
        <v>24</v>
      </c>
      <c r="P324" s="59">
        <v>0.0</v>
      </c>
      <c r="Q324" s="139"/>
      <c r="R324" s="139"/>
      <c r="S324" s="24" t="s">
        <v>108</v>
      </c>
      <c r="T324" s="24" t="s">
        <v>1179</v>
      </c>
      <c r="U324" s="9" t="s">
        <v>29</v>
      </c>
      <c r="V324" s="51" t="str">
        <f t="shared" si="3"/>
        <v>Ativo</v>
      </c>
      <c r="W324" s="24" t="s">
        <v>75</v>
      </c>
      <c r="X324" s="52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3"/>
      <c r="AQ324" s="53"/>
      <c r="AR324" s="53"/>
      <c r="AS324" s="53"/>
      <c r="AT324" s="53">
        <v>300000.0</v>
      </c>
      <c r="AU324" s="53">
        <f t="array" ref="AU324">XLOOKUP(C324,'PL TOTAL D0'!A:A,'PL TOTAL D0'!C:C,"")</f>
        <v>301268.7</v>
      </c>
    </row>
    <row r="325" ht="15.75" customHeight="1">
      <c r="A325" s="41" t="s">
        <v>43</v>
      </c>
      <c r="B325" s="55" t="s">
        <v>1177</v>
      </c>
      <c r="C325" s="56" t="s">
        <v>1180</v>
      </c>
      <c r="D325" s="9" t="s">
        <v>18</v>
      </c>
      <c r="E325" s="24" t="s">
        <v>29</v>
      </c>
      <c r="F325" s="9" t="s">
        <v>373</v>
      </c>
      <c r="G325" s="44" t="str">
        <f t="shared" si="1"/>
        <v>#N/A</v>
      </c>
      <c r="H325" s="51" t="s">
        <v>123</v>
      </c>
      <c r="I325" s="51" t="s">
        <v>24</v>
      </c>
      <c r="J325" s="44" t="str">
        <f t="shared" si="6"/>
        <v>Sim</v>
      </c>
      <c r="K325" s="57">
        <v>45470.0</v>
      </c>
      <c r="L325" s="45"/>
      <c r="M325" s="24" t="s">
        <v>190</v>
      </c>
      <c r="N325" s="58">
        <v>0.018</v>
      </c>
      <c r="O325" s="9" t="s">
        <v>191</v>
      </c>
      <c r="P325" s="59">
        <v>0.2</v>
      </c>
      <c r="Q325" s="60" t="s">
        <v>1181</v>
      </c>
      <c r="R325" s="139"/>
      <c r="S325" s="24" t="s">
        <v>108</v>
      </c>
      <c r="T325" s="24" t="s">
        <v>1179</v>
      </c>
      <c r="U325" s="9" t="s">
        <v>29</v>
      </c>
      <c r="V325" s="51" t="str">
        <f t="shared" si="3"/>
        <v>Ativo</v>
      </c>
      <c r="W325" s="24" t="s">
        <v>75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v>0.0</v>
      </c>
      <c r="AU325" s="53" t="str">
        <f t="array" ref="AU325">XLOOKUP(C325,'PL TOTAL D0'!A:A,'PL TOTAL D0'!C:C,"")</f>
        <v/>
      </c>
    </row>
    <row r="326" ht="15.75" customHeight="1">
      <c r="A326" s="41" t="s">
        <v>43</v>
      </c>
      <c r="B326" s="61" t="s">
        <v>1182</v>
      </c>
      <c r="C326" s="43" t="s">
        <v>1183</v>
      </c>
      <c r="D326" s="44" t="s">
        <v>18</v>
      </c>
      <c r="E326" s="45" t="s">
        <v>176</v>
      </c>
      <c r="F326" s="44" t="s">
        <v>177</v>
      </c>
      <c r="G326" s="44" t="str">
        <f t="shared" si="1"/>
        <v>Breno</v>
      </c>
      <c r="H326" s="46" t="s">
        <v>107</v>
      </c>
      <c r="I326" s="46" t="s">
        <v>24</v>
      </c>
      <c r="J326" s="44" t="str">
        <f t="shared" si="6"/>
        <v>Não</v>
      </c>
      <c r="K326" s="47">
        <v>45028.0</v>
      </c>
      <c r="L326" s="45"/>
      <c r="M326" s="45" t="s">
        <v>47</v>
      </c>
      <c r="N326" s="48">
        <v>0.015</v>
      </c>
      <c r="O326" s="44" t="s">
        <v>48</v>
      </c>
      <c r="P326" s="49">
        <v>0.1</v>
      </c>
      <c r="Q326" s="139"/>
      <c r="R326" s="139"/>
      <c r="S326" s="45" t="s">
        <v>108</v>
      </c>
      <c r="T326" s="24" t="s">
        <v>1184</v>
      </c>
      <c r="U326" s="9" t="s">
        <v>180</v>
      </c>
      <c r="V326" s="51" t="str">
        <f t="shared" si="3"/>
        <v>Ativo</v>
      </c>
      <c r="W326" s="45"/>
      <c r="X326" s="52" t="s">
        <v>110</v>
      </c>
      <c r="Y326" s="54"/>
      <c r="Z326" s="54"/>
      <c r="AA326" s="54"/>
      <c r="AB326" s="54"/>
      <c r="AC326" s="54"/>
      <c r="AD326" s="54"/>
      <c r="AE326" s="54">
        <v>0.0</v>
      </c>
      <c r="AF326" s="54">
        <v>355326.46</v>
      </c>
      <c r="AG326" s="54">
        <v>360391.21</v>
      </c>
      <c r="AH326" s="54">
        <v>366511.0</v>
      </c>
      <c r="AI326" s="54">
        <v>370316.11</v>
      </c>
      <c r="AJ326" s="54">
        <v>367855.05</v>
      </c>
      <c r="AK326" s="54">
        <v>369466.61</v>
      </c>
      <c r="AL326" s="54">
        <v>368762.06</v>
      </c>
      <c r="AM326" s="54">
        <v>376416.68</v>
      </c>
      <c r="AN326" s="54">
        <v>381656.46</v>
      </c>
      <c r="AO326" s="54">
        <v>375998.35</v>
      </c>
      <c r="AP326" s="53">
        <v>378904.15</v>
      </c>
      <c r="AQ326" s="53">
        <v>581827.86</v>
      </c>
      <c r="AR326" s="53">
        <v>577271.54</v>
      </c>
      <c r="AS326" s="53">
        <v>574841.0</v>
      </c>
      <c r="AT326" s="53">
        <v>578389.1</v>
      </c>
      <c r="AU326" s="53">
        <f t="array" ref="AU326">XLOOKUP(C326,'PL TOTAL D0'!A:A,'PL TOTAL D0'!C:C,"")</f>
        <v>586925</v>
      </c>
    </row>
    <row r="327" ht="15.75" customHeight="1">
      <c r="A327" s="41" t="s">
        <v>43</v>
      </c>
      <c r="B327" s="61" t="s">
        <v>1185</v>
      </c>
      <c r="C327" s="43" t="s">
        <v>1186</v>
      </c>
      <c r="D327" s="44" t="s">
        <v>18</v>
      </c>
      <c r="E327" s="45" t="s">
        <v>29</v>
      </c>
      <c r="F327" s="44" t="s">
        <v>294</v>
      </c>
      <c r="G327" s="44" t="str">
        <f t="shared" si="1"/>
        <v>Breno</v>
      </c>
      <c r="H327" s="46" t="s">
        <v>107</v>
      </c>
      <c r="I327" s="46" t="s">
        <v>24</v>
      </c>
      <c r="J327" s="44" t="str">
        <f t="shared" si="6"/>
        <v>Não</v>
      </c>
      <c r="K327" s="47">
        <v>45008.0</v>
      </c>
      <c r="L327" s="45"/>
      <c r="M327" s="45" t="s">
        <v>55</v>
      </c>
      <c r="N327" s="48">
        <v>0.012</v>
      </c>
      <c r="O327" s="44" t="s">
        <v>24</v>
      </c>
      <c r="P327" s="49">
        <v>0.0</v>
      </c>
      <c r="Q327" s="139"/>
      <c r="R327" s="139"/>
      <c r="S327" s="45" t="s">
        <v>108</v>
      </c>
      <c r="T327" s="24" t="s">
        <v>1187</v>
      </c>
      <c r="U327" s="9" t="s">
        <v>791</v>
      </c>
      <c r="V327" s="51" t="str">
        <f t="shared" si="3"/>
        <v>Ativo</v>
      </c>
      <c r="W327" s="45"/>
      <c r="X327" s="52" t="s">
        <v>119</v>
      </c>
      <c r="Y327" s="54"/>
      <c r="Z327" s="54"/>
      <c r="AA327" s="54"/>
      <c r="AB327" s="54"/>
      <c r="AC327" s="54"/>
      <c r="AD327" s="54"/>
      <c r="AE327" s="54">
        <v>501068.64</v>
      </c>
      <c r="AF327" s="54">
        <v>504869.41</v>
      </c>
      <c r="AG327" s="54">
        <v>510334.32</v>
      </c>
      <c r="AH327" s="54">
        <v>514928.52</v>
      </c>
      <c r="AI327" s="54">
        <v>519371.42</v>
      </c>
      <c r="AJ327" s="54">
        <v>524719.4</v>
      </c>
      <c r="AK327" s="54">
        <v>529041.09</v>
      </c>
      <c r="AL327" s="54">
        <v>533677.29</v>
      </c>
      <c r="AM327" s="54">
        <v>534608.02</v>
      </c>
      <c r="AN327" s="54">
        <v>538744.15</v>
      </c>
      <c r="AO327" s="54">
        <v>543769.68</v>
      </c>
      <c r="AP327" s="53">
        <v>548219.32</v>
      </c>
      <c r="AQ327" s="53">
        <v>550429.91</v>
      </c>
      <c r="AR327" s="53">
        <v>552172.42</v>
      </c>
      <c r="AS327" s="53">
        <v>556571.5</v>
      </c>
      <c r="AT327" s="53">
        <v>560574.7</v>
      </c>
      <c r="AU327" s="53">
        <f t="array" ref="AU327">XLOOKUP(C327,'PL TOTAL D0'!A:A,'PL TOTAL D0'!C:C,"")</f>
        <v>562362.1</v>
      </c>
    </row>
    <row r="328" ht="15.75" customHeight="1">
      <c r="A328" s="41" t="s">
        <v>43</v>
      </c>
      <c r="B328" s="42" t="s">
        <v>1188</v>
      </c>
      <c r="C328" s="43" t="s">
        <v>1189</v>
      </c>
      <c r="D328" s="44" t="s">
        <v>18</v>
      </c>
      <c r="E328" s="45" t="s">
        <v>19</v>
      </c>
      <c r="F328" s="44" t="s">
        <v>213</v>
      </c>
      <c r="G328" s="44" t="str">
        <f t="shared" si="1"/>
        <v>Breno</v>
      </c>
      <c r="H328" s="46" t="s">
        <v>107</v>
      </c>
      <c r="I328" s="46" t="s">
        <v>24</v>
      </c>
      <c r="J328" s="44" t="str">
        <f t="shared" si="6"/>
        <v>Não</v>
      </c>
      <c r="K328" s="47">
        <v>44909.0</v>
      </c>
      <c r="L328" s="45"/>
      <c r="M328" s="45" t="s">
        <v>55</v>
      </c>
      <c r="N328" s="48">
        <v>0.01</v>
      </c>
      <c r="O328" s="44" t="s">
        <v>24</v>
      </c>
      <c r="P328" s="49">
        <v>0.0</v>
      </c>
      <c r="Q328" s="139"/>
      <c r="R328" s="139"/>
      <c r="S328" s="45" t="s">
        <v>369</v>
      </c>
      <c r="T328" s="24">
        <v>4.7341517000108E13</v>
      </c>
      <c r="U328" s="9" t="s">
        <v>19</v>
      </c>
      <c r="V328" s="51" t="str">
        <f t="shared" si="3"/>
        <v>Ativo</v>
      </c>
      <c r="W328" s="45"/>
      <c r="X328" s="52" t="s">
        <v>119</v>
      </c>
      <c r="Y328" s="54"/>
      <c r="Z328" s="54"/>
      <c r="AA328" s="54"/>
      <c r="AB328" s="54">
        <v>1200247.58</v>
      </c>
      <c r="AC328" s="54">
        <v>1178447.93</v>
      </c>
      <c r="AD328" s="54">
        <v>1152279.75</v>
      </c>
      <c r="AE328" s="54">
        <v>1129848.76</v>
      </c>
      <c r="AF328" s="54">
        <v>1110519.6</v>
      </c>
      <c r="AG328" s="54">
        <v>1098123.19</v>
      </c>
      <c r="AH328" s="54">
        <v>1093084.04</v>
      </c>
      <c r="AI328" s="54">
        <v>1090968.79</v>
      </c>
      <c r="AJ328" s="54">
        <v>1064172.67</v>
      </c>
      <c r="AK328" s="54">
        <v>1072675.14</v>
      </c>
      <c r="AL328" s="54">
        <v>1067565.04</v>
      </c>
      <c r="AM328" s="54">
        <v>1053672.81</v>
      </c>
      <c r="AN328" s="54">
        <v>1045311.94</v>
      </c>
      <c r="AO328" s="54">
        <v>1037210.17</v>
      </c>
      <c r="AP328" s="53">
        <v>896369.06</v>
      </c>
      <c r="AQ328" s="53">
        <v>874087.61</v>
      </c>
      <c r="AR328" s="53">
        <v>797210.69</v>
      </c>
      <c r="AS328" s="53">
        <v>716020.1</v>
      </c>
      <c r="AT328" s="53">
        <v>669078.6</v>
      </c>
      <c r="AU328" s="53">
        <f t="array" ref="AU328">XLOOKUP(C328,'PL TOTAL D0'!A:A,'PL TOTAL D0'!C:C,"")</f>
        <v>659016.3</v>
      </c>
    </row>
    <row r="329" ht="15.75" customHeight="1">
      <c r="A329" s="41" t="s">
        <v>43</v>
      </c>
      <c r="B329" s="42" t="s">
        <v>1190</v>
      </c>
      <c r="C329" s="43" t="s">
        <v>1191</v>
      </c>
      <c r="D329" s="44" t="s">
        <v>18</v>
      </c>
      <c r="E329" s="45" t="s">
        <v>176</v>
      </c>
      <c r="F329" s="44" t="s">
        <v>177</v>
      </c>
      <c r="G329" s="44" t="str">
        <f t="shared" si="1"/>
        <v>Breno</v>
      </c>
      <c r="H329" s="46" t="s">
        <v>107</v>
      </c>
      <c r="I329" s="46" t="s">
        <v>24</v>
      </c>
      <c r="J329" s="44" t="str">
        <f t="shared" si="6"/>
        <v>Não</v>
      </c>
      <c r="K329" s="47">
        <v>45034.0</v>
      </c>
      <c r="L329" s="45"/>
      <c r="M329" s="45" t="s">
        <v>190</v>
      </c>
      <c r="N329" s="48">
        <v>0.015</v>
      </c>
      <c r="O329" s="44" t="s">
        <v>191</v>
      </c>
      <c r="P329" s="49">
        <v>0.2</v>
      </c>
      <c r="Q329" s="50"/>
      <c r="R329" s="50"/>
      <c r="S329" s="45" t="s">
        <v>108</v>
      </c>
      <c r="T329" s="24" t="s">
        <v>1192</v>
      </c>
      <c r="U329" s="9" t="s">
        <v>180</v>
      </c>
      <c r="V329" s="51" t="str">
        <f t="shared" si="3"/>
        <v>Ativo</v>
      </c>
      <c r="W329" s="45"/>
      <c r="X329" s="52" t="s">
        <v>110</v>
      </c>
      <c r="Y329" s="54"/>
      <c r="Z329" s="54"/>
      <c r="AA329" s="54"/>
      <c r="AB329" s="54"/>
      <c r="AC329" s="54"/>
      <c r="AD329" s="54"/>
      <c r="AE329" s="54">
        <v>0.0</v>
      </c>
      <c r="AF329" s="54">
        <v>14649.95</v>
      </c>
      <c r="AG329" s="54">
        <v>347561.87</v>
      </c>
      <c r="AH329" s="54">
        <v>375835.95</v>
      </c>
      <c r="AI329" s="54">
        <v>460484.47</v>
      </c>
      <c r="AJ329" s="54">
        <v>471049.81</v>
      </c>
      <c r="AK329" s="54">
        <v>499682.77</v>
      </c>
      <c r="AL329" s="54">
        <v>522608.53</v>
      </c>
      <c r="AM329" s="54">
        <v>572538.7</v>
      </c>
      <c r="AN329" s="54">
        <v>634632.13</v>
      </c>
      <c r="AO329" s="54">
        <v>593675.26</v>
      </c>
      <c r="AP329" s="53">
        <v>602012.14</v>
      </c>
      <c r="AQ329" s="53">
        <v>640051.07</v>
      </c>
      <c r="AR329" s="53">
        <v>614196.9</v>
      </c>
      <c r="AS329" s="53">
        <v>613215.2</v>
      </c>
      <c r="AT329" s="53">
        <v>628701.6</v>
      </c>
      <c r="AU329" s="53">
        <f t="array" ref="AU329">XLOOKUP(C329,'PL TOTAL D0'!A:A,'PL TOTAL D0'!C:C,"")</f>
        <v>657685.6</v>
      </c>
    </row>
    <row r="330" ht="15.75" customHeight="1">
      <c r="A330" s="41" t="s">
        <v>43</v>
      </c>
      <c r="B330" s="61" t="s">
        <v>1190</v>
      </c>
      <c r="C330" s="43" t="s">
        <v>1193</v>
      </c>
      <c r="D330" s="44" t="s">
        <v>18</v>
      </c>
      <c r="E330" s="45" t="s">
        <v>176</v>
      </c>
      <c r="F330" s="44" t="s">
        <v>177</v>
      </c>
      <c r="G330" s="44" t="str">
        <f t="shared" si="1"/>
        <v>Breno</v>
      </c>
      <c r="H330" s="46" t="s">
        <v>107</v>
      </c>
      <c r="I330" s="46" t="s">
        <v>24</v>
      </c>
      <c r="J330" s="44" t="str">
        <f t="shared" si="6"/>
        <v>Não</v>
      </c>
      <c r="K330" s="47">
        <v>45033.0</v>
      </c>
      <c r="L330" s="45"/>
      <c r="M330" s="45" t="s">
        <v>55</v>
      </c>
      <c r="N330" s="48">
        <v>0.012</v>
      </c>
      <c r="O330" s="44" t="s">
        <v>24</v>
      </c>
      <c r="P330" s="49">
        <v>0.0</v>
      </c>
      <c r="Q330" s="139"/>
      <c r="R330" s="139"/>
      <c r="S330" s="45" t="s">
        <v>108</v>
      </c>
      <c r="T330" s="24" t="s">
        <v>1192</v>
      </c>
      <c r="U330" s="9" t="s">
        <v>180</v>
      </c>
      <c r="V330" s="51" t="str">
        <f t="shared" si="3"/>
        <v>Ativo</v>
      </c>
      <c r="W330" s="45"/>
      <c r="X330" s="52" t="s">
        <v>110</v>
      </c>
      <c r="Y330" s="54"/>
      <c r="Z330" s="54"/>
      <c r="AA330" s="54"/>
      <c r="AB330" s="54"/>
      <c r="AC330" s="54"/>
      <c r="AD330" s="54"/>
      <c r="AE330" s="54">
        <v>0.0</v>
      </c>
      <c r="AF330" s="54">
        <v>15035.36</v>
      </c>
      <c r="AG330" s="54">
        <v>494989.38</v>
      </c>
      <c r="AH330" s="54">
        <v>493279.87</v>
      </c>
      <c r="AI330" s="54">
        <v>532488.02</v>
      </c>
      <c r="AJ330" s="54">
        <v>562884.98</v>
      </c>
      <c r="AK330" s="54">
        <v>592435.26</v>
      </c>
      <c r="AL330" s="54">
        <v>637936.48</v>
      </c>
      <c r="AM330" s="54">
        <v>672615.94</v>
      </c>
      <c r="AN330" s="54">
        <v>717838.38</v>
      </c>
      <c r="AO330" s="54">
        <v>724329.76</v>
      </c>
      <c r="AP330" s="53">
        <v>729024.97</v>
      </c>
      <c r="AQ330" s="53">
        <v>765575.63</v>
      </c>
      <c r="AR330" s="53">
        <v>771439.14</v>
      </c>
      <c r="AS330" s="53">
        <v>794094.8</v>
      </c>
      <c r="AT330" s="53">
        <v>799726.2</v>
      </c>
      <c r="AU330" s="53">
        <f t="array" ref="AU330">XLOOKUP(C330,'PL TOTAL D0'!A:A,'PL TOTAL D0'!C:C,"")</f>
        <v>802035.5</v>
      </c>
    </row>
    <row r="331" ht="15.75" customHeight="1">
      <c r="A331" s="41" t="s">
        <v>43</v>
      </c>
      <c r="B331" s="61" t="s">
        <v>1190</v>
      </c>
      <c r="C331" s="43" t="s">
        <v>1194</v>
      </c>
      <c r="D331" s="44" t="s">
        <v>18</v>
      </c>
      <c r="E331" s="45" t="s">
        <v>176</v>
      </c>
      <c r="F331" s="44" t="s">
        <v>177</v>
      </c>
      <c r="G331" s="44" t="str">
        <f t="shared" si="1"/>
        <v>#N/A</v>
      </c>
      <c r="H331" s="46" t="s">
        <v>186</v>
      </c>
      <c r="I331" s="46" t="s">
        <v>24</v>
      </c>
      <c r="J331" s="44" t="str">
        <f t="shared" si="6"/>
        <v>Não</v>
      </c>
      <c r="K331" s="47">
        <v>45077.0</v>
      </c>
      <c r="L331" s="72">
        <v>45036.0</v>
      </c>
      <c r="M331" s="45" t="s">
        <v>190</v>
      </c>
      <c r="N331" s="48">
        <v>0.015</v>
      </c>
      <c r="O331" s="44" t="s">
        <v>191</v>
      </c>
      <c r="P331" s="49">
        <v>0.2</v>
      </c>
      <c r="Q331" s="122"/>
      <c r="R331" s="122"/>
      <c r="S331" s="45" t="s">
        <v>108</v>
      </c>
      <c r="T331" s="24" t="s">
        <v>1192</v>
      </c>
      <c r="U331" s="9" t="s">
        <v>180</v>
      </c>
      <c r="V331" s="51" t="str">
        <f t="shared" si="3"/>
        <v>Encerrado</v>
      </c>
      <c r="W331" s="45"/>
      <c r="X331" s="52"/>
      <c r="Y331" s="54"/>
      <c r="Z331" s="54"/>
      <c r="AA331" s="54"/>
      <c r="AB331" s="54"/>
      <c r="AC331" s="54"/>
      <c r="AD331" s="54"/>
      <c r="AE331" s="54">
        <v>0.0</v>
      </c>
      <c r="AF331" s="54">
        <v>0.0</v>
      </c>
      <c r="AG331" s="54">
        <v>0.0</v>
      </c>
      <c r="AH331" s="54">
        <v>0.0</v>
      </c>
      <c r="AI331" s="54">
        <v>0.0</v>
      </c>
      <c r="AJ331" s="54">
        <v>0.0</v>
      </c>
      <c r="AK331" s="54">
        <v>0.0</v>
      </c>
      <c r="AL331" s="54">
        <v>0.0</v>
      </c>
      <c r="AM331" s="54">
        <v>0.0</v>
      </c>
      <c r="AN331" s="54">
        <v>0.0</v>
      </c>
      <c r="AO331" s="54">
        <v>0.0</v>
      </c>
      <c r="AP331" s="53">
        <v>0.0</v>
      </c>
      <c r="AQ331" s="53">
        <v>0.0</v>
      </c>
      <c r="AR331" s="53">
        <v>0.0</v>
      </c>
      <c r="AS331" s="53">
        <v>0.0</v>
      </c>
      <c r="AT331" s="53">
        <v>0.0</v>
      </c>
      <c r="AU331" s="53" t="str">
        <f t="array" ref="AU331">XLOOKUP(C331,'PL TOTAL D0'!A:A,'PL TOTAL D0'!C:C,"")</f>
        <v/>
      </c>
    </row>
    <row r="332" ht="15.75" customHeight="1">
      <c r="A332" s="41" t="s">
        <v>43</v>
      </c>
      <c r="B332" s="61" t="s">
        <v>1195</v>
      </c>
      <c r="C332" s="43" t="s">
        <v>1196</v>
      </c>
      <c r="D332" s="9" t="s">
        <v>70</v>
      </c>
      <c r="E332" s="45" t="s">
        <v>29</v>
      </c>
      <c r="F332" s="9" t="s">
        <v>71</v>
      </c>
      <c r="G332" s="44" t="str">
        <f t="shared" si="1"/>
        <v>Bruno</v>
      </c>
      <c r="H332" s="46" t="s">
        <v>107</v>
      </c>
      <c r="I332" s="46" t="s">
        <v>24</v>
      </c>
      <c r="J332" s="44" t="str">
        <f t="shared" si="6"/>
        <v>Não</v>
      </c>
      <c r="K332" s="47">
        <v>45063.0</v>
      </c>
      <c r="L332" s="62"/>
      <c r="M332" s="45" t="s">
        <v>55</v>
      </c>
      <c r="N332" s="48">
        <v>0.01</v>
      </c>
      <c r="O332" s="44" t="s">
        <v>24</v>
      </c>
      <c r="P332" s="49">
        <v>0.0</v>
      </c>
      <c r="Q332" s="122"/>
      <c r="R332" s="122"/>
      <c r="S332" s="45" t="s">
        <v>369</v>
      </c>
      <c r="T332" s="24">
        <v>3.7057387000122E13</v>
      </c>
      <c r="U332" s="9" t="s">
        <v>29</v>
      </c>
      <c r="V332" s="51" t="str">
        <f t="shared" si="3"/>
        <v>Ativo</v>
      </c>
      <c r="W332" s="45"/>
      <c r="X332" s="52" t="s">
        <v>110</v>
      </c>
      <c r="Y332" s="54"/>
      <c r="Z332" s="54"/>
      <c r="AA332" s="54"/>
      <c r="AB332" s="54"/>
      <c r="AC332" s="54"/>
      <c r="AD332" s="54"/>
      <c r="AE332" s="54"/>
      <c r="AF332" s="54">
        <v>0.0</v>
      </c>
      <c r="AG332" s="54">
        <v>0.0</v>
      </c>
      <c r="AH332" s="54">
        <v>1273091.45</v>
      </c>
      <c r="AI332" s="54">
        <v>1283492.26</v>
      </c>
      <c r="AJ332" s="54">
        <v>1291270.0</v>
      </c>
      <c r="AK332" s="54">
        <v>1297464.97</v>
      </c>
      <c r="AL332" s="54">
        <v>1337778.23</v>
      </c>
      <c r="AM332" s="54">
        <v>1347751.78</v>
      </c>
      <c r="AN332" s="54">
        <v>1357641.77</v>
      </c>
      <c r="AO332" s="54">
        <v>1366302.01</v>
      </c>
      <c r="AP332" s="53">
        <v>1376805.84</v>
      </c>
      <c r="AQ332" s="53">
        <v>1384069.46</v>
      </c>
      <c r="AR332" s="53">
        <v>1384590.58</v>
      </c>
      <c r="AS332" s="53">
        <v>1387450.0</v>
      </c>
      <c r="AT332" s="53">
        <v>1394987.0</v>
      </c>
      <c r="AU332" s="53">
        <f t="array" ref="AU332">XLOOKUP(C332,'PL TOTAL D0'!A:A,'PL TOTAL D0'!C:C,"")</f>
        <v>1399429</v>
      </c>
    </row>
    <row r="333" ht="15.75" customHeight="1">
      <c r="A333" s="41" t="s">
        <v>43</v>
      </c>
      <c r="B333" s="55" t="s">
        <v>1197</v>
      </c>
      <c r="C333" s="43" t="s">
        <v>1198</v>
      </c>
      <c r="D333" s="44" t="s">
        <v>18</v>
      </c>
      <c r="E333" s="45" t="s">
        <v>19</v>
      </c>
      <c r="F333" s="45" t="s">
        <v>256</v>
      </c>
      <c r="G333" s="44" t="str">
        <f t="shared" si="1"/>
        <v>Augusto</v>
      </c>
      <c r="H333" s="46" t="s">
        <v>107</v>
      </c>
      <c r="I333" s="51" t="s">
        <v>24</v>
      </c>
      <c r="J333" s="44" t="str">
        <f t="shared" si="6"/>
        <v>Não</v>
      </c>
      <c r="K333" s="62">
        <v>45163.0</v>
      </c>
      <c r="L333" s="41"/>
      <c r="M333" s="45" t="s">
        <v>55</v>
      </c>
      <c r="N333" s="117">
        <v>0.012</v>
      </c>
      <c r="O333" s="44" t="s">
        <v>24</v>
      </c>
      <c r="P333" s="49">
        <v>0.0</v>
      </c>
      <c r="Q333" s="73"/>
      <c r="R333" s="74"/>
      <c r="S333" s="45" t="s">
        <v>369</v>
      </c>
      <c r="T333" s="24" t="s">
        <v>1199</v>
      </c>
      <c r="U333" s="24" t="s">
        <v>19</v>
      </c>
      <c r="V333" s="51" t="str">
        <f t="shared" si="3"/>
        <v>Ativo</v>
      </c>
      <c r="W333" s="45"/>
      <c r="X333" s="52" t="s">
        <v>110</v>
      </c>
      <c r="Y333" s="191"/>
      <c r="Z333" s="191"/>
      <c r="AA333" s="191"/>
      <c r="AB333" s="191"/>
      <c r="AC333" s="54"/>
      <c r="AD333" s="54"/>
      <c r="AE333" s="54"/>
      <c r="AF333" s="54"/>
      <c r="AG333" s="54"/>
      <c r="AH333" s="54"/>
      <c r="AI333" s="54">
        <v>0.0</v>
      </c>
      <c r="AJ333" s="54">
        <v>0.0</v>
      </c>
      <c r="AK333" s="54">
        <v>0.0</v>
      </c>
      <c r="AL333" s="54">
        <v>0.0</v>
      </c>
      <c r="AM333" s="54">
        <v>0.0</v>
      </c>
      <c r="AN333" s="54">
        <v>100000.0</v>
      </c>
      <c r="AO333" s="54">
        <v>302510.1</v>
      </c>
      <c r="AP333" s="53">
        <v>284642.17</v>
      </c>
      <c r="AQ333" s="53">
        <v>53523.46</v>
      </c>
      <c r="AR333" s="53">
        <v>9670.62</v>
      </c>
      <c r="AS333" s="53">
        <v>9733.72</v>
      </c>
      <c r="AT333" s="53">
        <v>9792.17</v>
      </c>
      <c r="AU333" s="53">
        <f t="array" ref="AU333">XLOOKUP(C333,'PL TOTAL D0'!A:A,'PL TOTAL D0'!C:C,"")</f>
        <v>9829.53</v>
      </c>
    </row>
    <row r="334" ht="15.75" customHeight="1">
      <c r="A334" s="41" t="s">
        <v>43</v>
      </c>
      <c r="B334" s="55" t="s">
        <v>1197</v>
      </c>
      <c r="C334" s="43" t="s">
        <v>1200</v>
      </c>
      <c r="D334" s="44" t="s">
        <v>18</v>
      </c>
      <c r="E334" s="45" t="s">
        <v>19</v>
      </c>
      <c r="F334" s="44" t="s">
        <v>256</v>
      </c>
      <c r="G334" s="44" t="str">
        <f t="shared" si="1"/>
        <v>Bruno</v>
      </c>
      <c r="H334" s="46" t="s">
        <v>107</v>
      </c>
      <c r="I334" s="46" t="s">
        <v>24</v>
      </c>
      <c r="J334" s="44" t="str">
        <f t="shared" si="6"/>
        <v>Sim</v>
      </c>
      <c r="K334" s="47">
        <v>44964.0</v>
      </c>
      <c r="L334" s="45"/>
      <c r="M334" s="45" t="s">
        <v>79</v>
      </c>
      <c r="N334" s="48">
        <v>0.012</v>
      </c>
      <c r="O334" s="44" t="s">
        <v>24</v>
      </c>
      <c r="P334" s="49">
        <v>0.0</v>
      </c>
      <c r="Q334" s="60" t="s">
        <v>1201</v>
      </c>
      <c r="R334" s="50"/>
      <c r="S334" s="45" t="s">
        <v>369</v>
      </c>
      <c r="T334" s="24" t="s">
        <v>1202</v>
      </c>
      <c r="U334" s="9" t="s">
        <v>19</v>
      </c>
      <c r="V334" s="51" t="str">
        <f t="shared" si="3"/>
        <v>Ativo</v>
      </c>
      <c r="W334" s="45"/>
      <c r="X334" s="52" t="s">
        <v>110</v>
      </c>
      <c r="Y334" s="54"/>
      <c r="Z334" s="54"/>
      <c r="AA334" s="54"/>
      <c r="AB334" s="54"/>
      <c r="AC334" s="54">
        <v>0.0</v>
      </c>
      <c r="AD334" s="54">
        <v>1.590662459E7</v>
      </c>
      <c r="AE334" s="54">
        <v>1.591476817E7</v>
      </c>
      <c r="AF334" s="54">
        <v>1.604461861E7</v>
      </c>
      <c r="AG334" s="54">
        <v>1.589627726E7</v>
      </c>
      <c r="AH334" s="54">
        <v>1.605861637E7</v>
      </c>
      <c r="AI334" s="54">
        <v>1.609982012E7</v>
      </c>
      <c r="AJ334" s="54">
        <v>1.614164387E7</v>
      </c>
      <c r="AK334" s="54">
        <v>1.602877065E7</v>
      </c>
      <c r="AL334" s="54">
        <v>1.605470201E7</v>
      </c>
      <c r="AM334" s="54">
        <v>1.62120854E7</v>
      </c>
      <c r="AN334" s="54">
        <v>1.637399143E7</v>
      </c>
      <c r="AO334" s="54">
        <v>1.638818682E7</v>
      </c>
      <c r="AP334" s="53">
        <v>1.652078305E7</v>
      </c>
      <c r="AQ334" s="53">
        <v>1.652389002E7</v>
      </c>
      <c r="AR334" s="53">
        <v>1.632882182E7</v>
      </c>
      <c r="AS334" s="53">
        <v>1.6292999E7</v>
      </c>
      <c r="AT334" s="53">
        <v>1.5518198E7</v>
      </c>
      <c r="AU334" s="53">
        <f t="array" ref="AU334">XLOOKUP(C334,'PL TOTAL D0'!A:A,'PL TOTAL D0'!C:C,"")</f>
        <v>15421429</v>
      </c>
    </row>
    <row r="335" ht="15.75" customHeight="1">
      <c r="A335" s="41" t="s">
        <v>43</v>
      </c>
      <c r="B335" s="55" t="s">
        <v>1197</v>
      </c>
      <c r="C335" s="43" t="s">
        <v>1203</v>
      </c>
      <c r="D335" s="44" t="s">
        <v>18</v>
      </c>
      <c r="E335" s="45" t="s">
        <v>19</v>
      </c>
      <c r="F335" s="45" t="s">
        <v>256</v>
      </c>
      <c r="G335" s="44" t="str">
        <f t="shared" si="1"/>
        <v>Breno</v>
      </c>
      <c r="H335" s="46" t="s">
        <v>107</v>
      </c>
      <c r="I335" s="46" t="s">
        <v>24</v>
      </c>
      <c r="J335" s="44" t="str">
        <f t="shared" si="6"/>
        <v>Não</v>
      </c>
      <c r="K335" s="62">
        <v>44965.0</v>
      </c>
      <c r="L335" s="41"/>
      <c r="M335" s="45" t="s">
        <v>79</v>
      </c>
      <c r="N335" s="117">
        <v>0.012</v>
      </c>
      <c r="O335" s="44" t="s">
        <v>24</v>
      </c>
      <c r="P335" s="49">
        <v>0.0</v>
      </c>
      <c r="Q335" s="74"/>
      <c r="R335" s="74"/>
      <c r="S335" s="45" t="s">
        <v>369</v>
      </c>
      <c r="T335" s="24" t="s">
        <v>1204</v>
      </c>
      <c r="U335" s="24" t="s">
        <v>19</v>
      </c>
      <c r="V335" s="51" t="str">
        <f t="shared" si="3"/>
        <v>Ativo</v>
      </c>
      <c r="W335" s="45"/>
      <c r="X335" s="52" t="s">
        <v>110</v>
      </c>
      <c r="Y335" s="191"/>
      <c r="Z335" s="191"/>
      <c r="AA335" s="191"/>
      <c r="AB335" s="191"/>
      <c r="AC335" s="54">
        <v>0.0</v>
      </c>
      <c r="AD335" s="54">
        <v>1138799.16</v>
      </c>
      <c r="AE335" s="54">
        <v>1152760.38</v>
      </c>
      <c r="AF335" s="54">
        <v>1159316.29</v>
      </c>
      <c r="AG335" s="54">
        <v>1160229.71</v>
      </c>
      <c r="AH335" s="54">
        <v>1171602.83</v>
      </c>
      <c r="AI335" s="54">
        <v>1139042.65</v>
      </c>
      <c r="AJ335" s="54">
        <v>1117404.69</v>
      </c>
      <c r="AK335" s="54">
        <v>1092085.04</v>
      </c>
      <c r="AL335" s="54">
        <v>1066207.24</v>
      </c>
      <c r="AM335" s="54">
        <v>1039388.49</v>
      </c>
      <c r="AN335" s="54">
        <v>1013924.21</v>
      </c>
      <c r="AO335" s="54">
        <v>994627.3</v>
      </c>
      <c r="AP335" s="53">
        <v>967761.19</v>
      </c>
      <c r="AQ335" s="53">
        <v>955552.47</v>
      </c>
      <c r="AR335" s="53">
        <v>962906.76</v>
      </c>
      <c r="AS335" s="53">
        <v>878129.5</v>
      </c>
      <c r="AT335" s="53">
        <v>884266.5</v>
      </c>
      <c r="AU335" s="53">
        <f t="array" ref="AU335">XLOOKUP(C335,'PL TOTAL D0'!A:A,'PL TOTAL D0'!C:C,"")</f>
        <v>887071.8</v>
      </c>
    </row>
    <row r="336" ht="15.75" customHeight="1">
      <c r="A336" s="41" t="s">
        <v>43</v>
      </c>
      <c r="B336" s="66" t="s">
        <v>1205</v>
      </c>
      <c r="C336" s="71" t="s">
        <v>1206</v>
      </c>
      <c r="D336" s="44" t="s">
        <v>105</v>
      </c>
      <c r="E336" s="45" t="s">
        <v>29</v>
      </c>
      <c r="F336" s="45" t="s">
        <v>106</v>
      </c>
      <c r="G336" s="44" t="str">
        <f t="shared" si="1"/>
        <v>Breno</v>
      </c>
      <c r="H336" s="46" t="s">
        <v>107</v>
      </c>
      <c r="I336" s="46" t="s">
        <v>24</v>
      </c>
      <c r="J336" s="44" t="str">
        <f t="shared" si="6"/>
        <v>Não</v>
      </c>
      <c r="K336" s="62">
        <v>45229.0</v>
      </c>
      <c r="L336" s="41"/>
      <c r="M336" s="45" t="s">
        <v>79</v>
      </c>
      <c r="N336" s="117">
        <v>0.012</v>
      </c>
      <c r="O336" s="44" t="s">
        <v>48</v>
      </c>
      <c r="P336" s="49">
        <v>0.1</v>
      </c>
      <c r="Q336" s="74"/>
      <c r="R336" s="74"/>
      <c r="S336" s="45" t="s">
        <v>108</v>
      </c>
      <c r="T336" s="24" t="s">
        <v>1207</v>
      </c>
      <c r="U336" s="24" t="s">
        <v>34</v>
      </c>
      <c r="V336" s="51" t="str">
        <f t="shared" si="3"/>
        <v>Ativo</v>
      </c>
      <c r="W336" s="45"/>
      <c r="X336" s="52" t="s">
        <v>119</v>
      </c>
      <c r="Y336" s="191"/>
      <c r="Z336" s="191"/>
      <c r="AA336" s="191"/>
      <c r="AB336" s="191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>
        <v>904514.02</v>
      </c>
      <c r="AM336" s="54">
        <v>915017.5</v>
      </c>
      <c r="AN336" s="54">
        <v>966258.68</v>
      </c>
      <c r="AO336" s="54">
        <v>963443.81</v>
      </c>
      <c r="AP336" s="53">
        <v>939249.23</v>
      </c>
      <c r="AQ336" s="53">
        <v>948513.33</v>
      </c>
      <c r="AR336" s="53">
        <v>946014.79</v>
      </c>
      <c r="AS336" s="53">
        <v>949805.9</v>
      </c>
      <c r="AT336" s="53">
        <v>954600.2</v>
      </c>
      <c r="AU336" s="53">
        <f t="array" ref="AU336">XLOOKUP(C336,'PL TOTAL D0'!A:A,'PL TOTAL D0'!C:C,"")</f>
        <v>961913.2</v>
      </c>
    </row>
    <row r="337" ht="15.75" customHeight="1">
      <c r="A337" s="41" t="s">
        <v>43</v>
      </c>
      <c r="B337" s="55" t="s">
        <v>1208</v>
      </c>
      <c r="C337" s="43" t="s">
        <v>1209</v>
      </c>
      <c r="D337" s="44" t="s">
        <v>18</v>
      </c>
      <c r="E337" s="45" t="s">
        <v>19</v>
      </c>
      <c r="F337" s="44" t="s">
        <v>20</v>
      </c>
      <c r="G337" s="44" t="str">
        <f t="shared" si="1"/>
        <v>Bruno</v>
      </c>
      <c r="H337" s="46" t="s">
        <v>107</v>
      </c>
      <c r="I337" s="46" t="s">
        <v>24</v>
      </c>
      <c r="J337" s="44" t="str">
        <f t="shared" si="6"/>
        <v>Não</v>
      </c>
      <c r="K337" s="47">
        <v>44607.0</v>
      </c>
      <c r="L337" s="45"/>
      <c r="M337" s="24" t="s">
        <v>139</v>
      </c>
      <c r="N337" s="48">
        <v>0.012</v>
      </c>
      <c r="O337" s="44" t="s">
        <v>48</v>
      </c>
      <c r="P337" s="49">
        <v>0.1</v>
      </c>
      <c r="Q337" s="192"/>
      <c r="R337" s="60" t="s">
        <v>1210</v>
      </c>
      <c r="S337" s="45" t="s">
        <v>108</v>
      </c>
      <c r="T337" s="24" t="s">
        <v>1211</v>
      </c>
      <c r="U337" s="9" t="s">
        <v>19</v>
      </c>
      <c r="V337" s="51" t="str">
        <f t="shared" si="3"/>
        <v>Ativo</v>
      </c>
      <c r="W337" s="45"/>
      <c r="X337" s="52" t="s">
        <v>119</v>
      </c>
      <c r="Y337" s="54"/>
      <c r="Z337" s="54"/>
      <c r="AA337" s="54"/>
      <c r="AB337" s="54"/>
      <c r="AC337" s="54">
        <v>0.0</v>
      </c>
      <c r="AD337" s="54">
        <v>1174012.95</v>
      </c>
      <c r="AE337" s="54">
        <v>1278337.14</v>
      </c>
      <c r="AF337" s="54">
        <v>1277504.53</v>
      </c>
      <c r="AG337" s="54">
        <v>1309970.99</v>
      </c>
      <c r="AH337" s="54">
        <v>1337693.54</v>
      </c>
      <c r="AI337" s="54">
        <v>1349842.02</v>
      </c>
      <c r="AJ337" s="54">
        <v>1345337.41</v>
      </c>
      <c r="AK337" s="54">
        <v>1346431.58</v>
      </c>
      <c r="AL337" s="54">
        <v>1330950.57</v>
      </c>
      <c r="AM337" s="54">
        <v>1492941.21</v>
      </c>
      <c r="AN337" s="54">
        <v>1513517.47</v>
      </c>
      <c r="AO337" s="54">
        <v>1523641.36</v>
      </c>
      <c r="AP337" s="53">
        <v>1563944.12</v>
      </c>
      <c r="AQ337" s="53">
        <v>1596659.71</v>
      </c>
      <c r="AR337" s="53">
        <v>1600539.36</v>
      </c>
      <c r="AS337" s="53">
        <v>1630504.0</v>
      </c>
      <c r="AT337" s="53">
        <v>1679940.0</v>
      </c>
      <c r="AU337" s="53">
        <f t="array" ref="AU337">XLOOKUP(C337,'PL TOTAL D0'!A:A,'PL TOTAL D0'!C:C,"")</f>
        <v>2074016</v>
      </c>
    </row>
    <row r="338" ht="15.75" customHeight="1">
      <c r="A338" s="41" t="s">
        <v>43</v>
      </c>
      <c r="B338" s="61" t="s">
        <v>1212</v>
      </c>
      <c r="C338" s="43" t="s">
        <v>1213</v>
      </c>
      <c r="D338" s="44" t="s">
        <v>18</v>
      </c>
      <c r="E338" s="45" t="s">
        <v>29</v>
      </c>
      <c r="F338" s="44" t="s">
        <v>168</v>
      </c>
      <c r="G338" s="44" t="str">
        <f t="shared" si="1"/>
        <v>Augusto</v>
      </c>
      <c r="H338" s="46" t="s">
        <v>107</v>
      </c>
      <c r="I338" s="46" t="s">
        <v>24</v>
      </c>
      <c r="J338" s="44" t="str">
        <f t="shared" si="6"/>
        <v>Não</v>
      </c>
      <c r="K338" s="47">
        <v>45036.0</v>
      </c>
      <c r="L338" s="45"/>
      <c r="M338" s="45" t="s">
        <v>389</v>
      </c>
      <c r="N338" s="48">
        <v>0.003</v>
      </c>
      <c r="O338" s="44" t="s">
        <v>24</v>
      </c>
      <c r="P338" s="49">
        <v>0.0</v>
      </c>
      <c r="Q338" s="50"/>
      <c r="R338" s="50"/>
      <c r="S338" s="45" t="s">
        <v>369</v>
      </c>
      <c r="T338" s="24" t="s">
        <v>1214</v>
      </c>
      <c r="U338" s="9" t="s">
        <v>29</v>
      </c>
      <c r="V338" s="51" t="str">
        <f t="shared" si="3"/>
        <v>Ativo</v>
      </c>
      <c r="W338" s="45"/>
      <c r="X338" s="52" t="s">
        <v>119</v>
      </c>
      <c r="Y338" s="54"/>
      <c r="Z338" s="54"/>
      <c r="AA338" s="54"/>
      <c r="AB338" s="54"/>
      <c r="AC338" s="54"/>
      <c r="AD338" s="54"/>
      <c r="AE338" s="54">
        <v>0.0</v>
      </c>
      <c r="AF338" s="54">
        <v>332686.07</v>
      </c>
      <c r="AG338" s="54">
        <v>276198.08</v>
      </c>
      <c r="AH338" s="54">
        <v>277203.64</v>
      </c>
      <c r="AI338" s="54">
        <v>280072.57</v>
      </c>
      <c r="AJ338" s="54">
        <v>383540.6</v>
      </c>
      <c r="AK338" s="54">
        <v>386603.64</v>
      </c>
      <c r="AL338" s="54">
        <v>389507.22</v>
      </c>
      <c r="AM338" s="54">
        <v>393323.7</v>
      </c>
      <c r="AN338" s="54">
        <v>697637.75</v>
      </c>
      <c r="AO338" s="54">
        <v>35204.2</v>
      </c>
      <c r="AP338" s="53">
        <v>35324.09</v>
      </c>
      <c r="AQ338" s="53">
        <v>85768.99</v>
      </c>
      <c r="AR338" s="53">
        <v>85896.69</v>
      </c>
      <c r="AS338" s="53">
        <v>86552.94</v>
      </c>
      <c r="AT338" s="53">
        <v>338468.3</v>
      </c>
      <c r="AU338" s="53">
        <f t="array" ref="AU338">XLOOKUP(C338,'PL TOTAL D0'!A:A,'PL TOTAL D0'!C:C,"")</f>
        <v>339896.3</v>
      </c>
    </row>
    <row r="339" ht="15.75" customHeight="1">
      <c r="A339" s="41" t="s">
        <v>43</v>
      </c>
      <c r="B339" s="42" t="s">
        <v>1215</v>
      </c>
      <c r="C339" s="43" t="s">
        <v>1216</v>
      </c>
      <c r="D339" s="44" t="s">
        <v>18</v>
      </c>
      <c r="E339" s="45" t="s">
        <v>29</v>
      </c>
      <c r="F339" s="44" t="s">
        <v>168</v>
      </c>
      <c r="G339" s="44" t="str">
        <f t="shared" si="1"/>
        <v>Augusto</v>
      </c>
      <c r="H339" s="46" t="s">
        <v>107</v>
      </c>
      <c r="I339" s="46" t="s">
        <v>24</v>
      </c>
      <c r="J339" s="44" t="str">
        <f t="shared" si="6"/>
        <v>Não</v>
      </c>
      <c r="K339" s="47">
        <v>44981.0</v>
      </c>
      <c r="L339" s="45"/>
      <c r="M339" s="45" t="s">
        <v>55</v>
      </c>
      <c r="N339" s="48">
        <v>0.007</v>
      </c>
      <c r="O339" s="44" t="s">
        <v>24</v>
      </c>
      <c r="P339" s="49">
        <v>0.0</v>
      </c>
      <c r="Q339" s="139"/>
      <c r="R339" s="139"/>
      <c r="S339" s="45" t="s">
        <v>108</v>
      </c>
      <c r="T339" s="24" t="s">
        <v>1217</v>
      </c>
      <c r="U339" s="9" t="s">
        <v>29</v>
      </c>
      <c r="V339" s="51" t="str">
        <f t="shared" si="3"/>
        <v>Ativo</v>
      </c>
      <c r="W339" s="45"/>
      <c r="X339" s="52" t="s">
        <v>119</v>
      </c>
      <c r="Y339" s="54"/>
      <c r="Z339" s="54"/>
      <c r="AA339" s="54"/>
      <c r="AB339" s="54"/>
      <c r="AC339" s="54">
        <v>0.0</v>
      </c>
      <c r="AD339" s="54">
        <v>682529.36</v>
      </c>
      <c r="AE339" s="54">
        <v>695807.82</v>
      </c>
      <c r="AF339" s="54">
        <v>700054.09</v>
      </c>
      <c r="AG339" s="54">
        <v>707734.86</v>
      </c>
      <c r="AH339" s="54">
        <v>714716.36</v>
      </c>
      <c r="AI339" s="54">
        <v>721538.05</v>
      </c>
      <c r="AJ339" s="54">
        <v>729037.97</v>
      </c>
      <c r="AK339" s="54">
        <v>734751.36</v>
      </c>
      <c r="AL339" s="54">
        <v>740955.26</v>
      </c>
      <c r="AM339" s="54">
        <v>747605.34</v>
      </c>
      <c r="AN339" s="54">
        <v>754218.37</v>
      </c>
      <c r="AO339" s="54">
        <v>26930.08</v>
      </c>
      <c r="AP339" s="53">
        <v>26721.29</v>
      </c>
      <c r="AQ339" s="53">
        <v>26929.96</v>
      </c>
      <c r="AR339" s="53">
        <v>27030.13</v>
      </c>
      <c r="AS339" s="53">
        <v>27180.49</v>
      </c>
      <c r="AT339" s="53">
        <v>27379.61</v>
      </c>
      <c r="AU339" s="53">
        <f t="array" ref="AU339">XLOOKUP(C339,'PL TOTAL D0'!A:A,'PL TOTAL D0'!C:C,"")</f>
        <v>27471.55</v>
      </c>
    </row>
    <row r="340" ht="15.75" customHeight="1">
      <c r="A340" s="41" t="s">
        <v>43</v>
      </c>
      <c r="B340" s="55" t="s">
        <v>1218</v>
      </c>
      <c r="C340" s="43" t="s">
        <v>1219</v>
      </c>
      <c r="D340" s="44" t="s">
        <v>18</v>
      </c>
      <c r="E340" s="45" t="s">
        <v>19</v>
      </c>
      <c r="F340" s="44" t="s">
        <v>122</v>
      </c>
      <c r="G340" s="44" t="str">
        <f t="shared" si="1"/>
        <v>Augusto</v>
      </c>
      <c r="H340" s="46" t="s">
        <v>107</v>
      </c>
      <c r="I340" s="46" t="s">
        <v>24</v>
      </c>
      <c r="J340" s="44" t="str">
        <f t="shared" si="6"/>
        <v>Não</v>
      </c>
      <c r="K340" s="47">
        <v>44974.0</v>
      </c>
      <c r="L340" s="45"/>
      <c r="M340" s="45" t="s">
        <v>79</v>
      </c>
      <c r="N340" s="48">
        <v>0.012</v>
      </c>
      <c r="O340" s="44" t="s">
        <v>24</v>
      </c>
      <c r="P340" s="49">
        <v>0.0</v>
      </c>
      <c r="Q340" s="139"/>
      <c r="R340" s="139"/>
      <c r="S340" s="45" t="s">
        <v>108</v>
      </c>
      <c r="T340" s="24" t="s">
        <v>1220</v>
      </c>
      <c r="U340" s="9" t="s">
        <v>19</v>
      </c>
      <c r="V340" s="51" t="str">
        <f t="shared" si="3"/>
        <v>Ativo</v>
      </c>
      <c r="W340" s="45"/>
      <c r="X340" s="52" t="s">
        <v>119</v>
      </c>
      <c r="Y340" s="54"/>
      <c r="Z340" s="54"/>
      <c r="AA340" s="54"/>
      <c r="AB340" s="54"/>
      <c r="AC340" s="54">
        <v>0.0</v>
      </c>
      <c r="AD340" s="54">
        <v>198564.62</v>
      </c>
      <c r="AE340" s="54">
        <v>218727.87</v>
      </c>
      <c r="AF340" s="54">
        <v>220678.08</v>
      </c>
      <c r="AG340" s="54">
        <v>223209.27</v>
      </c>
      <c r="AH340" s="54">
        <v>223725.03</v>
      </c>
      <c r="AI340" s="54">
        <v>225654.51</v>
      </c>
      <c r="AJ340" s="54">
        <v>227507.52</v>
      </c>
      <c r="AK340" s="54">
        <v>228719.24</v>
      </c>
      <c r="AL340" s="54">
        <v>229311.73</v>
      </c>
      <c r="AM340" s="54">
        <v>232522.65</v>
      </c>
      <c r="AN340" s="54">
        <v>234023.54</v>
      </c>
      <c r="AO340" s="54">
        <v>233431.32</v>
      </c>
      <c r="AP340" s="53">
        <v>235521.53</v>
      </c>
      <c r="AQ340" s="53">
        <v>237902.88</v>
      </c>
      <c r="AR340" s="53">
        <v>237983.6</v>
      </c>
      <c r="AS340" s="53">
        <v>293242.3</v>
      </c>
      <c r="AT340" s="53">
        <v>294801.9</v>
      </c>
      <c r="AU340" s="53">
        <f t="array" ref="AU340">XLOOKUP(C340,'PL TOTAL D0'!A:A,'PL TOTAL D0'!C:C,"")</f>
        <v>297592</v>
      </c>
    </row>
    <row r="341" ht="15.75" customHeight="1">
      <c r="A341" s="41" t="s">
        <v>43</v>
      </c>
      <c r="B341" s="55" t="s">
        <v>1221</v>
      </c>
      <c r="C341" s="56" t="s">
        <v>1222</v>
      </c>
      <c r="D341" s="9" t="s">
        <v>18</v>
      </c>
      <c r="E341" s="24" t="s">
        <v>19</v>
      </c>
      <c r="F341" s="9" t="s">
        <v>20</v>
      </c>
      <c r="G341" s="44" t="str">
        <f t="shared" si="1"/>
        <v>Augusto</v>
      </c>
      <c r="H341" s="51" t="s">
        <v>107</v>
      </c>
      <c r="I341" s="51" t="s">
        <v>24</v>
      </c>
      <c r="J341" s="44" t="str">
        <f t="shared" si="6"/>
        <v>Não</v>
      </c>
      <c r="K341" s="57">
        <v>45448.0</v>
      </c>
      <c r="L341" s="45"/>
      <c r="M341" s="24" t="s">
        <v>55</v>
      </c>
      <c r="N341" s="58">
        <v>0.012</v>
      </c>
      <c r="O341" s="9" t="s">
        <v>24</v>
      </c>
      <c r="P341" s="59">
        <v>0.0</v>
      </c>
      <c r="Q341" s="139"/>
      <c r="R341" s="139"/>
      <c r="S341" s="24" t="s">
        <v>108</v>
      </c>
      <c r="T341" s="24" t="s">
        <v>1223</v>
      </c>
      <c r="U341" s="9" t="s">
        <v>19</v>
      </c>
      <c r="V341" s="51" t="str">
        <f t="shared" si="3"/>
        <v>Ativo</v>
      </c>
      <c r="W341" s="24" t="s">
        <v>63</v>
      </c>
      <c r="X341" s="52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3"/>
      <c r="AQ341" s="53"/>
      <c r="AR341" s="53"/>
      <c r="AS341" s="53"/>
      <c r="AT341" s="53">
        <v>101367.4</v>
      </c>
      <c r="AU341" s="53">
        <f t="array" ref="AU341">XLOOKUP(C341,'PL TOTAL D0'!A:A,'PL TOTAL D0'!C:C,"")</f>
        <v>200329.7</v>
      </c>
    </row>
    <row r="342" ht="15.75" customHeight="1">
      <c r="A342" s="41" t="s">
        <v>43</v>
      </c>
      <c r="B342" s="42" t="s">
        <v>1224</v>
      </c>
      <c r="C342" s="43" t="s">
        <v>1225</v>
      </c>
      <c r="D342" s="44" t="s">
        <v>18</v>
      </c>
      <c r="E342" s="45" t="s">
        <v>29</v>
      </c>
      <c r="F342" s="44" t="s">
        <v>60</v>
      </c>
      <c r="G342" s="44" t="str">
        <f t="shared" si="1"/>
        <v>Augusto</v>
      </c>
      <c r="H342" s="46" t="s">
        <v>107</v>
      </c>
      <c r="I342" s="46" t="s">
        <v>24</v>
      </c>
      <c r="J342" s="44" t="str">
        <f t="shared" si="6"/>
        <v>Não</v>
      </c>
      <c r="K342" s="47">
        <v>45049.0</v>
      </c>
      <c r="L342" s="45"/>
      <c r="M342" s="45" t="s">
        <v>55</v>
      </c>
      <c r="N342" s="48">
        <v>0.012</v>
      </c>
      <c r="O342" s="44" t="s">
        <v>24</v>
      </c>
      <c r="P342" s="49">
        <v>0.0</v>
      </c>
      <c r="Q342" s="139"/>
      <c r="R342" s="139"/>
      <c r="S342" s="45" t="s">
        <v>108</v>
      </c>
      <c r="T342" s="24" t="s">
        <v>1226</v>
      </c>
      <c r="U342" s="9" t="s">
        <v>29</v>
      </c>
      <c r="V342" s="51" t="str">
        <f t="shared" si="3"/>
        <v>Ativo</v>
      </c>
      <c r="W342" s="45"/>
      <c r="X342" s="52" t="s">
        <v>119</v>
      </c>
      <c r="Y342" s="54"/>
      <c r="Z342" s="54"/>
      <c r="AA342" s="54"/>
      <c r="AB342" s="54"/>
      <c r="AC342" s="54"/>
      <c r="AD342" s="54"/>
      <c r="AE342" s="54">
        <v>0.0</v>
      </c>
      <c r="AF342" s="54">
        <v>0.0</v>
      </c>
      <c r="AG342" s="54">
        <v>121930.35</v>
      </c>
      <c r="AH342" s="54">
        <v>123227.77</v>
      </c>
      <c r="AI342" s="54">
        <v>124208.62</v>
      </c>
      <c r="AJ342" s="54">
        <v>125034.68</v>
      </c>
      <c r="AK342" s="54">
        <v>125505.87</v>
      </c>
      <c r="AL342" s="54">
        <v>126058.34</v>
      </c>
      <c r="AM342" s="54">
        <v>127439.03</v>
      </c>
      <c r="AN342" s="54">
        <v>128225.21</v>
      </c>
      <c r="AO342" s="54">
        <v>129283.53</v>
      </c>
      <c r="AP342" s="53">
        <v>129992.96</v>
      </c>
      <c r="AQ342" s="53">
        <v>129147.12</v>
      </c>
      <c r="AR342" s="53">
        <v>259932.89</v>
      </c>
      <c r="AS342" s="53">
        <v>262153.9</v>
      </c>
      <c r="AT342" s="53">
        <v>264292.1</v>
      </c>
      <c r="AU342" s="53">
        <f t="array" ref="AU342">XLOOKUP(C342,'PL TOTAL D0'!A:A,'PL TOTAL D0'!C:C,"")</f>
        <v>265156.5</v>
      </c>
    </row>
    <row r="343" ht="15.75" customHeight="1">
      <c r="A343" s="41" t="s">
        <v>43</v>
      </c>
      <c r="B343" s="42" t="s">
        <v>1227</v>
      </c>
      <c r="C343" s="43" t="s">
        <v>1228</v>
      </c>
      <c r="D343" s="44" t="s">
        <v>18</v>
      </c>
      <c r="E343" s="45" t="s">
        <v>176</v>
      </c>
      <c r="F343" s="44" t="s">
        <v>177</v>
      </c>
      <c r="G343" s="44" t="str">
        <f t="shared" si="1"/>
        <v>Augusto</v>
      </c>
      <c r="H343" s="46" t="s">
        <v>107</v>
      </c>
      <c r="I343" s="46" t="s">
        <v>24</v>
      </c>
      <c r="J343" s="44" t="str">
        <f t="shared" si="6"/>
        <v>Não</v>
      </c>
      <c r="K343" s="47">
        <v>44907.0</v>
      </c>
      <c r="L343" s="45"/>
      <c r="M343" s="45" t="s">
        <v>55</v>
      </c>
      <c r="N343" s="48">
        <v>0.01</v>
      </c>
      <c r="O343" s="44" t="s">
        <v>24</v>
      </c>
      <c r="P343" s="49">
        <v>0.0</v>
      </c>
      <c r="Q343" s="139"/>
      <c r="R343" s="139"/>
      <c r="S343" s="45" t="s">
        <v>108</v>
      </c>
      <c r="T343" s="24" t="s">
        <v>1229</v>
      </c>
      <c r="U343" s="9" t="s">
        <v>180</v>
      </c>
      <c r="V343" s="51" t="str">
        <f t="shared" si="3"/>
        <v>Ativo</v>
      </c>
      <c r="W343" s="45"/>
      <c r="X343" s="52" t="s">
        <v>110</v>
      </c>
      <c r="Y343" s="54"/>
      <c r="Z343" s="54"/>
      <c r="AA343" s="54"/>
      <c r="AB343" s="54">
        <v>100701.58</v>
      </c>
      <c r="AC343" s="54">
        <v>137089.41</v>
      </c>
      <c r="AD343" s="54">
        <v>198714.47</v>
      </c>
      <c r="AE343" s="54">
        <v>200875.49</v>
      </c>
      <c r="AF343" s="54">
        <v>202443.78</v>
      </c>
      <c r="AG343" s="54">
        <v>204655.88</v>
      </c>
      <c r="AH343" s="54">
        <v>206621.5</v>
      </c>
      <c r="AI343" s="54">
        <v>208460.87</v>
      </c>
      <c r="AJ343" s="54">
        <v>210444.58</v>
      </c>
      <c r="AK343" s="54">
        <v>212200.92</v>
      </c>
      <c r="AL343" s="54">
        <v>214129.11</v>
      </c>
      <c r="AM343" s="54">
        <v>215668.41</v>
      </c>
      <c r="AN343" s="54">
        <v>240628.91</v>
      </c>
      <c r="AO343" s="54">
        <v>242446.82</v>
      </c>
      <c r="AP343" s="53">
        <v>244187.75</v>
      </c>
      <c r="AQ343" s="53">
        <v>245889.8</v>
      </c>
      <c r="AR343" s="53">
        <v>247888.35</v>
      </c>
      <c r="AS343" s="53">
        <v>249735.1</v>
      </c>
      <c r="AT343" s="53">
        <v>251771.9</v>
      </c>
      <c r="AU343" s="53">
        <f t="array" ref="AU343">XLOOKUP(C343,'PL TOTAL D0'!A:A,'PL TOTAL D0'!C:C,"")</f>
        <v>252687.1</v>
      </c>
    </row>
    <row r="344" ht="15.75" customHeight="1">
      <c r="A344" s="41" t="s">
        <v>43</v>
      </c>
      <c r="B344" s="42" t="s">
        <v>1230</v>
      </c>
      <c r="C344" s="43" t="s">
        <v>1231</v>
      </c>
      <c r="D344" s="44" t="s">
        <v>18</v>
      </c>
      <c r="E344" s="45" t="s">
        <v>176</v>
      </c>
      <c r="F344" s="44" t="s">
        <v>177</v>
      </c>
      <c r="G344" s="44" t="str">
        <f t="shared" si="1"/>
        <v>Augusto</v>
      </c>
      <c r="H344" s="46" t="s">
        <v>107</v>
      </c>
      <c r="I344" s="46" t="s">
        <v>24</v>
      </c>
      <c r="J344" s="44" t="str">
        <f t="shared" si="6"/>
        <v>Não</v>
      </c>
      <c r="K344" s="47">
        <v>45096.0</v>
      </c>
      <c r="L344" s="62"/>
      <c r="M344" s="45" t="s">
        <v>190</v>
      </c>
      <c r="N344" s="48">
        <v>0.015</v>
      </c>
      <c r="O344" s="44" t="s">
        <v>191</v>
      </c>
      <c r="P344" s="49">
        <v>0.2</v>
      </c>
      <c r="Q344" s="139"/>
      <c r="R344" s="139"/>
      <c r="S344" s="45" t="s">
        <v>108</v>
      </c>
      <c r="T344" s="24" t="s">
        <v>1229</v>
      </c>
      <c r="U344" s="9" t="s">
        <v>180</v>
      </c>
      <c r="V344" s="51" t="str">
        <f t="shared" si="3"/>
        <v>Ativo</v>
      </c>
      <c r="W344" s="45"/>
      <c r="X344" s="52" t="s">
        <v>110</v>
      </c>
      <c r="Y344" s="54"/>
      <c r="Z344" s="54"/>
      <c r="AA344" s="54"/>
      <c r="AB344" s="54"/>
      <c r="AC344" s="54"/>
      <c r="AD344" s="54"/>
      <c r="AE344" s="54"/>
      <c r="AF344" s="54"/>
      <c r="AG344" s="54"/>
      <c r="AH344" s="54">
        <v>50012.0</v>
      </c>
      <c r="AI344" s="54">
        <v>52613.31</v>
      </c>
      <c r="AJ344" s="54">
        <v>52357.9</v>
      </c>
      <c r="AK344" s="54">
        <v>51291.39</v>
      </c>
      <c r="AL344" s="54">
        <v>49034.53</v>
      </c>
      <c r="AM344" s="54">
        <v>52727.17</v>
      </c>
      <c r="AN344" s="54">
        <v>81625.76</v>
      </c>
      <c r="AO344" s="54">
        <v>75028.81</v>
      </c>
      <c r="AP344" s="53">
        <v>76155.46</v>
      </c>
      <c r="AQ344" s="53">
        <v>77351.94</v>
      </c>
      <c r="AR344" s="53">
        <v>74113.97</v>
      </c>
      <c r="AS344" s="53">
        <v>72659.43</v>
      </c>
      <c r="AT344" s="53">
        <v>72750.49</v>
      </c>
      <c r="AU344" s="53">
        <f t="array" ref="AU344">XLOOKUP(C344,'PL TOTAL D0'!A:A,'PL TOTAL D0'!C:C,"")</f>
        <v>75234.81</v>
      </c>
    </row>
    <row r="345" ht="15.75" customHeight="1">
      <c r="A345" s="41" t="s">
        <v>43</v>
      </c>
      <c r="B345" s="61" t="s">
        <v>1232</v>
      </c>
      <c r="C345" s="43" t="s">
        <v>1233</v>
      </c>
      <c r="D345" s="44" t="s">
        <v>18</v>
      </c>
      <c r="E345" s="45" t="s">
        <v>29</v>
      </c>
      <c r="F345" s="44" t="s">
        <v>294</v>
      </c>
      <c r="G345" s="44" t="str">
        <f t="shared" si="1"/>
        <v>Augusto</v>
      </c>
      <c r="H345" s="46" t="s">
        <v>147</v>
      </c>
      <c r="I345" s="51" t="s">
        <v>219</v>
      </c>
      <c r="J345" s="44" t="str">
        <f t="shared" si="6"/>
        <v>Não</v>
      </c>
      <c r="K345" s="47">
        <v>45020.0</v>
      </c>
      <c r="L345" s="45"/>
      <c r="M345" s="45" t="s">
        <v>47</v>
      </c>
      <c r="N345" s="48">
        <v>0.015</v>
      </c>
      <c r="O345" s="44" t="s">
        <v>48</v>
      </c>
      <c r="P345" s="49">
        <v>0.1</v>
      </c>
      <c r="Q345" s="193"/>
      <c r="R345" s="139"/>
      <c r="S345" s="45" t="s">
        <v>108</v>
      </c>
      <c r="T345" s="24" t="s">
        <v>1234</v>
      </c>
      <c r="U345" s="9" t="s">
        <v>29</v>
      </c>
      <c r="V345" s="51" t="str">
        <f t="shared" si="3"/>
        <v>Ativo</v>
      </c>
      <c r="W345" s="45"/>
      <c r="X345" s="52" t="s">
        <v>119</v>
      </c>
      <c r="Y345" s="54"/>
      <c r="Z345" s="54"/>
      <c r="AA345" s="54"/>
      <c r="AB345" s="54"/>
      <c r="AC345" s="54"/>
      <c r="AD345" s="54"/>
      <c r="AE345" s="54">
        <v>0.0</v>
      </c>
      <c r="AF345" s="54">
        <v>30115.64</v>
      </c>
      <c r="AG345" s="54">
        <v>31014.04</v>
      </c>
      <c r="AH345" s="54">
        <v>31904.55</v>
      </c>
      <c r="AI345" s="54">
        <v>32117.36</v>
      </c>
      <c r="AJ345" s="54">
        <v>34059.66</v>
      </c>
      <c r="AK345" s="54">
        <v>34005.36</v>
      </c>
      <c r="AL345" s="54">
        <v>15733.96</v>
      </c>
      <c r="AM345" s="54">
        <v>0.0</v>
      </c>
      <c r="AN345" s="54">
        <v>0.0</v>
      </c>
      <c r="AO345" s="54">
        <v>0.0</v>
      </c>
      <c r="AP345" s="53">
        <v>0.39</v>
      </c>
      <c r="AQ345" s="53">
        <v>0.39</v>
      </c>
      <c r="AR345" s="53">
        <v>0.39</v>
      </c>
      <c r="AS345" s="53">
        <v>0.39</v>
      </c>
      <c r="AT345" s="53">
        <v>0.39</v>
      </c>
      <c r="AU345" s="53">
        <f t="array" ref="AU345">XLOOKUP(C345,'PL TOTAL D0'!A:A,'PL TOTAL D0'!C:C,"")</f>
        <v>0.39</v>
      </c>
    </row>
    <row r="346" ht="15.75" customHeight="1">
      <c r="A346" s="41" t="s">
        <v>43</v>
      </c>
      <c r="B346" s="42" t="s">
        <v>1235</v>
      </c>
      <c r="C346" s="43" t="s">
        <v>1236</v>
      </c>
      <c r="D346" s="44" t="s">
        <v>105</v>
      </c>
      <c r="E346" s="45" t="s">
        <v>29</v>
      </c>
      <c r="F346" s="44" t="s">
        <v>106</v>
      </c>
      <c r="G346" s="44" t="str">
        <f t="shared" si="1"/>
        <v>Augusto</v>
      </c>
      <c r="H346" s="51" t="s">
        <v>107</v>
      </c>
      <c r="I346" s="46" t="s">
        <v>24</v>
      </c>
      <c r="J346" s="44" t="str">
        <f t="shared" si="6"/>
        <v>Não</v>
      </c>
      <c r="K346" s="47">
        <v>45271.0</v>
      </c>
      <c r="L346" s="45"/>
      <c r="M346" s="93" t="s">
        <v>79</v>
      </c>
      <c r="N346" s="94">
        <v>0.012</v>
      </c>
      <c r="O346" s="95" t="s">
        <v>48</v>
      </c>
      <c r="P346" s="96">
        <v>0.1</v>
      </c>
      <c r="Q346" s="111"/>
      <c r="R346" s="139"/>
      <c r="S346" s="45" t="s">
        <v>108</v>
      </c>
      <c r="T346" s="24" t="s">
        <v>1237</v>
      </c>
      <c r="U346" s="9" t="s">
        <v>29</v>
      </c>
      <c r="V346" s="51" t="str">
        <f t="shared" si="3"/>
        <v>Ativo</v>
      </c>
      <c r="W346" s="45"/>
      <c r="X346" s="52" t="s">
        <v>119</v>
      </c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>
        <v>62254.58</v>
      </c>
      <c r="AO346" s="54">
        <v>62568.4</v>
      </c>
      <c r="AP346" s="53">
        <v>63356.81</v>
      </c>
      <c r="AQ346" s="53">
        <v>63760.24</v>
      </c>
      <c r="AR346" s="53">
        <v>63121.26</v>
      </c>
      <c r="AS346" s="53">
        <v>63561.23</v>
      </c>
      <c r="AT346" s="53">
        <v>63675.8</v>
      </c>
      <c r="AU346" s="53">
        <f t="array" ref="AU346">XLOOKUP(C346,'PL TOTAL D0'!A:A,'PL TOTAL D0'!C:C,"")</f>
        <v>64380.36</v>
      </c>
    </row>
    <row r="347" ht="15.75" customHeight="1">
      <c r="A347" s="41" t="s">
        <v>43</v>
      </c>
      <c r="B347" s="42" t="s">
        <v>1238</v>
      </c>
      <c r="C347" s="75" t="s">
        <v>1239</v>
      </c>
      <c r="D347" s="44" t="s">
        <v>18</v>
      </c>
      <c r="E347" s="45" t="s">
        <v>19</v>
      </c>
      <c r="F347" s="44" t="s">
        <v>20</v>
      </c>
      <c r="G347" s="44" t="str">
        <f t="shared" si="1"/>
        <v>Augusto</v>
      </c>
      <c r="H347" s="51" t="s">
        <v>107</v>
      </c>
      <c r="I347" s="51" t="s">
        <v>24</v>
      </c>
      <c r="J347" s="44" t="str">
        <f t="shared" si="6"/>
        <v>Não</v>
      </c>
      <c r="K347" s="47">
        <v>45166.0</v>
      </c>
      <c r="L347" s="62"/>
      <c r="M347" s="24" t="s">
        <v>139</v>
      </c>
      <c r="N347" s="48">
        <v>0.012</v>
      </c>
      <c r="O347" s="9" t="s">
        <v>48</v>
      </c>
      <c r="P347" s="59">
        <v>0.1</v>
      </c>
      <c r="Q347" s="139"/>
      <c r="R347" s="60" t="s">
        <v>1240</v>
      </c>
      <c r="S347" s="45" t="s">
        <v>108</v>
      </c>
      <c r="T347" s="24" t="s">
        <v>1241</v>
      </c>
      <c r="U347" s="9" t="s">
        <v>19</v>
      </c>
      <c r="V347" s="51" t="str">
        <f t="shared" si="3"/>
        <v>Ativo</v>
      </c>
      <c r="W347" s="45"/>
      <c r="X347" s="52" t="s">
        <v>119</v>
      </c>
      <c r="Y347" s="54"/>
      <c r="Z347" s="54"/>
      <c r="AA347" s="54"/>
      <c r="AB347" s="54"/>
      <c r="AC347" s="54"/>
      <c r="AD347" s="54"/>
      <c r="AE347" s="54"/>
      <c r="AF347" s="54">
        <v>0.0</v>
      </c>
      <c r="AG347" s="54">
        <v>0.0</v>
      </c>
      <c r="AH347" s="54">
        <v>0.0</v>
      </c>
      <c r="AI347" s="54">
        <v>0.0</v>
      </c>
      <c r="AJ347" s="54">
        <v>0.0</v>
      </c>
      <c r="AK347" s="54">
        <v>22511.16</v>
      </c>
      <c r="AL347" s="54">
        <v>22687.8</v>
      </c>
      <c r="AM347" s="54">
        <v>32876.65</v>
      </c>
      <c r="AN347" s="54">
        <v>33120.57</v>
      </c>
      <c r="AO347" s="54">
        <v>33420.7</v>
      </c>
      <c r="AP347" s="53">
        <v>33692.45</v>
      </c>
      <c r="AQ347" s="53">
        <v>33992.91</v>
      </c>
      <c r="AR347" s="53">
        <v>34191.93</v>
      </c>
      <c r="AS347" s="53">
        <v>34422.91</v>
      </c>
      <c r="AT347" s="53">
        <v>34646.38</v>
      </c>
      <c r="AU347" s="53">
        <f t="array" ref="AU347">XLOOKUP(C347,'PL TOTAL D0'!A:A,'PL TOTAL D0'!C:C,"")</f>
        <v>34772.41</v>
      </c>
    </row>
    <row r="348" ht="15.75" customHeight="1">
      <c r="A348" s="41" t="s">
        <v>43</v>
      </c>
      <c r="B348" s="42" t="s">
        <v>1242</v>
      </c>
      <c r="C348" s="43" t="s">
        <v>1243</v>
      </c>
      <c r="D348" s="44" t="s">
        <v>18</v>
      </c>
      <c r="E348" s="45" t="s">
        <v>176</v>
      </c>
      <c r="F348" s="44" t="s">
        <v>177</v>
      </c>
      <c r="G348" s="44" t="str">
        <f t="shared" si="1"/>
        <v>Breno</v>
      </c>
      <c r="H348" s="46" t="s">
        <v>107</v>
      </c>
      <c r="I348" s="46" t="s">
        <v>24</v>
      </c>
      <c r="J348" s="44" t="str">
        <f t="shared" si="6"/>
        <v>Não</v>
      </c>
      <c r="K348" s="47">
        <v>45029.0</v>
      </c>
      <c r="L348" s="45"/>
      <c r="M348" s="45" t="s">
        <v>55</v>
      </c>
      <c r="N348" s="48">
        <v>0.007</v>
      </c>
      <c r="O348" s="44" t="s">
        <v>24</v>
      </c>
      <c r="P348" s="49">
        <v>0.0</v>
      </c>
      <c r="Q348" s="60"/>
      <c r="R348" s="139"/>
      <c r="S348" s="45" t="s">
        <v>108</v>
      </c>
      <c r="T348" s="24" t="s">
        <v>1244</v>
      </c>
      <c r="U348" s="9" t="s">
        <v>180</v>
      </c>
      <c r="V348" s="51" t="str">
        <f t="shared" si="3"/>
        <v>Ativo</v>
      </c>
      <c r="W348" s="45"/>
      <c r="X348" s="52" t="s">
        <v>110</v>
      </c>
      <c r="Y348" s="54"/>
      <c r="Z348" s="54"/>
      <c r="AA348" s="54"/>
      <c r="AB348" s="54"/>
      <c r="AC348" s="54"/>
      <c r="AD348" s="54"/>
      <c r="AE348" s="54">
        <v>0.0</v>
      </c>
      <c r="AF348" s="54">
        <v>451821.82</v>
      </c>
      <c r="AG348" s="54">
        <v>525755.99</v>
      </c>
      <c r="AH348" s="54">
        <v>577636.93</v>
      </c>
      <c r="AI348" s="54">
        <v>572321.15</v>
      </c>
      <c r="AJ348" s="54">
        <v>577848.45</v>
      </c>
      <c r="AK348" s="54">
        <v>581436.87</v>
      </c>
      <c r="AL348" s="54">
        <v>585277.97</v>
      </c>
      <c r="AM348" s="54">
        <v>569347.56</v>
      </c>
      <c r="AN348" s="54">
        <v>574345.37</v>
      </c>
      <c r="AO348" s="54">
        <v>566283.76</v>
      </c>
      <c r="AP348" s="53">
        <v>570317.22</v>
      </c>
      <c r="AQ348" s="53">
        <v>574327.63</v>
      </c>
      <c r="AR348" s="53">
        <v>574185.27</v>
      </c>
      <c r="AS348" s="53">
        <v>578028.9</v>
      </c>
      <c r="AT348" s="53">
        <v>511965.7</v>
      </c>
      <c r="AU348" s="53">
        <f t="array" ref="AU348">XLOOKUP(C348,'PL TOTAL D0'!A:A,'PL TOTAL D0'!C:C,"")</f>
        <v>492092.6</v>
      </c>
    </row>
    <row r="349" ht="15.75" customHeight="1">
      <c r="A349" s="41" t="s">
        <v>43</v>
      </c>
      <c r="B349" s="42" t="s">
        <v>1245</v>
      </c>
      <c r="C349" s="43" t="s">
        <v>1246</v>
      </c>
      <c r="D349" s="44" t="s">
        <v>18</v>
      </c>
      <c r="E349" s="45" t="s">
        <v>29</v>
      </c>
      <c r="F349" s="44" t="s">
        <v>373</v>
      </c>
      <c r="G349" s="44" t="str">
        <f t="shared" si="1"/>
        <v>#N/A</v>
      </c>
      <c r="H349" s="46" t="s">
        <v>147</v>
      </c>
      <c r="I349" s="46" t="s">
        <v>219</v>
      </c>
      <c r="J349" s="44" t="str">
        <f t="shared" si="6"/>
        <v>Não</v>
      </c>
      <c r="K349" s="47">
        <v>45163.0</v>
      </c>
      <c r="L349" s="62"/>
      <c r="M349" s="45" t="s">
        <v>55</v>
      </c>
      <c r="N349" s="48">
        <v>0.012</v>
      </c>
      <c r="O349" s="44" t="s">
        <v>24</v>
      </c>
      <c r="P349" s="49">
        <v>0.0</v>
      </c>
      <c r="Q349" s="139"/>
      <c r="R349" s="50" t="s">
        <v>1247</v>
      </c>
      <c r="S349" s="45" t="s">
        <v>369</v>
      </c>
      <c r="T349" s="24" t="s">
        <v>1248</v>
      </c>
      <c r="U349" s="9" t="s">
        <v>152</v>
      </c>
      <c r="V349" s="51" t="str">
        <f t="shared" si="3"/>
        <v>Inativo</v>
      </c>
      <c r="W349" s="45"/>
      <c r="X349" s="52" t="s">
        <v>119</v>
      </c>
      <c r="Y349" s="54"/>
      <c r="Z349" s="54"/>
      <c r="AA349" s="54"/>
      <c r="AB349" s="54"/>
      <c r="AC349" s="54">
        <v>0.0</v>
      </c>
      <c r="AD349" s="54">
        <v>0.0</v>
      </c>
      <c r="AE349" s="54">
        <v>0.0</v>
      </c>
      <c r="AF349" s="54">
        <v>0.0</v>
      </c>
      <c r="AG349" s="54">
        <v>0.0</v>
      </c>
      <c r="AH349" s="54">
        <v>0.0</v>
      </c>
      <c r="AI349" s="54">
        <v>0.0</v>
      </c>
      <c r="AJ349" s="54">
        <v>0.0</v>
      </c>
      <c r="AK349" s="54">
        <v>0.0</v>
      </c>
      <c r="AL349" s="54">
        <v>0.0</v>
      </c>
      <c r="AM349" s="54">
        <v>0.0</v>
      </c>
      <c r="AN349" s="54">
        <v>0.0</v>
      </c>
      <c r="AO349" s="54">
        <v>0.0</v>
      </c>
      <c r="AP349" s="53">
        <v>0.0</v>
      </c>
      <c r="AQ349" s="53">
        <v>0.0</v>
      </c>
      <c r="AR349" s="53">
        <v>0.0</v>
      </c>
      <c r="AS349" s="53">
        <v>0.0</v>
      </c>
      <c r="AT349" s="53">
        <v>0.0</v>
      </c>
      <c r="AU349" s="53" t="str">
        <f t="array" ref="AU349">XLOOKUP(C349,'PL TOTAL D0'!A:A,'PL TOTAL D0'!C:C,"")</f>
        <v/>
      </c>
    </row>
    <row r="350" ht="15.75" customHeight="1">
      <c r="A350" s="41" t="s">
        <v>43</v>
      </c>
      <c r="B350" s="42" t="s">
        <v>1249</v>
      </c>
      <c r="C350" s="43" t="s">
        <v>1250</v>
      </c>
      <c r="D350" s="44" t="s">
        <v>105</v>
      </c>
      <c r="E350" s="45" t="s">
        <v>29</v>
      </c>
      <c r="F350" s="44" t="s">
        <v>412</v>
      </c>
      <c r="G350" s="44" t="str">
        <f t="shared" si="1"/>
        <v>Augusto</v>
      </c>
      <c r="H350" s="46" t="s">
        <v>107</v>
      </c>
      <c r="I350" s="46" t="s">
        <v>24</v>
      </c>
      <c r="J350" s="44" t="str">
        <f t="shared" si="6"/>
        <v>Sim</v>
      </c>
      <c r="K350" s="47">
        <v>45125.0</v>
      </c>
      <c r="L350" s="62"/>
      <c r="M350" s="45" t="s">
        <v>897</v>
      </c>
      <c r="N350" s="48">
        <v>0.01</v>
      </c>
      <c r="O350" s="44" t="s">
        <v>48</v>
      </c>
      <c r="P350" s="49">
        <v>0.1</v>
      </c>
      <c r="Q350" s="73" t="s">
        <v>1251</v>
      </c>
      <c r="R350" s="74"/>
      <c r="S350" s="45" t="s">
        <v>108</v>
      </c>
      <c r="T350" s="24" t="s">
        <v>1252</v>
      </c>
      <c r="U350" s="9" t="s">
        <v>29</v>
      </c>
      <c r="V350" s="51" t="str">
        <f t="shared" si="3"/>
        <v>Ativo</v>
      </c>
      <c r="W350" s="45"/>
      <c r="X350" s="52" t="s">
        <v>110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>
        <v>598857.52</v>
      </c>
      <c r="AJ350" s="54">
        <v>582943.23</v>
      </c>
      <c r="AK350" s="54">
        <v>595331.78</v>
      </c>
      <c r="AL350" s="54">
        <v>554795.52</v>
      </c>
      <c r="AM350" s="54">
        <v>468559.04</v>
      </c>
      <c r="AN350" s="54">
        <v>421965.61</v>
      </c>
      <c r="AO350" s="54">
        <v>405700.58</v>
      </c>
      <c r="AP350" s="53">
        <v>357600.93</v>
      </c>
      <c r="AQ350" s="53">
        <v>364082.52</v>
      </c>
      <c r="AR350" s="53">
        <v>366752.35</v>
      </c>
      <c r="AS350" s="53">
        <v>320559.1</v>
      </c>
      <c r="AT350" s="53">
        <v>302851.7</v>
      </c>
      <c r="AU350" s="53">
        <f t="array" ref="AU350">XLOOKUP(C350,'PL TOTAL D0'!A:A,'PL TOTAL D0'!C:C,"")</f>
        <v>303741.8</v>
      </c>
    </row>
    <row r="351" ht="15.75" customHeight="1">
      <c r="A351" s="41" t="s">
        <v>43</v>
      </c>
      <c r="B351" s="55" t="s">
        <v>1253</v>
      </c>
      <c r="C351" s="43" t="s">
        <v>1254</v>
      </c>
      <c r="D351" s="44" t="s">
        <v>18</v>
      </c>
      <c r="E351" s="45" t="s">
        <v>19</v>
      </c>
      <c r="F351" s="44" t="s">
        <v>122</v>
      </c>
      <c r="G351" s="44" t="str">
        <f t="shared" si="1"/>
        <v>Augusto</v>
      </c>
      <c r="H351" s="51" t="s">
        <v>107</v>
      </c>
      <c r="I351" s="51" t="s">
        <v>24</v>
      </c>
      <c r="J351" s="44" t="str">
        <f t="shared" si="6"/>
        <v>Não</v>
      </c>
      <c r="K351" s="47">
        <v>44949.0</v>
      </c>
      <c r="L351" s="45"/>
      <c r="M351" s="45" t="s">
        <v>79</v>
      </c>
      <c r="N351" s="48">
        <v>0.012</v>
      </c>
      <c r="O351" s="44" t="s">
        <v>24</v>
      </c>
      <c r="P351" s="49">
        <v>0.0</v>
      </c>
      <c r="Q351" s="139"/>
      <c r="R351" s="139"/>
      <c r="S351" s="45" t="s">
        <v>108</v>
      </c>
      <c r="T351" s="24" t="s">
        <v>1255</v>
      </c>
      <c r="U351" s="9" t="s">
        <v>19</v>
      </c>
      <c r="V351" s="51" t="str">
        <f t="shared" si="3"/>
        <v>Ativo</v>
      </c>
      <c r="W351" s="45"/>
      <c r="X351" s="52" t="s">
        <v>119</v>
      </c>
      <c r="Y351" s="54"/>
      <c r="Z351" s="54"/>
      <c r="AA351" s="54"/>
      <c r="AB351" s="54"/>
      <c r="AC351" s="54">
        <v>162070.18</v>
      </c>
      <c r="AD351" s="54">
        <v>190654.57</v>
      </c>
      <c r="AE351" s="54">
        <v>192722.37</v>
      </c>
      <c r="AF351" s="54">
        <v>194185.27</v>
      </c>
      <c r="AG351" s="54">
        <v>196237.19</v>
      </c>
      <c r="AH351" s="54">
        <v>197994.45</v>
      </c>
      <c r="AI351" s="54">
        <v>199122.82</v>
      </c>
      <c r="AJ351" s="54">
        <v>200583.37</v>
      </c>
      <c r="AK351" s="54">
        <v>201330.28</v>
      </c>
      <c r="AL351" s="54">
        <v>196972.77</v>
      </c>
      <c r="AM351" s="54">
        <v>199889.21</v>
      </c>
      <c r="AN351" s="54">
        <v>200441.61</v>
      </c>
      <c r="AO351" s="54">
        <v>199574.03</v>
      </c>
      <c r="AP351" s="53">
        <v>201296.68</v>
      </c>
      <c r="AQ351" s="53">
        <v>203143.75</v>
      </c>
      <c r="AR351" s="53">
        <v>203171.29</v>
      </c>
      <c r="AS351" s="53">
        <v>203642.3</v>
      </c>
      <c r="AT351" s="53">
        <v>205144.2</v>
      </c>
      <c r="AU351" s="53">
        <f t="array" ref="AU351">XLOOKUP(C351,'PL TOTAL D0'!A:A,'PL TOTAL D0'!C:C,"")</f>
        <v>207061</v>
      </c>
    </row>
    <row r="352" ht="15.75" customHeight="1">
      <c r="A352" s="6" t="s">
        <v>43</v>
      </c>
      <c r="B352" s="55" t="s">
        <v>1256</v>
      </c>
      <c r="C352" s="56" t="s">
        <v>1257</v>
      </c>
      <c r="D352" s="9" t="s">
        <v>18</v>
      </c>
      <c r="E352" s="24" t="s">
        <v>176</v>
      </c>
      <c r="F352" s="9" t="s">
        <v>177</v>
      </c>
      <c r="G352" s="44" t="str">
        <f t="shared" si="1"/>
        <v>#N/A</v>
      </c>
      <c r="H352" s="51" t="s">
        <v>147</v>
      </c>
      <c r="I352" s="51" t="s">
        <v>219</v>
      </c>
      <c r="J352" s="44" t="str">
        <f t="shared" si="6"/>
        <v>Não</v>
      </c>
      <c r="K352" s="57">
        <v>45313.0</v>
      </c>
      <c r="L352" s="45"/>
      <c r="M352" s="11" t="s">
        <v>79</v>
      </c>
      <c r="N352" s="12">
        <v>0.012</v>
      </c>
      <c r="O352" s="13" t="s">
        <v>48</v>
      </c>
      <c r="P352" s="14">
        <v>0.1</v>
      </c>
      <c r="Q352" s="139"/>
      <c r="R352" s="139"/>
      <c r="S352" s="24" t="s">
        <v>108</v>
      </c>
      <c r="T352" s="24" t="s">
        <v>1258</v>
      </c>
      <c r="U352" s="9" t="s">
        <v>180</v>
      </c>
      <c r="V352" s="51" t="str">
        <f t="shared" si="3"/>
        <v>Ativo</v>
      </c>
      <c r="W352" s="45"/>
      <c r="X352" s="52" t="s">
        <v>110</v>
      </c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>
        <v>0.0</v>
      </c>
      <c r="AP352" s="53">
        <v>0.0</v>
      </c>
      <c r="AQ352" s="53">
        <v>0.0</v>
      </c>
      <c r="AR352" s="53">
        <v>0.0</v>
      </c>
      <c r="AS352" s="53">
        <v>0.0</v>
      </c>
      <c r="AT352" s="53">
        <v>0.0</v>
      </c>
      <c r="AU352" s="53" t="str">
        <f t="array" ref="AU352">XLOOKUP(C352,'PL TOTAL D0'!A:A,'PL TOTAL D0'!C:C,"")</f>
        <v/>
      </c>
    </row>
    <row r="353" ht="15.75" customHeight="1">
      <c r="A353" s="41" t="s">
        <v>43</v>
      </c>
      <c r="B353" s="42" t="s">
        <v>1259</v>
      </c>
      <c r="C353" s="43" t="s">
        <v>1260</v>
      </c>
      <c r="D353" s="44" t="s">
        <v>18</v>
      </c>
      <c r="E353" s="45" t="s">
        <v>19</v>
      </c>
      <c r="F353" s="44" t="s">
        <v>20</v>
      </c>
      <c r="G353" s="44" t="str">
        <f t="shared" si="1"/>
        <v>Augusto</v>
      </c>
      <c r="H353" s="46" t="s">
        <v>147</v>
      </c>
      <c r="I353" s="51" t="s">
        <v>219</v>
      </c>
      <c r="J353" s="44" t="str">
        <f t="shared" si="6"/>
        <v>Não</v>
      </c>
      <c r="K353" s="47">
        <v>45082.0</v>
      </c>
      <c r="L353" s="45"/>
      <c r="M353" s="45" t="s">
        <v>269</v>
      </c>
      <c r="N353" s="48">
        <v>0.02</v>
      </c>
      <c r="O353" s="44" t="s">
        <v>48</v>
      </c>
      <c r="P353" s="49">
        <v>0.2</v>
      </c>
      <c r="Q353" s="74"/>
      <c r="R353" s="73" t="s">
        <v>1261</v>
      </c>
      <c r="S353" s="45" t="s">
        <v>108</v>
      </c>
      <c r="T353" s="24" t="s">
        <v>1262</v>
      </c>
      <c r="U353" s="9" t="s">
        <v>1112</v>
      </c>
      <c r="V353" s="51" t="str">
        <f t="shared" si="3"/>
        <v>Ativo</v>
      </c>
      <c r="W353" s="45"/>
      <c r="X353" s="52" t="s">
        <v>119</v>
      </c>
      <c r="Y353" s="54"/>
      <c r="Z353" s="54"/>
      <c r="AA353" s="54"/>
      <c r="AB353" s="54"/>
      <c r="AC353" s="54">
        <v>0.0</v>
      </c>
      <c r="AD353" s="54">
        <v>0.0</v>
      </c>
      <c r="AE353" s="54">
        <v>0.0</v>
      </c>
      <c r="AF353" s="54">
        <v>0.0</v>
      </c>
      <c r="AG353" s="54">
        <v>0.0</v>
      </c>
      <c r="AH353" s="54">
        <v>69759.11</v>
      </c>
      <c r="AI353" s="54">
        <v>69957.42</v>
      </c>
      <c r="AJ353" s="54">
        <v>31355.16</v>
      </c>
      <c r="AK353" s="54">
        <v>953.24</v>
      </c>
      <c r="AL353" s="54">
        <v>433.82</v>
      </c>
      <c r="AM353" s="54">
        <v>433.82</v>
      </c>
      <c r="AN353" s="54">
        <v>435.68</v>
      </c>
      <c r="AO353" s="54">
        <v>435.68</v>
      </c>
      <c r="AP353" s="53">
        <v>435.94</v>
      </c>
      <c r="AQ353" s="53">
        <v>435.94</v>
      </c>
      <c r="AR353" s="53">
        <v>435.94</v>
      </c>
      <c r="AS353" s="53">
        <v>435.94</v>
      </c>
      <c r="AT353" s="53">
        <v>435.94</v>
      </c>
      <c r="AU353" s="53">
        <f t="array" ref="AU353">XLOOKUP(C353,'PL TOTAL D0'!A:A,'PL TOTAL D0'!C:C,"")</f>
        <v>436.8</v>
      </c>
    </row>
    <row r="354" ht="15.75" customHeight="1">
      <c r="A354" s="41" t="s">
        <v>43</v>
      </c>
      <c r="B354" s="42" t="s">
        <v>1263</v>
      </c>
      <c r="C354" s="43" t="s">
        <v>1264</v>
      </c>
      <c r="D354" s="44" t="s">
        <v>18</v>
      </c>
      <c r="E354" s="45" t="s">
        <v>176</v>
      </c>
      <c r="F354" s="44" t="s">
        <v>177</v>
      </c>
      <c r="G354" s="44" t="str">
        <f t="shared" si="1"/>
        <v>Augusto</v>
      </c>
      <c r="H354" s="46" t="s">
        <v>107</v>
      </c>
      <c r="I354" s="46" t="s">
        <v>24</v>
      </c>
      <c r="J354" s="44" t="str">
        <f t="shared" si="6"/>
        <v>Não</v>
      </c>
      <c r="K354" s="47">
        <v>45128.0</v>
      </c>
      <c r="L354" s="62"/>
      <c r="M354" s="45" t="s">
        <v>47</v>
      </c>
      <c r="N354" s="48">
        <v>0.015</v>
      </c>
      <c r="O354" s="44" t="s">
        <v>48</v>
      </c>
      <c r="P354" s="49">
        <v>0.1</v>
      </c>
      <c r="Q354" s="74"/>
      <c r="R354" s="50"/>
      <c r="S354" s="45" t="s">
        <v>108</v>
      </c>
      <c r="T354" s="24" t="s">
        <v>1265</v>
      </c>
      <c r="U354" s="9" t="s">
        <v>180</v>
      </c>
      <c r="V354" s="51" t="str">
        <f t="shared" si="3"/>
        <v>Ativo</v>
      </c>
      <c r="W354" s="45"/>
      <c r="X354" s="52" t="s">
        <v>119</v>
      </c>
      <c r="Y354" s="54"/>
      <c r="Z354" s="54"/>
      <c r="AA354" s="54"/>
      <c r="AB354" s="54"/>
      <c r="AC354" s="54"/>
      <c r="AD354" s="54"/>
      <c r="AE354" s="54">
        <v>0.0</v>
      </c>
      <c r="AF354" s="54">
        <v>0.0</v>
      </c>
      <c r="AG354" s="54">
        <v>0.0</v>
      </c>
      <c r="AH354" s="54">
        <v>0.0</v>
      </c>
      <c r="AI354" s="54">
        <v>302770.32</v>
      </c>
      <c r="AJ354" s="54">
        <v>319984.74</v>
      </c>
      <c r="AK354" s="54">
        <v>321276.02</v>
      </c>
      <c r="AL354" s="54">
        <v>320370.19</v>
      </c>
      <c r="AM354" s="54">
        <v>327308.85</v>
      </c>
      <c r="AN354" s="54">
        <v>333739.21</v>
      </c>
      <c r="AO354" s="54">
        <v>329468.33</v>
      </c>
      <c r="AP354" s="53">
        <v>331760.87</v>
      </c>
      <c r="AQ354" s="53">
        <v>334298.87</v>
      </c>
      <c r="AR354" s="53">
        <v>331338.23</v>
      </c>
      <c r="AS354" s="53">
        <v>329330.3</v>
      </c>
      <c r="AT354" s="53">
        <v>331104.0</v>
      </c>
      <c r="AU354" s="53">
        <f t="array" ref="AU354">XLOOKUP(C354,'PL TOTAL D0'!A:A,'PL TOTAL D0'!C:C,"")</f>
        <v>334977.4</v>
      </c>
    </row>
    <row r="355" ht="15.75" customHeight="1">
      <c r="A355" s="6" t="s">
        <v>43</v>
      </c>
      <c r="B355" s="20" t="s">
        <v>1266</v>
      </c>
      <c r="C355" s="21" t="s">
        <v>1267</v>
      </c>
      <c r="D355" s="9" t="s">
        <v>18</v>
      </c>
      <c r="E355" s="24" t="s">
        <v>29</v>
      </c>
      <c r="F355" s="9" t="s">
        <v>60</v>
      </c>
      <c r="G355" s="44" t="str">
        <f t="shared" si="1"/>
        <v>Breno</v>
      </c>
      <c r="H355" s="51" t="s">
        <v>107</v>
      </c>
      <c r="I355" s="51" t="s">
        <v>24</v>
      </c>
      <c r="J355" s="44" t="str">
        <f t="shared" si="6"/>
        <v>Não</v>
      </c>
      <c r="K355" s="57">
        <v>45362.0</v>
      </c>
      <c r="L355" s="45"/>
      <c r="M355" s="24" t="s">
        <v>269</v>
      </c>
      <c r="N355" s="58">
        <v>0.02</v>
      </c>
      <c r="O355" s="9" t="s">
        <v>48</v>
      </c>
      <c r="P355" s="59">
        <v>0.2</v>
      </c>
      <c r="Q355" s="139"/>
      <c r="R355" s="139"/>
      <c r="S355" s="24" t="s">
        <v>108</v>
      </c>
      <c r="T355" s="23" t="s">
        <v>1268</v>
      </c>
      <c r="U355" s="9" t="s">
        <v>34</v>
      </c>
      <c r="V355" s="51" t="str">
        <f t="shared" si="3"/>
        <v>Ativo</v>
      </c>
      <c r="W355" s="45"/>
      <c r="X355" s="52" t="s">
        <v>1269</v>
      </c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3"/>
      <c r="AQ355" s="53">
        <v>302703.59</v>
      </c>
      <c r="AR355" s="53">
        <v>298173.01</v>
      </c>
      <c r="AS355" s="53">
        <v>392202.0</v>
      </c>
      <c r="AT355" s="53">
        <v>394170.3</v>
      </c>
      <c r="AU355" s="53">
        <f t="array" ref="AU355">XLOOKUP(C355,'PL TOTAL D0'!A:A,'PL TOTAL D0'!C:C,"")</f>
        <v>403269.1</v>
      </c>
    </row>
    <row r="356" ht="15.75" customHeight="1">
      <c r="A356" s="41" t="s">
        <v>43</v>
      </c>
      <c r="B356" s="55" t="s">
        <v>1270</v>
      </c>
      <c r="C356" s="43" t="s">
        <v>1271</v>
      </c>
      <c r="D356" s="44" t="s">
        <v>18</v>
      </c>
      <c r="E356" s="45" t="s">
        <v>19</v>
      </c>
      <c r="F356" s="44" t="s">
        <v>256</v>
      </c>
      <c r="G356" s="44" t="str">
        <f t="shared" si="1"/>
        <v>Augusto</v>
      </c>
      <c r="H356" s="51" t="s">
        <v>147</v>
      </c>
      <c r="I356" s="51" t="s">
        <v>219</v>
      </c>
      <c r="J356" s="44" t="str">
        <f t="shared" si="6"/>
        <v>Não</v>
      </c>
      <c r="K356" s="47">
        <v>44950.0</v>
      </c>
      <c r="L356" s="45"/>
      <c r="M356" s="45" t="s">
        <v>55</v>
      </c>
      <c r="N356" s="48">
        <v>0.01</v>
      </c>
      <c r="O356" s="44" t="s">
        <v>24</v>
      </c>
      <c r="P356" s="49">
        <v>0.0</v>
      </c>
      <c r="Q356" s="50"/>
      <c r="R356" s="60" t="s">
        <v>1272</v>
      </c>
      <c r="S356" s="45" t="s">
        <v>108</v>
      </c>
      <c r="T356" s="24" t="s">
        <v>1273</v>
      </c>
      <c r="U356" s="9" t="s">
        <v>19</v>
      </c>
      <c r="V356" s="51" t="str">
        <f t="shared" si="3"/>
        <v>Ativo</v>
      </c>
      <c r="W356" s="45"/>
      <c r="X356" s="52" t="s">
        <v>119</v>
      </c>
      <c r="Y356" s="54"/>
      <c r="Z356" s="54"/>
      <c r="AA356" s="54"/>
      <c r="AB356" s="54"/>
      <c r="AC356" s="54">
        <v>212431.18</v>
      </c>
      <c r="AD356" s="54">
        <v>218921.92</v>
      </c>
      <c r="AE356" s="54">
        <v>221085.4</v>
      </c>
      <c r="AF356" s="54">
        <v>222967.51</v>
      </c>
      <c r="AG356" s="54">
        <v>225285.35</v>
      </c>
      <c r="AH356" s="54">
        <v>226496.4</v>
      </c>
      <c r="AI356" s="54">
        <v>228050.04</v>
      </c>
      <c r="AJ356" s="54">
        <v>75990.57</v>
      </c>
      <c r="AK356" s="54">
        <v>76616.57</v>
      </c>
      <c r="AL356" s="54">
        <v>100.0</v>
      </c>
      <c r="AM356" s="54">
        <v>86.38</v>
      </c>
      <c r="AN356" s="54">
        <v>86.38</v>
      </c>
      <c r="AO356" s="54">
        <v>86.38</v>
      </c>
      <c r="AP356" s="53">
        <v>86.38</v>
      </c>
      <c r="AQ356" s="53">
        <v>86.38</v>
      </c>
      <c r="AR356" s="53">
        <v>86.38</v>
      </c>
      <c r="AS356" s="53">
        <v>86.38</v>
      </c>
      <c r="AT356" s="53">
        <v>86.38</v>
      </c>
      <c r="AU356" s="53">
        <f t="array" ref="AU356">XLOOKUP(C356,'PL TOTAL D0'!A:A,'PL TOTAL D0'!C:C,"")</f>
        <v>86.38</v>
      </c>
    </row>
    <row r="357" ht="15.75" customHeight="1">
      <c r="A357" s="41" t="s">
        <v>43</v>
      </c>
      <c r="B357" s="42" t="s">
        <v>1274</v>
      </c>
      <c r="C357" s="43" t="s">
        <v>1275</v>
      </c>
      <c r="D357" s="44" t="s">
        <v>18</v>
      </c>
      <c r="E357" s="45" t="s">
        <v>176</v>
      </c>
      <c r="F357" s="44" t="s">
        <v>197</v>
      </c>
      <c r="G357" s="44" t="str">
        <f t="shared" si="1"/>
        <v>Augusto</v>
      </c>
      <c r="H357" s="46" t="s">
        <v>107</v>
      </c>
      <c r="I357" s="46" t="s">
        <v>24</v>
      </c>
      <c r="J357" s="44" t="str">
        <f t="shared" si="6"/>
        <v>Não</v>
      </c>
      <c r="K357" s="47">
        <v>45043.0</v>
      </c>
      <c r="L357" s="45"/>
      <c r="M357" s="45" t="s">
        <v>780</v>
      </c>
      <c r="N357" s="48">
        <v>0.02</v>
      </c>
      <c r="O357" s="44" t="s">
        <v>191</v>
      </c>
      <c r="P357" s="49">
        <v>0.2</v>
      </c>
      <c r="Q357" s="60"/>
      <c r="R357" s="139"/>
      <c r="S357" s="45" t="s">
        <v>108</v>
      </c>
      <c r="T357" s="24" t="s">
        <v>1276</v>
      </c>
      <c r="U357" s="9" t="s">
        <v>180</v>
      </c>
      <c r="V357" s="51" t="str">
        <f t="shared" si="3"/>
        <v>Ativo</v>
      </c>
      <c r="W357" s="45"/>
      <c r="X357" s="52" t="s">
        <v>110</v>
      </c>
      <c r="Y357" s="54"/>
      <c r="Z357" s="54"/>
      <c r="AA357" s="54"/>
      <c r="AB357" s="54"/>
      <c r="AC357" s="54">
        <v>0.0</v>
      </c>
      <c r="AD357" s="54">
        <v>0.0</v>
      </c>
      <c r="AE357" s="54">
        <v>0.0</v>
      </c>
      <c r="AF357" s="54">
        <v>16010.84</v>
      </c>
      <c r="AG357" s="54">
        <v>107737.05</v>
      </c>
      <c r="AH357" s="54">
        <v>84997.63</v>
      </c>
      <c r="AI357" s="54">
        <v>83477.75</v>
      </c>
      <c r="AJ357" s="54">
        <v>84810.25</v>
      </c>
      <c r="AK357" s="54">
        <v>87027.22</v>
      </c>
      <c r="AL357" s="54">
        <v>89078.46</v>
      </c>
      <c r="AM357" s="54">
        <v>94239.27</v>
      </c>
      <c r="AN357" s="54">
        <v>97783.65</v>
      </c>
      <c r="AO357" s="54">
        <v>96678.81</v>
      </c>
      <c r="AP357" s="53">
        <v>97510.39</v>
      </c>
      <c r="AQ357" s="53">
        <v>58668.22</v>
      </c>
      <c r="AR357" s="53">
        <v>56642.04</v>
      </c>
      <c r="AS357" s="53">
        <v>55531.87</v>
      </c>
      <c r="AT357" s="53">
        <v>56727.02</v>
      </c>
      <c r="AU357" s="53">
        <f t="array" ref="AU357">XLOOKUP(C357,'PL TOTAL D0'!A:A,'PL TOTAL D0'!C:C,"")</f>
        <v>60280.82</v>
      </c>
    </row>
    <row r="358" ht="15.75" customHeight="1">
      <c r="A358" s="41" t="s">
        <v>43</v>
      </c>
      <c r="B358" s="55" t="s">
        <v>1277</v>
      </c>
      <c r="C358" s="56" t="s">
        <v>1278</v>
      </c>
      <c r="D358" s="9" t="s">
        <v>1279</v>
      </c>
      <c r="E358" s="24" t="s">
        <v>176</v>
      </c>
      <c r="F358" s="9" t="s">
        <v>1280</v>
      </c>
      <c r="G358" s="44" t="str">
        <f t="shared" si="1"/>
        <v>Breno</v>
      </c>
      <c r="H358" s="51" t="s">
        <v>107</v>
      </c>
      <c r="I358" s="51" t="s">
        <v>24</v>
      </c>
      <c r="J358" s="44" t="str">
        <f t="shared" si="6"/>
        <v>Não</v>
      </c>
      <c r="K358" s="57">
        <v>45456.0</v>
      </c>
      <c r="L358" s="45"/>
      <c r="M358" s="24" t="s">
        <v>79</v>
      </c>
      <c r="N358" s="58">
        <v>0.012</v>
      </c>
      <c r="O358" s="9" t="s">
        <v>48</v>
      </c>
      <c r="P358" s="59">
        <v>0.1</v>
      </c>
      <c r="Q358" s="60"/>
      <c r="R358" s="139"/>
      <c r="S358" s="24" t="s">
        <v>108</v>
      </c>
      <c r="T358" s="24" t="s">
        <v>1281</v>
      </c>
      <c r="U358" s="9" t="s">
        <v>34</v>
      </c>
      <c r="V358" s="51" t="str">
        <f t="shared" si="3"/>
        <v>Ativo</v>
      </c>
      <c r="W358" s="24" t="s">
        <v>75</v>
      </c>
      <c r="X358" s="52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3"/>
      <c r="AQ358" s="53"/>
      <c r="AR358" s="53"/>
      <c r="AS358" s="53"/>
      <c r="AT358" s="53">
        <v>402221.5</v>
      </c>
      <c r="AU358" s="53">
        <f t="array" ref="AU358">XLOOKUP(C358,'PL TOTAL D0'!A:A,'PL TOTAL D0'!C:C,"")</f>
        <v>406148.9</v>
      </c>
    </row>
    <row r="359" ht="15.75" customHeight="1">
      <c r="A359" s="41" t="s">
        <v>43</v>
      </c>
      <c r="B359" s="42" t="s">
        <v>1282</v>
      </c>
      <c r="C359" s="43" t="s">
        <v>1283</v>
      </c>
      <c r="D359" s="44" t="s">
        <v>18</v>
      </c>
      <c r="E359" s="45" t="s">
        <v>176</v>
      </c>
      <c r="F359" s="44" t="s">
        <v>197</v>
      </c>
      <c r="G359" s="44" t="str">
        <f t="shared" si="1"/>
        <v>Breno</v>
      </c>
      <c r="H359" s="46" t="s">
        <v>107</v>
      </c>
      <c r="I359" s="46" t="s">
        <v>24</v>
      </c>
      <c r="J359" s="44" t="str">
        <f t="shared" si="6"/>
        <v>Não</v>
      </c>
      <c r="K359" s="47">
        <v>45042.0</v>
      </c>
      <c r="L359" s="45"/>
      <c r="M359" s="45" t="s">
        <v>47</v>
      </c>
      <c r="N359" s="48">
        <v>0.015</v>
      </c>
      <c r="O359" s="44" t="s">
        <v>48</v>
      </c>
      <c r="P359" s="49">
        <v>0.1</v>
      </c>
      <c r="Q359" s="139"/>
      <c r="R359" s="139"/>
      <c r="S359" s="45" t="s">
        <v>108</v>
      </c>
      <c r="T359" s="24" t="s">
        <v>1284</v>
      </c>
      <c r="U359" s="9" t="s">
        <v>180</v>
      </c>
      <c r="V359" s="51" t="str">
        <f t="shared" si="3"/>
        <v>Ativo</v>
      </c>
      <c r="W359" s="45"/>
      <c r="X359" s="52" t="s">
        <v>110</v>
      </c>
      <c r="Y359" s="54"/>
      <c r="Z359" s="54"/>
      <c r="AA359" s="54"/>
      <c r="AB359" s="54"/>
      <c r="AC359" s="54">
        <v>0.0</v>
      </c>
      <c r="AD359" s="54">
        <v>0.0</v>
      </c>
      <c r="AE359" s="54">
        <v>0.0</v>
      </c>
      <c r="AF359" s="54">
        <v>423185.18</v>
      </c>
      <c r="AG359" s="54">
        <v>433492.38</v>
      </c>
      <c r="AH359" s="54">
        <v>450372.33</v>
      </c>
      <c r="AI359" s="54">
        <v>453576.53</v>
      </c>
      <c r="AJ359" s="54">
        <v>488861.8</v>
      </c>
      <c r="AK359" s="54">
        <v>491793.38</v>
      </c>
      <c r="AL359" s="54">
        <v>492271.0</v>
      </c>
      <c r="AM359" s="54">
        <v>502707.52</v>
      </c>
      <c r="AN359" s="54">
        <v>512479.56</v>
      </c>
      <c r="AO359" s="54">
        <v>504882.8</v>
      </c>
      <c r="AP359" s="53">
        <v>504794.79</v>
      </c>
      <c r="AQ359" s="53">
        <v>510606.55</v>
      </c>
      <c r="AR359" s="53">
        <v>505960.57</v>
      </c>
      <c r="AS359" s="53">
        <v>503778.5</v>
      </c>
      <c r="AT359" s="53">
        <v>506702.6</v>
      </c>
      <c r="AU359" s="53">
        <f t="array" ref="AU359">XLOOKUP(C359,'PL TOTAL D0'!A:A,'PL TOTAL D0'!C:C,"")</f>
        <v>514289.9</v>
      </c>
    </row>
    <row r="360" ht="15.75" customHeight="1">
      <c r="A360" s="41" t="s">
        <v>43</v>
      </c>
      <c r="B360" s="42" t="s">
        <v>1285</v>
      </c>
      <c r="C360" s="43" t="s">
        <v>1286</v>
      </c>
      <c r="D360" s="44" t="s">
        <v>18</v>
      </c>
      <c r="E360" s="45" t="s">
        <v>29</v>
      </c>
      <c r="F360" s="44" t="s">
        <v>294</v>
      </c>
      <c r="G360" s="44" t="str">
        <f t="shared" si="1"/>
        <v>Augusto</v>
      </c>
      <c r="H360" s="51" t="s">
        <v>147</v>
      </c>
      <c r="I360" s="51" t="s">
        <v>219</v>
      </c>
      <c r="J360" s="44" t="str">
        <f t="shared" si="6"/>
        <v>Não</v>
      </c>
      <c r="K360" s="47">
        <v>44959.0</v>
      </c>
      <c r="L360" s="45"/>
      <c r="M360" s="45" t="s">
        <v>129</v>
      </c>
      <c r="N360" s="48">
        <v>0.0</v>
      </c>
      <c r="O360" s="44" t="s">
        <v>24</v>
      </c>
      <c r="P360" s="49">
        <v>0.0</v>
      </c>
      <c r="Q360" s="97"/>
      <c r="R360" s="60" t="s">
        <v>1287</v>
      </c>
      <c r="S360" s="45" t="s">
        <v>108</v>
      </c>
      <c r="T360" s="24" t="s">
        <v>1288</v>
      </c>
      <c r="U360" s="9" t="s">
        <v>29</v>
      </c>
      <c r="V360" s="51" t="str">
        <f t="shared" si="3"/>
        <v>Ativo</v>
      </c>
      <c r="W360" s="45"/>
      <c r="X360" s="52" t="s">
        <v>119</v>
      </c>
      <c r="Y360" s="54"/>
      <c r="Z360" s="54"/>
      <c r="AA360" s="54"/>
      <c r="AB360" s="54"/>
      <c r="AC360" s="54">
        <v>0.0</v>
      </c>
      <c r="AD360" s="54">
        <v>1060.5</v>
      </c>
      <c r="AE360" s="54">
        <v>1594.06</v>
      </c>
      <c r="AF360" s="54">
        <v>2130.62</v>
      </c>
      <c r="AG360" s="54">
        <v>2151.04</v>
      </c>
      <c r="AH360" s="54">
        <v>3226.35</v>
      </c>
      <c r="AI360" s="54">
        <v>3764.58</v>
      </c>
      <c r="AJ360" s="54">
        <v>4321.99</v>
      </c>
      <c r="AK360" s="54">
        <v>4880.82</v>
      </c>
      <c r="AL360" s="54">
        <v>5969.88</v>
      </c>
      <c r="AM360" s="54">
        <v>0.0</v>
      </c>
      <c r="AN360" s="54">
        <v>0.0</v>
      </c>
      <c r="AO360" s="54">
        <v>0.0</v>
      </c>
      <c r="AP360" s="53">
        <v>0.15</v>
      </c>
      <c r="AQ360" s="53">
        <v>0.15</v>
      </c>
      <c r="AR360" s="53">
        <v>0.15</v>
      </c>
      <c r="AS360" s="53">
        <v>0.15</v>
      </c>
      <c r="AT360" s="53">
        <v>0.15</v>
      </c>
      <c r="AU360" s="53">
        <f t="array" ref="AU360">XLOOKUP(C360,'PL TOTAL D0'!A:A,'PL TOTAL D0'!C:C,"")</f>
        <v>0.15</v>
      </c>
    </row>
    <row r="361" ht="15.75" customHeight="1">
      <c r="A361" s="41" t="s">
        <v>43</v>
      </c>
      <c r="B361" s="42" t="s">
        <v>1289</v>
      </c>
      <c r="C361" s="43" t="s">
        <v>1290</v>
      </c>
      <c r="D361" s="44" t="s">
        <v>18</v>
      </c>
      <c r="E361" s="45" t="s">
        <v>19</v>
      </c>
      <c r="F361" s="44" t="s">
        <v>122</v>
      </c>
      <c r="G361" s="44" t="str">
        <f t="shared" si="1"/>
        <v>Augusto</v>
      </c>
      <c r="H361" s="46" t="s">
        <v>107</v>
      </c>
      <c r="I361" s="46" t="s">
        <v>24</v>
      </c>
      <c r="J361" s="44" t="str">
        <f t="shared" si="6"/>
        <v>Não</v>
      </c>
      <c r="K361" s="47">
        <v>44946.0</v>
      </c>
      <c r="L361" s="45"/>
      <c r="M361" s="45" t="s">
        <v>47</v>
      </c>
      <c r="N361" s="48">
        <v>0.015</v>
      </c>
      <c r="O361" s="44" t="s">
        <v>48</v>
      </c>
      <c r="P361" s="49">
        <v>0.1</v>
      </c>
      <c r="Q361" s="139"/>
      <c r="R361" s="194"/>
      <c r="S361" s="45" t="s">
        <v>108</v>
      </c>
      <c r="T361" s="24" t="s">
        <v>1291</v>
      </c>
      <c r="U361" s="9" t="s">
        <v>19</v>
      </c>
      <c r="V361" s="51" t="str">
        <f t="shared" si="3"/>
        <v>Ativo</v>
      </c>
      <c r="W361" s="45"/>
      <c r="X361" s="52" t="s">
        <v>119</v>
      </c>
      <c r="Y361" s="54"/>
      <c r="Z361" s="54"/>
      <c r="AA361" s="54"/>
      <c r="AB361" s="54"/>
      <c r="AC361" s="54">
        <v>108265.42</v>
      </c>
      <c r="AD361" s="54">
        <v>124741.99</v>
      </c>
      <c r="AE361" s="54">
        <v>140217.14</v>
      </c>
      <c r="AF361" s="54">
        <v>144114.28</v>
      </c>
      <c r="AG361" s="54">
        <v>148461.24</v>
      </c>
      <c r="AH361" s="54">
        <v>153522.02</v>
      </c>
      <c r="AI361" s="54">
        <v>157547.3</v>
      </c>
      <c r="AJ361" s="54">
        <v>166402.01</v>
      </c>
      <c r="AK361" s="54">
        <v>168811.3</v>
      </c>
      <c r="AL361" s="54">
        <v>164502.06</v>
      </c>
      <c r="AM361" s="54">
        <v>203285.42</v>
      </c>
      <c r="AN361" s="54">
        <v>206882.78</v>
      </c>
      <c r="AO361" s="54">
        <v>204753.59</v>
      </c>
      <c r="AP361" s="53">
        <v>201508.77</v>
      </c>
      <c r="AQ361" s="53">
        <v>204538.43</v>
      </c>
      <c r="AR361" s="53">
        <v>204516.88</v>
      </c>
      <c r="AS361" s="53">
        <v>205847.2</v>
      </c>
      <c r="AT361" s="53">
        <v>208329.5</v>
      </c>
      <c r="AU361" s="53">
        <f t="array" ref="AU361">XLOOKUP(C361,'PL TOTAL D0'!A:A,'PL TOTAL D0'!C:C,"")</f>
        <v>219763.4</v>
      </c>
    </row>
    <row r="362" ht="15.75" customHeight="1">
      <c r="A362" s="41" t="s">
        <v>43</v>
      </c>
      <c r="B362" s="61" t="s">
        <v>1292</v>
      </c>
      <c r="C362" s="43" t="s">
        <v>1293</v>
      </c>
      <c r="D362" s="44" t="s">
        <v>18</v>
      </c>
      <c r="E362" s="45" t="s">
        <v>29</v>
      </c>
      <c r="F362" s="44" t="s">
        <v>294</v>
      </c>
      <c r="G362" s="44" t="str">
        <f t="shared" si="1"/>
        <v>Augusto</v>
      </c>
      <c r="H362" s="46" t="s">
        <v>147</v>
      </c>
      <c r="I362" s="46" t="s">
        <v>219</v>
      </c>
      <c r="J362" s="44" t="str">
        <f t="shared" si="6"/>
        <v>Não</v>
      </c>
      <c r="K362" s="47">
        <v>45020.0</v>
      </c>
      <c r="L362" s="45"/>
      <c r="M362" s="45" t="s">
        <v>55</v>
      </c>
      <c r="N362" s="48">
        <v>0.012</v>
      </c>
      <c r="O362" s="44" t="s">
        <v>24</v>
      </c>
      <c r="P362" s="49">
        <v>0.0</v>
      </c>
      <c r="Q362" s="139"/>
      <c r="R362" s="195" t="s">
        <v>1294</v>
      </c>
      <c r="S362" s="45" t="s">
        <v>108</v>
      </c>
      <c r="T362" s="24" t="s">
        <v>1295</v>
      </c>
      <c r="U362" s="9" t="s">
        <v>29</v>
      </c>
      <c r="V362" s="51" t="str">
        <f t="shared" si="3"/>
        <v>Ativo</v>
      </c>
      <c r="W362" s="45"/>
      <c r="X362" s="52" t="s">
        <v>119</v>
      </c>
      <c r="Y362" s="54"/>
      <c r="Z362" s="54"/>
      <c r="AA362" s="54"/>
      <c r="AB362" s="54"/>
      <c r="AC362" s="54"/>
      <c r="AD362" s="54"/>
      <c r="AE362" s="54">
        <v>4290.59</v>
      </c>
      <c r="AF362" s="54">
        <v>4346.31</v>
      </c>
      <c r="AG362" s="54">
        <v>4384.53</v>
      </c>
      <c r="AH362" s="54">
        <v>4422.04</v>
      </c>
      <c r="AI362" s="54">
        <v>4473.34</v>
      </c>
      <c r="AJ362" s="54">
        <v>5.55</v>
      </c>
      <c r="AK362" s="54">
        <v>5.55</v>
      </c>
      <c r="AL362" s="54">
        <v>5.55</v>
      </c>
      <c r="AM362" s="54">
        <v>5.55</v>
      </c>
      <c r="AN362" s="54">
        <v>5.55</v>
      </c>
      <c r="AO362" s="54">
        <v>5.55</v>
      </c>
      <c r="AP362" s="53">
        <v>5.55</v>
      </c>
      <c r="AQ362" s="53">
        <v>5.55</v>
      </c>
      <c r="AR362" s="53">
        <v>5.55</v>
      </c>
      <c r="AS362" s="53">
        <v>5.55</v>
      </c>
      <c r="AT362" s="53">
        <v>5.55</v>
      </c>
      <c r="AU362" s="53">
        <f t="array" ref="AU362">XLOOKUP(C362,'PL TOTAL D0'!A:A,'PL TOTAL D0'!C:C,"")</f>
        <v>5.55</v>
      </c>
    </row>
    <row r="363" ht="15.75" customHeight="1">
      <c r="A363" s="41" t="s">
        <v>43</v>
      </c>
      <c r="B363" s="64" t="s">
        <v>1296</v>
      </c>
      <c r="C363" s="65" t="s">
        <v>1297</v>
      </c>
      <c r="D363" s="9" t="s">
        <v>18</v>
      </c>
      <c r="E363" s="24" t="s">
        <v>19</v>
      </c>
      <c r="F363" s="9" t="s">
        <v>122</v>
      </c>
      <c r="G363" s="44" t="str">
        <f t="shared" si="1"/>
        <v>#N/A</v>
      </c>
      <c r="H363" s="51" t="s">
        <v>123</v>
      </c>
      <c r="I363" s="51" t="s">
        <v>219</v>
      </c>
      <c r="J363" s="44" t="str">
        <f t="shared" si="6"/>
        <v>Não</v>
      </c>
      <c r="K363" s="57">
        <v>45426.0</v>
      </c>
      <c r="L363" s="45"/>
      <c r="M363" s="24" t="s">
        <v>55</v>
      </c>
      <c r="N363" s="58">
        <v>0.012</v>
      </c>
      <c r="O363" s="9" t="s">
        <v>24</v>
      </c>
      <c r="P363" s="59">
        <v>0.0</v>
      </c>
      <c r="Q363" s="139"/>
      <c r="R363" s="195"/>
      <c r="S363" s="24" t="s">
        <v>108</v>
      </c>
      <c r="T363" s="5" t="s">
        <v>1298</v>
      </c>
      <c r="U363" s="9" t="s">
        <v>19</v>
      </c>
      <c r="V363" s="51" t="str">
        <f t="shared" si="3"/>
        <v>Ativo</v>
      </c>
      <c r="W363" s="24" t="s">
        <v>75</v>
      </c>
      <c r="X363" s="52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3"/>
      <c r="AQ363" s="53"/>
      <c r="AR363" s="53"/>
      <c r="AS363" s="53">
        <v>0.0</v>
      </c>
      <c r="AT363" s="53">
        <v>0.0</v>
      </c>
      <c r="AU363" s="53" t="str">
        <f t="array" ref="AU363">XLOOKUP(C363,'PL TOTAL D0'!A:A,'PL TOTAL D0'!C:C,"")</f>
        <v/>
      </c>
    </row>
    <row r="364" ht="15.75" customHeight="1">
      <c r="A364" s="41" t="s">
        <v>43</v>
      </c>
      <c r="B364" s="42" t="s">
        <v>1299</v>
      </c>
      <c r="C364" s="43" t="s">
        <v>1300</v>
      </c>
      <c r="D364" s="9" t="s">
        <v>18</v>
      </c>
      <c r="E364" s="45" t="s">
        <v>29</v>
      </c>
      <c r="F364" s="9" t="s">
        <v>106</v>
      </c>
      <c r="G364" s="44" t="str">
        <f t="shared" si="1"/>
        <v>Breno</v>
      </c>
      <c r="H364" s="46" t="s">
        <v>107</v>
      </c>
      <c r="I364" s="46" t="s">
        <v>24</v>
      </c>
      <c r="J364" s="44" t="str">
        <f t="shared" si="6"/>
        <v>Não</v>
      </c>
      <c r="K364" s="47">
        <v>44998.0</v>
      </c>
      <c r="L364" s="45"/>
      <c r="M364" s="45" t="s">
        <v>269</v>
      </c>
      <c r="N364" s="48">
        <v>0.02</v>
      </c>
      <c r="O364" s="44" t="s">
        <v>48</v>
      </c>
      <c r="P364" s="49">
        <v>0.2</v>
      </c>
      <c r="Q364" s="139"/>
      <c r="R364" s="139"/>
      <c r="S364" s="45" t="s">
        <v>108</v>
      </c>
      <c r="T364" s="24" t="s">
        <v>1301</v>
      </c>
      <c r="U364" s="9" t="s">
        <v>29</v>
      </c>
      <c r="V364" s="51" t="str">
        <f t="shared" si="3"/>
        <v>Ativo</v>
      </c>
      <c r="W364" s="45"/>
      <c r="X364" s="52" t="s">
        <v>1269</v>
      </c>
      <c r="Y364" s="54"/>
      <c r="Z364" s="54"/>
      <c r="AA364" s="54"/>
      <c r="AB364" s="54"/>
      <c r="AC364" s="54">
        <v>0.0</v>
      </c>
      <c r="AD364" s="54">
        <v>0.0</v>
      </c>
      <c r="AE364" s="54">
        <v>155653.14</v>
      </c>
      <c r="AF364" s="54">
        <v>793813.54</v>
      </c>
      <c r="AG364" s="54">
        <v>804596.25</v>
      </c>
      <c r="AH364" s="54">
        <v>870034.71</v>
      </c>
      <c r="AI364" s="54">
        <v>888211.88</v>
      </c>
      <c r="AJ364" s="54">
        <v>866431.26</v>
      </c>
      <c r="AK364" s="54">
        <v>866906.14</v>
      </c>
      <c r="AL364" s="54">
        <v>856971.53</v>
      </c>
      <c r="AM364" s="54">
        <v>884834.02</v>
      </c>
      <c r="AN364" s="54">
        <v>907780.95</v>
      </c>
      <c r="AO364" s="54">
        <v>885576.29</v>
      </c>
      <c r="AP364" s="53">
        <v>894205.06</v>
      </c>
      <c r="AQ364" s="53">
        <v>904444.35</v>
      </c>
      <c r="AR364" s="53">
        <v>887189.53</v>
      </c>
      <c r="AS364" s="53">
        <v>877497.5</v>
      </c>
      <c r="AT364" s="53">
        <v>880240.9</v>
      </c>
      <c r="AU364" s="53">
        <f t="array" ref="AU364">XLOOKUP(C364,'PL TOTAL D0'!A:A,'PL TOTAL D0'!C:C,"")</f>
        <v>900286.6</v>
      </c>
    </row>
    <row r="365" ht="15.75" customHeight="1">
      <c r="A365" s="41" t="s">
        <v>43</v>
      </c>
      <c r="B365" s="97" t="s">
        <v>1302</v>
      </c>
      <c r="C365" s="98" t="s">
        <v>1303</v>
      </c>
      <c r="D365" s="44" t="s">
        <v>18</v>
      </c>
      <c r="E365" s="45" t="s">
        <v>176</v>
      </c>
      <c r="F365" s="44" t="s">
        <v>197</v>
      </c>
      <c r="G365" s="44" t="str">
        <f t="shared" si="1"/>
        <v>Augusto</v>
      </c>
      <c r="H365" s="51" t="s">
        <v>107</v>
      </c>
      <c r="I365" s="51" t="s">
        <v>24</v>
      </c>
      <c r="J365" s="44" t="str">
        <f t="shared" si="6"/>
        <v>Não</v>
      </c>
      <c r="K365" s="47">
        <v>45230.0</v>
      </c>
      <c r="L365" s="45"/>
      <c r="M365" s="45" t="s">
        <v>79</v>
      </c>
      <c r="N365" s="48">
        <v>0.012</v>
      </c>
      <c r="O365" s="44" t="s">
        <v>48</v>
      </c>
      <c r="P365" s="49">
        <v>0.1</v>
      </c>
      <c r="Q365" s="139"/>
      <c r="R365" s="139"/>
      <c r="S365" s="45" t="s">
        <v>108</v>
      </c>
      <c r="T365" s="24" t="s">
        <v>1304</v>
      </c>
      <c r="U365" s="9" t="s">
        <v>180</v>
      </c>
      <c r="V365" s="51" t="str">
        <f t="shared" si="3"/>
        <v>Ativo</v>
      </c>
      <c r="W365" s="45"/>
      <c r="X365" s="52" t="s">
        <v>110</v>
      </c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>
        <v>0.0</v>
      </c>
      <c r="AM365" s="54">
        <v>0.0</v>
      </c>
      <c r="AN365" s="54">
        <v>0.0</v>
      </c>
      <c r="AO365" s="54">
        <v>100558.71</v>
      </c>
      <c r="AP365" s="53">
        <v>101436.11</v>
      </c>
      <c r="AQ365" s="53">
        <v>102329.32</v>
      </c>
      <c r="AR365" s="53">
        <v>102208.11</v>
      </c>
      <c r="AS365" s="53">
        <v>102489.2</v>
      </c>
      <c r="AT365" s="53">
        <v>102914.9</v>
      </c>
      <c r="AU365" s="53">
        <f t="array" ref="AU365">XLOOKUP(C365,'PL TOTAL D0'!A:A,'PL TOTAL D0'!C:C,"")</f>
        <v>103939.4</v>
      </c>
    </row>
    <row r="366" ht="15.75" customHeight="1">
      <c r="A366" s="41" t="s">
        <v>43</v>
      </c>
      <c r="B366" s="196" t="s">
        <v>1305</v>
      </c>
      <c r="C366" s="197" t="s">
        <v>1306</v>
      </c>
      <c r="D366" s="44" t="s">
        <v>18</v>
      </c>
      <c r="E366" s="45" t="s">
        <v>19</v>
      </c>
      <c r="F366" s="44" t="s">
        <v>20</v>
      </c>
      <c r="G366" s="44" t="str">
        <f t="shared" si="1"/>
        <v>#N/A</v>
      </c>
      <c r="H366" s="46" t="s">
        <v>147</v>
      </c>
      <c r="I366" s="46" t="s">
        <v>161</v>
      </c>
      <c r="J366" s="44" t="str">
        <f t="shared" si="6"/>
        <v>Não</v>
      </c>
      <c r="K366" s="47">
        <v>45166.0</v>
      </c>
      <c r="L366" s="62"/>
      <c r="M366" s="45" t="s">
        <v>55</v>
      </c>
      <c r="N366" s="48">
        <v>0.012</v>
      </c>
      <c r="O366" s="44" t="s">
        <v>24</v>
      </c>
      <c r="P366" s="49">
        <v>0.0</v>
      </c>
      <c r="Q366" s="139"/>
      <c r="R366" s="139"/>
      <c r="S366" s="45" t="s">
        <v>108</v>
      </c>
      <c r="T366" s="24" t="s">
        <v>1307</v>
      </c>
      <c r="U366" s="9" t="s">
        <v>19</v>
      </c>
      <c r="V366" s="51" t="str">
        <f t="shared" si="3"/>
        <v>Ativo</v>
      </c>
      <c r="W366" s="45"/>
      <c r="X366" s="52" t="s">
        <v>119</v>
      </c>
      <c r="Y366" s="54"/>
      <c r="Z366" s="54"/>
      <c r="AA366" s="54"/>
      <c r="AB366" s="54"/>
      <c r="AC366" s="54"/>
      <c r="AD366" s="54"/>
      <c r="AE366" s="54"/>
      <c r="AF366" s="54">
        <v>0.0</v>
      </c>
      <c r="AG366" s="54">
        <v>0.0</v>
      </c>
      <c r="AH366" s="54">
        <v>0.0</v>
      </c>
      <c r="AI366" s="54">
        <v>0.0</v>
      </c>
      <c r="AJ366" s="54">
        <v>0.0</v>
      </c>
      <c r="AK366" s="54">
        <v>0.0</v>
      </c>
      <c r="AL366" s="54">
        <v>0.0</v>
      </c>
      <c r="AM366" s="54">
        <v>0.0</v>
      </c>
      <c r="AN366" s="54">
        <v>0.0</v>
      </c>
      <c r="AO366" s="54">
        <v>0.0</v>
      </c>
      <c r="AP366" s="53">
        <v>0.0</v>
      </c>
      <c r="AQ366" s="53">
        <v>0.0</v>
      </c>
      <c r="AR366" s="53">
        <v>0.0</v>
      </c>
      <c r="AS366" s="53">
        <v>0.0</v>
      </c>
      <c r="AT366" s="53">
        <v>0.0</v>
      </c>
      <c r="AU366" s="53" t="str">
        <f t="array" ref="AU366">XLOOKUP(C366,'PL TOTAL D0'!A:A,'PL TOTAL D0'!C:C,"")</f>
        <v/>
      </c>
    </row>
    <row r="367" ht="15.75" customHeight="1">
      <c r="A367" s="41" t="s">
        <v>43</v>
      </c>
      <c r="B367" s="55" t="s">
        <v>1308</v>
      </c>
      <c r="C367" s="101" t="s">
        <v>1309</v>
      </c>
      <c r="D367" s="9" t="s">
        <v>52</v>
      </c>
      <c r="E367" s="24" t="s">
        <v>19</v>
      </c>
      <c r="F367" s="9" t="s">
        <v>53</v>
      </c>
      <c r="G367" s="44" t="str">
        <f t="shared" si="1"/>
        <v>Breno</v>
      </c>
      <c r="H367" s="51" t="s">
        <v>123</v>
      </c>
      <c r="I367" s="51" t="s">
        <v>24</v>
      </c>
      <c r="J367" s="44" t="str">
        <f t="shared" si="6"/>
        <v>Não</v>
      </c>
      <c r="K367" s="57">
        <v>45475.0</v>
      </c>
      <c r="L367" s="62"/>
      <c r="M367" s="24" t="s">
        <v>55</v>
      </c>
      <c r="N367" s="58">
        <v>0.012</v>
      </c>
      <c r="O367" s="9" t="s">
        <v>24</v>
      </c>
      <c r="P367" s="59">
        <v>0.0</v>
      </c>
      <c r="Q367" s="139"/>
      <c r="R367" s="139"/>
      <c r="S367" s="24" t="s">
        <v>108</v>
      </c>
      <c r="T367" s="24" t="s">
        <v>1310</v>
      </c>
      <c r="U367" s="9" t="s">
        <v>19</v>
      </c>
      <c r="V367" s="51" t="str">
        <f t="shared" si="3"/>
        <v>Ativo</v>
      </c>
      <c r="W367" s="24" t="s">
        <v>75</v>
      </c>
      <c r="X367" s="52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3"/>
      <c r="AQ367" s="53"/>
      <c r="AR367" s="53"/>
      <c r="AS367" s="53"/>
      <c r="AT367" s="53"/>
      <c r="AU367" s="53">
        <f t="array" ref="AU367">XLOOKUP(C367,'PL TOTAL D0'!A:A,'PL TOTAL D0'!C:C,"")</f>
        <v>421909.6</v>
      </c>
    </row>
    <row r="368" ht="15.75" customHeight="1">
      <c r="A368" s="41" t="s">
        <v>43</v>
      </c>
      <c r="B368" s="42" t="s">
        <v>1311</v>
      </c>
      <c r="C368" s="43" t="s">
        <v>1312</v>
      </c>
      <c r="D368" s="44" t="s">
        <v>18</v>
      </c>
      <c r="E368" s="45" t="s">
        <v>29</v>
      </c>
      <c r="F368" s="44" t="s">
        <v>60</v>
      </c>
      <c r="G368" s="44" t="str">
        <f t="shared" si="1"/>
        <v>Breno</v>
      </c>
      <c r="H368" s="51" t="s">
        <v>147</v>
      </c>
      <c r="I368" s="51" t="s">
        <v>693</v>
      </c>
      <c r="J368" s="44" t="str">
        <f t="shared" si="6"/>
        <v>Não</v>
      </c>
      <c r="K368" s="47">
        <v>45254.0</v>
      </c>
      <c r="L368" s="62"/>
      <c r="M368" s="45" t="s">
        <v>79</v>
      </c>
      <c r="N368" s="48">
        <v>0.012</v>
      </c>
      <c r="O368" s="44" t="s">
        <v>24</v>
      </c>
      <c r="P368" s="49">
        <v>0.1</v>
      </c>
      <c r="Q368" s="139"/>
      <c r="R368" s="139"/>
      <c r="S368" s="45" t="s">
        <v>108</v>
      </c>
      <c r="T368" s="24" t="s">
        <v>1313</v>
      </c>
      <c r="U368" s="9" t="s">
        <v>29</v>
      </c>
      <c r="V368" s="51" t="str">
        <f t="shared" si="3"/>
        <v>Ativo</v>
      </c>
      <c r="W368" s="45"/>
      <c r="X368" s="52" t="s">
        <v>119</v>
      </c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>
        <v>630538.56</v>
      </c>
      <c r="AN368" s="54">
        <v>639097.07</v>
      </c>
      <c r="AO368" s="54">
        <v>1001615.77</v>
      </c>
      <c r="AP368" s="53">
        <v>1010202.22</v>
      </c>
      <c r="AQ368" s="53">
        <v>1426979.35</v>
      </c>
      <c r="AR368" s="53">
        <v>1127841.4</v>
      </c>
      <c r="AS368" s="53">
        <v>512885.9</v>
      </c>
      <c r="AT368" s="53">
        <v>484980.4</v>
      </c>
      <c r="AU368" s="53">
        <f t="array" ref="AU368">XLOOKUP(C368,'PL TOTAL D0'!A:A,'PL TOTAL D0'!C:C,"")</f>
        <v>492665</v>
      </c>
    </row>
    <row r="369" ht="15.75" customHeight="1">
      <c r="A369" s="41" t="s">
        <v>43</v>
      </c>
      <c r="B369" s="42" t="s">
        <v>1311</v>
      </c>
      <c r="C369" s="198" t="s">
        <v>1314</v>
      </c>
      <c r="D369" s="44" t="s">
        <v>18</v>
      </c>
      <c r="E369" s="45" t="s">
        <v>29</v>
      </c>
      <c r="F369" s="44" t="s">
        <v>60</v>
      </c>
      <c r="G369" s="44" t="str">
        <f t="shared" si="1"/>
        <v>Augusto</v>
      </c>
      <c r="H369" s="51" t="s">
        <v>147</v>
      </c>
      <c r="I369" s="51" t="s">
        <v>693</v>
      </c>
      <c r="J369" s="44" t="str">
        <f t="shared" si="6"/>
        <v>Não</v>
      </c>
      <c r="K369" s="47">
        <v>45255.0</v>
      </c>
      <c r="L369" s="62"/>
      <c r="M369" s="45" t="s">
        <v>79</v>
      </c>
      <c r="N369" s="48">
        <v>0.012</v>
      </c>
      <c r="O369" s="44" t="s">
        <v>24</v>
      </c>
      <c r="P369" s="49">
        <v>0.1</v>
      </c>
      <c r="Q369" s="139"/>
      <c r="R369" s="139"/>
      <c r="S369" s="45" t="s">
        <v>108</v>
      </c>
      <c r="T369" s="24" t="s">
        <v>1313</v>
      </c>
      <c r="U369" s="9" t="s">
        <v>29</v>
      </c>
      <c r="V369" s="51" t="str">
        <f t="shared" si="3"/>
        <v>Ativo</v>
      </c>
      <c r="W369" s="45"/>
      <c r="X369" s="52" t="s">
        <v>119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3">
        <v>765438.48</v>
      </c>
      <c r="AQ369" s="53">
        <v>773226.21</v>
      </c>
      <c r="AR369" s="53">
        <v>204111.84</v>
      </c>
      <c r="AS369" s="53">
        <v>142761.6</v>
      </c>
      <c r="AT369" s="53">
        <v>143713.6</v>
      </c>
      <c r="AU369" s="53">
        <f t="array" ref="AU369">XLOOKUP(C369,'PL TOTAL D0'!A:A,'PL TOTAL D0'!C:C,"")</f>
        <v>144181.6</v>
      </c>
    </row>
    <row r="370" ht="15.75" customHeight="1">
      <c r="A370" s="41" t="s">
        <v>43</v>
      </c>
      <c r="B370" s="64" t="s">
        <v>1315</v>
      </c>
      <c r="C370" s="65" t="s">
        <v>1316</v>
      </c>
      <c r="D370" s="44" t="s">
        <v>18</v>
      </c>
      <c r="E370" s="45" t="s">
        <v>29</v>
      </c>
      <c r="F370" s="44" t="s">
        <v>60</v>
      </c>
      <c r="G370" s="44" t="str">
        <f t="shared" si="1"/>
        <v>Breno</v>
      </c>
      <c r="H370" s="51" t="s">
        <v>107</v>
      </c>
      <c r="I370" s="51" t="s">
        <v>24</v>
      </c>
      <c r="J370" s="44" t="str">
        <f t="shared" si="6"/>
        <v>Sim</v>
      </c>
      <c r="K370" s="57">
        <v>45422.0</v>
      </c>
      <c r="L370" s="62"/>
      <c r="M370" s="24" t="s">
        <v>79</v>
      </c>
      <c r="N370" s="58">
        <v>0.012</v>
      </c>
      <c r="O370" s="9" t="s">
        <v>48</v>
      </c>
      <c r="P370" s="59">
        <v>0.1</v>
      </c>
      <c r="Q370" s="184" t="s">
        <v>1317</v>
      </c>
      <c r="R370" s="139"/>
      <c r="S370" s="24" t="s">
        <v>108</v>
      </c>
      <c r="T370" s="24" t="s">
        <v>1313</v>
      </c>
      <c r="U370" s="9" t="s">
        <v>29</v>
      </c>
      <c r="V370" s="51" t="str">
        <f t="shared" si="3"/>
        <v>Ativo</v>
      </c>
      <c r="W370" s="24" t="s">
        <v>67</v>
      </c>
      <c r="X370" s="52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/>
      <c r="AQ370" s="53"/>
      <c r="AR370" s="53"/>
      <c r="AS370" s="53">
        <v>956719.2</v>
      </c>
      <c r="AT370" s="53">
        <v>993068.2</v>
      </c>
      <c r="AU370" s="53">
        <f t="array" ref="AU370">XLOOKUP(C370,'PL TOTAL D0'!A:A,'PL TOTAL D0'!C:C,"")</f>
        <v>999326.8</v>
      </c>
    </row>
    <row r="371" ht="15.75" customHeight="1">
      <c r="A371" s="41" t="s">
        <v>43</v>
      </c>
      <c r="B371" s="61" t="s">
        <v>1318</v>
      </c>
      <c r="C371" s="43" t="s">
        <v>1319</v>
      </c>
      <c r="D371" s="44" t="s">
        <v>18</v>
      </c>
      <c r="E371" s="45" t="s">
        <v>29</v>
      </c>
      <c r="F371" s="45" t="s">
        <v>168</v>
      </c>
      <c r="G371" s="44" t="str">
        <f t="shared" si="1"/>
        <v>Augusto</v>
      </c>
      <c r="H371" s="46" t="s">
        <v>107</v>
      </c>
      <c r="I371" s="46" t="s">
        <v>24</v>
      </c>
      <c r="J371" s="44" t="str">
        <f t="shared" si="6"/>
        <v>Sim</v>
      </c>
      <c r="K371" s="62">
        <v>44994.0</v>
      </c>
      <c r="L371" s="45"/>
      <c r="M371" s="45" t="s">
        <v>55</v>
      </c>
      <c r="N371" s="48">
        <v>0.012</v>
      </c>
      <c r="O371" s="44" t="s">
        <v>24</v>
      </c>
      <c r="P371" s="49">
        <v>0.0</v>
      </c>
      <c r="Q371" s="60" t="s">
        <v>1320</v>
      </c>
      <c r="R371" s="122"/>
      <c r="S371" s="45" t="s">
        <v>108</v>
      </c>
      <c r="T371" s="24" t="s">
        <v>1321</v>
      </c>
      <c r="U371" s="24" t="s">
        <v>224</v>
      </c>
      <c r="V371" s="51" t="str">
        <f t="shared" si="3"/>
        <v>Ativo</v>
      </c>
      <c r="W371" s="45"/>
      <c r="X371" s="24" t="s">
        <v>119</v>
      </c>
      <c r="Y371" s="45"/>
      <c r="Z371" s="45"/>
      <c r="AA371" s="45"/>
      <c r="AB371" s="45"/>
      <c r="AC371" s="45"/>
      <c r="AD371" s="45"/>
      <c r="AE371" s="54">
        <v>215098.7</v>
      </c>
      <c r="AF371" s="54">
        <v>216876.15</v>
      </c>
      <c r="AG371" s="54">
        <v>299873.01</v>
      </c>
      <c r="AH371" s="54">
        <v>302577.74</v>
      </c>
      <c r="AI371" s="54">
        <v>304671.28</v>
      </c>
      <c r="AJ371" s="54">
        <v>307519.42</v>
      </c>
      <c r="AK371" s="54">
        <v>309326.29</v>
      </c>
      <c r="AL371" s="54">
        <v>312072.35</v>
      </c>
      <c r="AM371" s="54">
        <v>314391.69</v>
      </c>
      <c r="AN371" s="54">
        <v>316725.61</v>
      </c>
      <c r="AO371" s="54">
        <v>309359.8</v>
      </c>
      <c r="AP371" s="53">
        <v>310418.82</v>
      </c>
      <c r="AQ371" s="53">
        <v>313290.9</v>
      </c>
      <c r="AR371" s="53">
        <v>315659.78</v>
      </c>
      <c r="AS371" s="53">
        <v>317758.7</v>
      </c>
      <c r="AT371" s="53">
        <v>395621.7</v>
      </c>
      <c r="AU371" s="53">
        <f t="array" ref="AU371">XLOOKUP(C371,'PL TOTAL D0'!A:A,'PL TOTAL D0'!C:C,"")</f>
        <v>396450.6</v>
      </c>
    </row>
    <row r="372" ht="15.75" customHeight="1">
      <c r="A372" s="41" t="s">
        <v>43</v>
      </c>
      <c r="B372" s="55" t="s">
        <v>1322</v>
      </c>
      <c r="C372" s="81" t="s">
        <v>1323</v>
      </c>
      <c r="D372" s="44" t="s">
        <v>105</v>
      </c>
      <c r="E372" s="45" t="s">
        <v>29</v>
      </c>
      <c r="F372" s="44" t="s">
        <v>683</v>
      </c>
      <c r="G372" s="44" t="str">
        <f t="shared" si="1"/>
        <v>#N/A</v>
      </c>
      <c r="H372" s="51" t="s">
        <v>186</v>
      </c>
      <c r="I372" s="51" t="s">
        <v>24</v>
      </c>
      <c r="J372" s="44" t="str">
        <f t="shared" si="6"/>
        <v>Não</v>
      </c>
      <c r="K372" s="47">
        <v>44928.0</v>
      </c>
      <c r="L372" s="82">
        <v>45449.0</v>
      </c>
      <c r="M372" s="45" t="s">
        <v>79</v>
      </c>
      <c r="N372" s="48">
        <v>0.012</v>
      </c>
      <c r="O372" s="44" t="s">
        <v>24</v>
      </c>
      <c r="P372" s="49">
        <v>0.0</v>
      </c>
      <c r="Q372" s="60"/>
      <c r="R372" s="73" t="s">
        <v>239</v>
      </c>
      <c r="S372" s="45" t="s">
        <v>108</v>
      </c>
      <c r="T372" s="24" t="s">
        <v>1324</v>
      </c>
      <c r="U372" s="9" t="s">
        <v>29</v>
      </c>
      <c r="V372" s="51" t="str">
        <f t="shared" si="3"/>
        <v>Encerrado</v>
      </c>
      <c r="W372" s="45"/>
      <c r="X372" s="52" t="s">
        <v>119</v>
      </c>
      <c r="Y372" s="54"/>
      <c r="Z372" s="54"/>
      <c r="AA372" s="54"/>
      <c r="AB372" s="54">
        <v>358813.41</v>
      </c>
      <c r="AC372" s="54">
        <v>377876.36</v>
      </c>
      <c r="AD372" s="54">
        <v>392773.39</v>
      </c>
      <c r="AE372" s="54">
        <v>397012.49</v>
      </c>
      <c r="AF372" s="54">
        <v>651770.08</v>
      </c>
      <c r="AG372" s="54">
        <v>631261.12</v>
      </c>
      <c r="AH372" s="54">
        <v>670333.7</v>
      </c>
      <c r="AI372" s="54">
        <v>655818.74</v>
      </c>
      <c r="AJ372" s="54">
        <v>662208.82</v>
      </c>
      <c r="AK372" s="54">
        <v>667585.98</v>
      </c>
      <c r="AL372" s="54">
        <v>670425.23</v>
      </c>
      <c r="AM372" s="54">
        <v>679113.46</v>
      </c>
      <c r="AN372" s="54">
        <v>666577.12</v>
      </c>
      <c r="AO372" s="54">
        <v>668120.67</v>
      </c>
      <c r="AP372" s="53">
        <v>0.0</v>
      </c>
      <c r="AQ372" s="53">
        <v>0.0</v>
      </c>
      <c r="AR372" s="53">
        <v>0.0</v>
      </c>
      <c r="AS372" s="53">
        <v>0.0</v>
      </c>
      <c r="AT372" s="53">
        <v>0.0</v>
      </c>
      <c r="AU372" s="53" t="str">
        <f t="array" ref="AU372">XLOOKUP(C372,'PL TOTAL D0'!A:A,'PL TOTAL D0'!C:C,"")</f>
        <v/>
      </c>
    </row>
    <row r="373" ht="15.75" customHeight="1">
      <c r="A373" s="41" t="s">
        <v>43</v>
      </c>
      <c r="B373" s="42" t="s">
        <v>1325</v>
      </c>
      <c r="C373" s="43" t="s">
        <v>1326</v>
      </c>
      <c r="D373" s="44" t="s">
        <v>18</v>
      </c>
      <c r="E373" s="45" t="s">
        <v>29</v>
      </c>
      <c r="F373" s="44" t="s">
        <v>78</v>
      </c>
      <c r="G373" s="44" t="str">
        <f t="shared" si="1"/>
        <v>Bruno</v>
      </c>
      <c r="H373" s="46" t="s">
        <v>107</v>
      </c>
      <c r="I373" s="46" t="s">
        <v>24</v>
      </c>
      <c r="J373" s="44" t="str">
        <f t="shared" si="6"/>
        <v>Sim</v>
      </c>
      <c r="K373" s="47">
        <v>45040.0</v>
      </c>
      <c r="L373" s="45"/>
      <c r="M373" s="45" t="s">
        <v>55</v>
      </c>
      <c r="N373" s="48">
        <v>0.01</v>
      </c>
      <c r="O373" s="44" t="s">
        <v>24</v>
      </c>
      <c r="P373" s="49">
        <v>0.0</v>
      </c>
      <c r="Q373" s="184" t="s">
        <v>1327</v>
      </c>
      <c r="R373" s="139"/>
      <c r="S373" s="45" t="s">
        <v>108</v>
      </c>
      <c r="T373" s="24" t="s">
        <v>1328</v>
      </c>
      <c r="U373" s="9" t="s">
        <v>29</v>
      </c>
      <c r="V373" s="51" t="str">
        <f t="shared" si="3"/>
        <v>Ativo</v>
      </c>
      <c r="W373" s="45"/>
      <c r="X373" s="52" t="s">
        <v>110</v>
      </c>
      <c r="Y373" s="54"/>
      <c r="Z373" s="54"/>
      <c r="AA373" s="54"/>
      <c r="AB373" s="54"/>
      <c r="AC373" s="54"/>
      <c r="AD373" s="54"/>
      <c r="AE373" s="54"/>
      <c r="AF373" s="54">
        <v>397508.34</v>
      </c>
      <c r="AG373" s="54">
        <v>714697.76</v>
      </c>
      <c r="AH373" s="54">
        <v>732005.28</v>
      </c>
      <c r="AI373" s="54">
        <v>770449.99</v>
      </c>
      <c r="AJ373" s="54">
        <v>1085256.77</v>
      </c>
      <c r="AK373" s="54">
        <v>1152688.1</v>
      </c>
      <c r="AL373" s="54">
        <v>1163013.64</v>
      </c>
      <c r="AM373" s="54">
        <v>1170919.64</v>
      </c>
      <c r="AN373" s="54">
        <v>1200138.58</v>
      </c>
      <c r="AO373" s="54">
        <v>1221032.6</v>
      </c>
      <c r="AP373" s="53">
        <v>1230255.33</v>
      </c>
      <c r="AQ373" s="53">
        <v>1346659.3</v>
      </c>
      <c r="AR373" s="53">
        <v>1382587.72</v>
      </c>
      <c r="AS373" s="53">
        <v>1414209.0</v>
      </c>
      <c r="AT373" s="53">
        <v>1535647.0</v>
      </c>
      <c r="AU373" s="53">
        <f t="array" ref="AU373">XLOOKUP(C373,'PL TOTAL D0'!A:A,'PL TOTAL D0'!C:C,"")</f>
        <v>1555930</v>
      </c>
    </row>
    <row r="374" ht="15.75" customHeight="1">
      <c r="A374" s="41" t="s">
        <v>43</v>
      </c>
      <c r="B374" s="64" t="s">
        <v>1329</v>
      </c>
      <c r="C374" s="65" t="s">
        <v>1330</v>
      </c>
      <c r="D374" s="9" t="s">
        <v>52</v>
      </c>
      <c r="E374" s="24" t="s">
        <v>19</v>
      </c>
      <c r="F374" s="9" t="s">
        <v>53</v>
      </c>
      <c r="G374" s="44" t="str">
        <f t="shared" si="1"/>
        <v>Breno</v>
      </c>
      <c r="H374" s="51" t="s">
        <v>107</v>
      </c>
      <c r="I374" s="51" t="s">
        <v>24</v>
      </c>
      <c r="J374" s="44" t="str">
        <f t="shared" si="6"/>
        <v>Não</v>
      </c>
      <c r="K374" s="57">
        <v>45391.0</v>
      </c>
      <c r="L374" s="45"/>
      <c r="M374" s="24" t="s">
        <v>79</v>
      </c>
      <c r="N374" s="58">
        <v>0.012</v>
      </c>
      <c r="O374" s="9" t="s">
        <v>48</v>
      </c>
      <c r="P374" s="59">
        <v>0.1</v>
      </c>
      <c r="Q374" s="139"/>
      <c r="R374" s="139"/>
      <c r="S374" s="24" t="s">
        <v>108</v>
      </c>
      <c r="T374" s="5" t="s">
        <v>1331</v>
      </c>
      <c r="U374" s="9" t="s">
        <v>19</v>
      </c>
      <c r="V374" s="51" t="str">
        <f t="shared" si="3"/>
        <v>Ativo</v>
      </c>
      <c r="W374" s="24" t="s">
        <v>75</v>
      </c>
      <c r="X374" s="52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3"/>
      <c r="AQ374" s="53"/>
      <c r="AR374" s="53">
        <v>395578.13</v>
      </c>
      <c r="AS374" s="53">
        <v>413847.6</v>
      </c>
      <c r="AT374" s="53">
        <v>416418.7</v>
      </c>
      <c r="AU374" s="53">
        <f t="array" ref="AU374">XLOOKUP(C374,'PL TOTAL D0'!A:A,'PL TOTAL D0'!C:C,"")</f>
        <v>435906.1</v>
      </c>
    </row>
    <row r="375" ht="15.75" customHeight="1">
      <c r="A375" s="41" t="s">
        <v>43</v>
      </c>
      <c r="B375" s="42" t="s">
        <v>1332</v>
      </c>
      <c r="C375" s="43" t="s">
        <v>1333</v>
      </c>
      <c r="D375" s="44" t="s">
        <v>105</v>
      </c>
      <c r="E375" s="45" t="s">
        <v>29</v>
      </c>
      <c r="F375" s="44" t="s">
        <v>106</v>
      </c>
      <c r="G375" s="44" t="str">
        <f t="shared" si="1"/>
        <v>Augusto</v>
      </c>
      <c r="H375" s="46" t="s">
        <v>107</v>
      </c>
      <c r="I375" s="46" t="s">
        <v>24</v>
      </c>
      <c r="J375" s="44" t="str">
        <f t="shared" si="6"/>
        <v>Sim</v>
      </c>
      <c r="K375" s="47">
        <v>45166.0</v>
      </c>
      <c r="L375" s="45"/>
      <c r="M375" s="45" t="s">
        <v>47</v>
      </c>
      <c r="N375" s="48">
        <v>0.016</v>
      </c>
      <c r="O375" s="44" t="s">
        <v>48</v>
      </c>
      <c r="P375" s="49">
        <v>0.2</v>
      </c>
      <c r="Q375" s="184" t="s">
        <v>1334</v>
      </c>
      <c r="R375" s="139"/>
      <c r="S375" s="45" t="s">
        <v>108</v>
      </c>
      <c r="T375" s="24" t="s">
        <v>1335</v>
      </c>
      <c r="U375" s="9" t="s">
        <v>29</v>
      </c>
      <c r="V375" s="51" t="str">
        <f t="shared" si="3"/>
        <v>Ativo</v>
      </c>
      <c r="W375" s="45"/>
      <c r="X375" s="52" t="s">
        <v>110</v>
      </c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>
        <v>71148.86</v>
      </c>
      <c r="AK375" s="54">
        <v>71552.49</v>
      </c>
      <c r="AL375" s="54">
        <v>71993.83</v>
      </c>
      <c r="AM375" s="54">
        <v>72378.33</v>
      </c>
      <c r="AN375" s="54">
        <v>72798.95</v>
      </c>
      <c r="AO375" s="54">
        <v>73289.24</v>
      </c>
      <c r="AP375" s="53">
        <v>73727.41</v>
      </c>
      <c r="AQ375" s="53">
        <v>74163.19</v>
      </c>
      <c r="AR375" s="53">
        <v>74603.1</v>
      </c>
      <c r="AS375" s="53">
        <v>75047.55</v>
      </c>
      <c r="AT375" s="53">
        <v>75470.2</v>
      </c>
      <c r="AU375" s="53">
        <f t="array" ref="AU375">XLOOKUP(C375,'PL TOTAL D0'!A:A,'PL TOTAL D0'!C:C,"")</f>
        <v>75667.2</v>
      </c>
    </row>
    <row r="376" ht="15.75" customHeight="1">
      <c r="A376" s="41" t="s">
        <v>43</v>
      </c>
      <c r="B376" s="42" t="s">
        <v>1336</v>
      </c>
      <c r="C376" s="43" t="s">
        <v>1337</v>
      </c>
      <c r="D376" s="44" t="s">
        <v>18</v>
      </c>
      <c r="E376" s="45" t="s">
        <v>29</v>
      </c>
      <c r="F376" s="44" t="s">
        <v>294</v>
      </c>
      <c r="G376" s="44" t="str">
        <f t="shared" si="1"/>
        <v>Augusto</v>
      </c>
      <c r="H376" s="51" t="s">
        <v>107</v>
      </c>
      <c r="I376" s="51" t="s">
        <v>24</v>
      </c>
      <c r="J376" s="44" t="str">
        <f t="shared" si="6"/>
        <v>Não</v>
      </c>
      <c r="K376" s="47">
        <v>45267.0</v>
      </c>
      <c r="L376" s="45"/>
      <c r="M376" s="93" t="s">
        <v>129</v>
      </c>
      <c r="N376" s="94">
        <v>0.0</v>
      </c>
      <c r="O376" s="95" t="s">
        <v>24</v>
      </c>
      <c r="P376" s="96">
        <v>0.0</v>
      </c>
      <c r="Q376" s="139"/>
      <c r="R376" s="139"/>
      <c r="S376" s="45" t="s">
        <v>369</v>
      </c>
      <c r="T376" s="24" t="s">
        <v>1338</v>
      </c>
      <c r="U376" s="9" t="s">
        <v>29</v>
      </c>
      <c r="V376" s="51" t="str">
        <f t="shared" si="3"/>
        <v>Ativo</v>
      </c>
      <c r="W376" s="45"/>
      <c r="X376" s="52" t="s">
        <v>119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>
        <v>0.0</v>
      </c>
      <c r="AO376" s="54">
        <v>80064.81</v>
      </c>
      <c r="AP376" s="53">
        <v>80563.06</v>
      </c>
      <c r="AQ376" s="53">
        <v>81039.79</v>
      </c>
      <c r="AR376" s="53">
        <v>81408.34</v>
      </c>
      <c r="AS376" s="53">
        <v>82050.0</v>
      </c>
      <c r="AT376" s="53">
        <v>112397.2</v>
      </c>
      <c r="AU376" s="53">
        <f t="array" ref="AU376">XLOOKUP(C376,'PL TOTAL D0'!A:A,'PL TOTAL D0'!C:C,"")</f>
        <v>112942.1</v>
      </c>
    </row>
    <row r="377" ht="15.75" customHeight="1">
      <c r="A377" s="41" t="s">
        <v>43</v>
      </c>
      <c r="B377" s="42" t="s">
        <v>1339</v>
      </c>
      <c r="C377" s="43" t="s">
        <v>1340</v>
      </c>
      <c r="D377" s="44" t="s">
        <v>105</v>
      </c>
      <c r="E377" s="45" t="s">
        <v>29</v>
      </c>
      <c r="F377" s="44" t="s">
        <v>106</v>
      </c>
      <c r="G377" s="44" t="str">
        <f t="shared" si="1"/>
        <v>Bruno</v>
      </c>
      <c r="H377" s="46" t="s">
        <v>107</v>
      </c>
      <c r="I377" s="46" t="s">
        <v>24</v>
      </c>
      <c r="J377" s="44" t="str">
        <f t="shared" si="6"/>
        <v>Não</v>
      </c>
      <c r="K377" s="47">
        <v>45163.0</v>
      </c>
      <c r="L377" s="62"/>
      <c r="M377" s="45" t="s">
        <v>55</v>
      </c>
      <c r="N377" s="48">
        <v>0.01</v>
      </c>
      <c r="O377" s="44" t="s">
        <v>24</v>
      </c>
      <c r="P377" s="49">
        <v>0.0</v>
      </c>
      <c r="Q377" s="50"/>
      <c r="R377" s="50"/>
      <c r="S377" s="45" t="s">
        <v>108</v>
      </c>
      <c r="T377" s="24" t="s">
        <v>1338</v>
      </c>
      <c r="U377" s="9" t="s">
        <v>29</v>
      </c>
      <c r="V377" s="51" t="str">
        <f t="shared" si="3"/>
        <v>Ativo</v>
      </c>
      <c r="W377" s="45"/>
      <c r="X377" s="52" t="s">
        <v>110</v>
      </c>
      <c r="Y377" s="54"/>
      <c r="Z377" s="54"/>
      <c r="AA377" s="54"/>
      <c r="AB377" s="54"/>
      <c r="AC377" s="54"/>
      <c r="AD377" s="54"/>
      <c r="AE377" s="54"/>
      <c r="AF377" s="54">
        <v>0.0</v>
      </c>
      <c r="AG377" s="54">
        <v>0.0</v>
      </c>
      <c r="AH377" s="54">
        <v>0.0</v>
      </c>
      <c r="AI377" s="54">
        <v>0.0</v>
      </c>
      <c r="AJ377" s="54">
        <v>0.0</v>
      </c>
      <c r="AK377" s="54">
        <v>770341.47</v>
      </c>
      <c r="AL377" s="54">
        <v>774767.0</v>
      </c>
      <c r="AM377" s="54">
        <v>780858.65</v>
      </c>
      <c r="AN377" s="54">
        <v>786142.8</v>
      </c>
      <c r="AO377" s="54">
        <v>791149.87</v>
      </c>
      <c r="AP377" s="53">
        <v>796697.82</v>
      </c>
      <c r="AQ377" s="53">
        <v>992536.72</v>
      </c>
      <c r="AR377" s="53">
        <v>1038174.97</v>
      </c>
      <c r="AS377" s="53">
        <v>1060081.0</v>
      </c>
      <c r="AT377" s="53">
        <v>1088467.0</v>
      </c>
      <c r="AU377" s="53">
        <f t="array" ref="AU377">XLOOKUP(C377,'PL TOTAL D0'!A:A,'PL TOTAL D0'!C:C,"")</f>
        <v>1104920</v>
      </c>
    </row>
    <row r="378" ht="15.75" customHeight="1">
      <c r="A378" s="41" t="s">
        <v>43</v>
      </c>
      <c r="B378" s="42" t="s">
        <v>1341</v>
      </c>
      <c r="C378" s="43" t="s">
        <v>1342</v>
      </c>
      <c r="D378" s="44" t="s">
        <v>18</v>
      </c>
      <c r="E378" s="45" t="s">
        <v>34</v>
      </c>
      <c r="F378" s="45" t="s">
        <v>574</v>
      </c>
      <c r="G378" s="44" t="str">
        <f t="shared" si="1"/>
        <v>Breno</v>
      </c>
      <c r="H378" s="46" t="s">
        <v>107</v>
      </c>
      <c r="I378" s="46" t="s">
        <v>24</v>
      </c>
      <c r="J378" s="44" t="str">
        <f t="shared" si="6"/>
        <v>Não</v>
      </c>
      <c r="K378" s="62">
        <v>44973.0</v>
      </c>
      <c r="L378" s="41"/>
      <c r="M378" s="45" t="s">
        <v>47</v>
      </c>
      <c r="N378" s="199">
        <v>0.015</v>
      </c>
      <c r="O378" s="45" t="s">
        <v>48</v>
      </c>
      <c r="P378" s="49">
        <v>0.1</v>
      </c>
      <c r="Q378" s="74"/>
      <c r="R378" s="74"/>
      <c r="S378" s="45" t="s">
        <v>108</v>
      </c>
      <c r="T378" s="56" t="s">
        <v>32</v>
      </c>
      <c r="U378" s="24" t="s">
        <v>1343</v>
      </c>
      <c r="V378" s="51" t="str">
        <f t="shared" si="3"/>
        <v>Ativo</v>
      </c>
      <c r="W378" s="45"/>
      <c r="X378" s="24" t="s">
        <v>110</v>
      </c>
      <c r="Y378" s="41"/>
      <c r="Z378" s="41"/>
      <c r="AA378" s="41"/>
      <c r="AB378" s="41"/>
      <c r="AC378" s="200"/>
      <c r="AD378" s="191">
        <v>689994.38</v>
      </c>
      <c r="AE378" s="191">
        <v>685952.92</v>
      </c>
      <c r="AF378" s="201">
        <v>687270.9</v>
      </c>
      <c r="AG378" s="191">
        <v>697627.07</v>
      </c>
      <c r="AH378" s="191">
        <v>911550.56</v>
      </c>
      <c r="AI378" s="54">
        <v>923030.07</v>
      </c>
      <c r="AJ378" s="54">
        <v>927788.28</v>
      </c>
      <c r="AK378" s="54">
        <v>932100.04</v>
      </c>
      <c r="AL378" s="54">
        <v>804260.81</v>
      </c>
      <c r="AM378" s="54">
        <v>812554.67</v>
      </c>
      <c r="AN378" s="54">
        <v>820967.38</v>
      </c>
      <c r="AO378" s="54">
        <v>817404.64</v>
      </c>
      <c r="AP378" s="53">
        <v>821869.41</v>
      </c>
      <c r="AQ378" s="53">
        <v>828451.96</v>
      </c>
      <c r="AR378" s="53">
        <v>825193.77</v>
      </c>
      <c r="AS378" s="53">
        <v>823592.2</v>
      </c>
      <c r="AT378" s="53">
        <v>827435.9</v>
      </c>
      <c r="AU378" s="53">
        <f t="array" ref="AU378">XLOOKUP(C378,'PL TOTAL D0'!A:A,'PL TOTAL D0'!C:C,"")</f>
        <v>834687.6</v>
      </c>
    </row>
    <row r="379" ht="15.75" customHeight="1">
      <c r="A379" s="41" t="s">
        <v>43</v>
      </c>
      <c r="B379" s="42" t="s">
        <v>1344</v>
      </c>
      <c r="C379" s="43" t="s">
        <v>1345</v>
      </c>
      <c r="D379" s="44" t="s">
        <v>18</v>
      </c>
      <c r="E379" s="45" t="s">
        <v>19</v>
      </c>
      <c r="F379" s="44" t="s">
        <v>256</v>
      </c>
      <c r="G379" s="44" t="str">
        <f t="shared" si="1"/>
        <v>Augusto</v>
      </c>
      <c r="H379" s="51" t="s">
        <v>107</v>
      </c>
      <c r="I379" s="51" t="s">
        <v>24</v>
      </c>
      <c r="J379" s="44" t="str">
        <f t="shared" si="6"/>
        <v>Não</v>
      </c>
      <c r="K379" s="47">
        <v>45163.0</v>
      </c>
      <c r="L379" s="62"/>
      <c r="M379" s="45" t="s">
        <v>55</v>
      </c>
      <c r="N379" s="48">
        <v>0.01</v>
      </c>
      <c r="O379" s="44" t="s">
        <v>24</v>
      </c>
      <c r="P379" s="49">
        <v>0.0</v>
      </c>
      <c r="Q379" s="139"/>
      <c r="R379" s="60" t="s">
        <v>1346</v>
      </c>
      <c r="S379" s="45" t="s">
        <v>108</v>
      </c>
      <c r="T379" s="24" t="s">
        <v>1347</v>
      </c>
      <c r="U379" s="9" t="s">
        <v>29</v>
      </c>
      <c r="V379" s="51" t="str">
        <f t="shared" si="3"/>
        <v>Inativo</v>
      </c>
      <c r="W379" s="45"/>
      <c r="X379" s="52" t="s">
        <v>119</v>
      </c>
      <c r="Y379" s="54"/>
      <c r="Z379" s="54"/>
      <c r="AA379" s="54"/>
      <c r="AB379" s="54"/>
      <c r="AC379" s="54">
        <v>0.0</v>
      </c>
      <c r="AD379" s="54">
        <v>0.0</v>
      </c>
      <c r="AE379" s="54">
        <v>0.0</v>
      </c>
      <c r="AF379" s="54">
        <v>0.0</v>
      </c>
      <c r="AG379" s="54">
        <v>0.0</v>
      </c>
      <c r="AH379" s="54">
        <v>0.0</v>
      </c>
      <c r="AI379" s="54">
        <v>0.0</v>
      </c>
      <c r="AJ379" s="54">
        <v>0.0</v>
      </c>
      <c r="AK379" s="54">
        <v>0.0</v>
      </c>
      <c r="AL379" s="54">
        <v>0.0</v>
      </c>
      <c r="AM379" s="54">
        <v>0.0</v>
      </c>
      <c r="AN379" s="54">
        <v>0.0</v>
      </c>
      <c r="AO379" s="54">
        <v>0.0</v>
      </c>
      <c r="AP379" s="53">
        <v>0.0</v>
      </c>
      <c r="AQ379" s="53">
        <v>0.0</v>
      </c>
      <c r="AR379" s="53">
        <v>0.0</v>
      </c>
      <c r="AS379" s="53">
        <v>80000.0</v>
      </c>
      <c r="AT379" s="53">
        <v>80646.04</v>
      </c>
      <c r="AU379" s="53">
        <f t="array" ref="AU379">XLOOKUP(C379,'PL TOTAL D0'!A:A,'PL TOTAL D0'!C:C,"")</f>
        <v>80940.03</v>
      </c>
    </row>
    <row r="380" ht="15.75" customHeight="1">
      <c r="A380" s="41" t="s">
        <v>43</v>
      </c>
      <c r="B380" s="61" t="s">
        <v>1348</v>
      </c>
      <c r="C380" s="43" t="s">
        <v>1349</v>
      </c>
      <c r="D380" s="44" t="s">
        <v>18</v>
      </c>
      <c r="E380" s="45" t="s">
        <v>176</v>
      </c>
      <c r="F380" s="44" t="s">
        <v>197</v>
      </c>
      <c r="G380" s="44" t="str">
        <f t="shared" si="1"/>
        <v>Breno</v>
      </c>
      <c r="H380" s="46" t="s">
        <v>107</v>
      </c>
      <c r="I380" s="46" t="s">
        <v>24</v>
      </c>
      <c r="J380" s="44" t="str">
        <f t="shared" si="6"/>
        <v>Não</v>
      </c>
      <c r="K380" s="47">
        <v>45028.0</v>
      </c>
      <c r="L380" s="45"/>
      <c r="M380" s="45" t="s">
        <v>47</v>
      </c>
      <c r="N380" s="48">
        <v>0.015</v>
      </c>
      <c r="O380" s="44" t="s">
        <v>48</v>
      </c>
      <c r="P380" s="49">
        <v>0.1</v>
      </c>
      <c r="Q380" s="50"/>
      <c r="R380" s="50"/>
      <c r="S380" s="45" t="s">
        <v>108</v>
      </c>
      <c r="T380" s="24" t="s">
        <v>1350</v>
      </c>
      <c r="U380" s="9" t="s">
        <v>180</v>
      </c>
      <c r="V380" s="51" t="str">
        <f t="shared" si="3"/>
        <v>Ativo</v>
      </c>
      <c r="W380" s="45"/>
      <c r="X380" s="52" t="s">
        <v>119</v>
      </c>
      <c r="Y380" s="54"/>
      <c r="Z380" s="54"/>
      <c r="AA380" s="54"/>
      <c r="AB380" s="54"/>
      <c r="AC380" s="54"/>
      <c r="AD380" s="54"/>
      <c r="AE380" s="54">
        <v>0.0</v>
      </c>
      <c r="AF380" s="54">
        <v>546983.7</v>
      </c>
      <c r="AG380" s="54">
        <v>569712.92</v>
      </c>
      <c r="AH380" s="54">
        <v>599690.17</v>
      </c>
      <c r="AI380" s="54">
        <v>641342.23</v>
      </c>
      <c r="AJ380" s="54">
        <v>637489.29</v>
      </c>
      <c r="AK380" s="54">
        <v>661262.77</v>
      </c>
      <c r="AL380" s="54">
        <v>665519.79</v>
      </c>
      <c r="AM380" s="54">
        <v>680406.48</v>
      </c>
      <c r="AN380" s="54">
        <v>728909.45</v>
      </c>
      <c r="AO380" s="54">
        <v>718767.34</v>
      </c>
      <c r="AP380" s="53">
        <v>723223.94</v>
      </c>
      <c r="AQ380" s="53">
        <v>731594.67</v>
      </c>
      <c r="AR380" s="53">
        <v>723448.31</v>
      </c>
      <c r="AS380" s="53">
        <v>730414.8</v>
      </c>
      <c r="AT380" s="53">
        <v>734737.3</v>
      </c>
      <c r="AU380" s="53">
        <f t="array" ref="AU380">XLOOKUP(C380,'PL TOTAL D0'!A:A,'PL TOTAL D0'!C:C,"")</f>
        <v>745698.4</v>
      </c>
    </row>
    <row r="381" ht="15.75" customHeight="1">
      <c r="A381" s="41" t="s">
        <v>43</v>
      </c>
      <c r="B381" s="97" t="s">
        <v>1351</v>
      </c>
      <c r="C381" s="43" t="s">
        <v>1352</v>
      </c>
      <c r="D381" s="9" t="s">
        <v>1353</v>
      </c>
      <c r="E381" s="45" t="s">
        <v>19</v>
      </c>
      <c r="F381" s="9" t="s">
        <v>1354</v>
      </c>
      <c r="G381" s="44" t="str">
        <f t="shared" si="1"/>
        <v>Augusto</v>
      </c>
      <c r="H381" s="46" t="s">
        <v>107</v>
      </c>
      <c r="I381" s="46" t="s">
        <v>24</v>
      </c>
      <c r="J381" s="44" t="str">
        <f t="shared" si="6"/>
        <v>Sim</v>
      </c>
      <c r="K381" s="47">
        <v>45209.0</v>
      </c>
      <c r="L381" s="45"/>
      <c r="M381" s="45" t="s">
        <v>55</v>
      </c>
      <c r="N381" s="48">
        <v>0.012</v>
      </c>
      <c r="O381" s="44" t="s">
        <v>24</v>
      </c>
      <c r="P381" s="49">
        <v>0.0</v>
      </c>
      <c r="Q381" s="115" t="s">
        <v>1355</v>
      </c>
      <c r="R381" s="50"/>
      <c r="S381" s="45" t="s">
        <v>108</v>
      </c>
      <c r="T381" s="24" t="s">
        <v>1356</v>
      </c>
      <c r="U381" s="9" t="s">
        <v>19</v>
      </c>
      <c r="V381" s="51" t="str">
        <f t="shared" si="3"/>
        <v>Ativo</v>
      </c>
      <c r="W381" s="45"/>
      <c r="X381" s="52" t="s">
        <v>119</v>
      </c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>
        <v>0.0</v>
      </c>
      <c r="AL381" s="54">
        <v>398364.46</v>
      </c>
      <c r="AM381" s="54">
        <v>401238.27</v>
      </c>
      <c r="AN381" s="54">
        <v>404093.6</v>
      </c>
      <c r="AO381" s="54">
        <v>407558.7</v>
      </c>
      <c r="AP381" s="53">
        <v>66022.77</v>
      </c>
      <c r="AQ381" s="53">
        <v>66386.28</v>
      </c>
      <c r="AR381" s="53">
        <v>66844.74</v>
      </c>
      <c r="AS381" s="53">
        <v>67277.07</v>
      </c>
      <c r="AT381" s="53">
        <v>67716.53</v>
      </c>
      <c r="AU381" s="53">
        <f t="array" ref="AU381">XLOOKUP(C381,'PL TOTAL D0'!A:A,'PL TOTAL D0'!C:C,"")</f>
        <v>67917.53</v>
      </c>
    </row>
    <row r="382" ht="15.75" customHeight="1">
      <c r="A382" s="41" t="s">
        <v>43</v>
      </c>
      <c r="B382" s="55" t="s">
        <v>1357</v>
      </c>
      <c r="C382" s="43" t="s">
        <v>1358</v>
      </c>
      <c r="D382" s="44" t="s">
        <v>18</v>
      </c>
      <c r="E382" s="45" t="s">
        <v>29</v>
      </c>
      <c r="F382" s="44" t="s">
        <v>168</v>
      </c>
      <c r="G382" s="44" t="str">
        <f t="shared" si="1"/>
        <v>Augusto</v>
      </c>
      <c r="H382" s="46" t="s">
        <v>107</v>
      </c>
      <c r="I382" s="46" t="s">
        <v>24</v>
      </c>
      <c r="J382" s="44" t="str">
        <f>IF(#REF!=0,"Não","Sim")</f>
        <v>#REF!</v>
      </c>
      <c r="K382" s="47">
        <v>44971.0</v>
      </c>
      <c r="L382" s="45"/>
      <c r="M382" s="45" t="s">
        <v>55</v>
      </c>
      <c r="N382" s="48">
        <v>0.007</v>
      </c>
      <c r="O382" s="44" t="s">
        <v>24</v>
      </c>
      <c r="P382" s="49">
        <v>0.0</v>
      </c>
      <c r="Q382" s="76" t="s">
        <v>349</v>
      </c>
      <c r="R382" s="74"/>
      <c r="S382" s="45" t="s">
        <v>108</v>
      </c>
      <c r="T382" s="24" t="s">
        <v>1359</v>
      </c>
      <c r="U382" s="9" t="s">
        <v>29</v>
      </c>
      <c r="V382" s="51" t="str">
        <f t="shared" si="3"/>
        <v>Ativo</v>
      </c>
      <c r="W382" s="45"/>
      <c r="X382" s="52" t="s">
        <v>119</v>
      </c>
      <c r="Y382" s="54"/>
      <c r="Z382" s="54"/>
      <c r="AA382" s="54"/>
      <c r="AB382" s="54"/>
      <c r="AC382" s="54">
        <v>0.0</v>
      </c>
      <c r="AD382" s="54">
        <v>1110727.78</v>
      </c>
      <c r="AE382" s="54">
        <v>2743133.96</v>
      </c>
      <c r="AF382" s="54">
        <v>2763862.97</v>
      </c>
      <c r="AG382" s="54">
        <v>2795420.34</v>
      </c>
      <c r="AH382" s="54">
        <v>3088831.62</v>
      </c>
      <c r="AI382" s="54">
        <v>3118395.57</v>
      </c>
      <c r="AJ382" s="54">
        <v>3151164.23</v>
      </c>
      <c r="AK382" s="54">
        <v>3126195.15</v>
      </c>
      <c r="AL382" s="54">
        <v>3155608.43</v>
      </c>
      <c r="AM382" s="54">
        <v>3211508.29</v>
      </c>
      <c r="AN382" s="54">
        <v>3238270.45</v>
      </c>
      <c r="AO382" s="54">
        <v>3390746.18</v>
      </c>
      <c r="AP382" s="53">
        <v>23394.6</v>
      </c>
      <c r="AQ382" s="53">
        <v>23577.54</v>
      </c>
      <c r="AR382" s="53">
        <v>23611.7</v>
      </c>
      <c r="AS382" s="53">
        <v>23779.99</v>
      </c>
      <c r="AT382" s="53">
        <v>23921.04</v>
      </c>
      <c r="AU382" s="53">
        <f t="array" ref="AU382">XLOOKUP(C382,'PL TOTAL D0'!A:A,'PL TOTAL D0'!C:C,"")</f>
        <v>24022.54</v>
      </c>
    </row>
    <row r="383" ht="15.75" customHeight="1">
      <c r="A383" s="41" t="s">
        <v>43</v>
      </c>
      <c r="B383" s="55" t="s">
        <v>1357</v>
      </c>
      <c r="C383" s="43" t="s">
        <v>1360</v>
      </c>
      <c r="D383" s="44" t="s">
        <v>18</v>
      </c>
      <c r="E383" s="45" t="s">
        <v>29</v>
      </c>
      <c r="F383" s="44" t="s">
        <v>168</v>
      </c>
      <c r="G383" s="44" t="str">
        <f t="shared" si="1"/>
        <v>#N/A</v>
      </c>
      <c r="H383" s="51" t="s">
        <v>147</v>
      </c>
      <c r="I383" s="46" t="s">
        <v>219</v>
      </c>
      <c r="J383" s="44" t="str">
        <f t="shared" ref="J383:J619" si="7">IF(Q383=0,"Não","Sim")</f>
        <v>Não</v>
      </c>
      <c r="K383" s="47">
        <v>45163.0</v>
      </c>
      <c r="L383" s="62"/>
      <c r="M383" s="45" t="s">
        <v>190</v>
      </c>
      <c r="N383" s="48">
        <v>0.025</v>
      </c>
      <c r="O383" s="44" t="s">
        <v>191</v>
      </c>
      <c r="P383" s="49">
        <v>0.2</v>
      </c>
      <c r="Q383" s="50"/>
      <c r="R383" s="50"/>
      <c r="S383" s="45" t="s">
        <v>108</v>
      </c>
      <c r="T383" s="24" t="s">
        <v>1359</v>
      </c>
      <c r="U383" s="9" t="s">
        <v>29</v>
      </c>
      <c r="V383" s="51" t="str">
        <f t="shared" si="3"/>
        <v>Inativo</v>
      </c>
      <c r="W383" s="45"/>
      <c r="X383" s="52" t="s">
        <v>119</v>
      </c>
      <c r="Y383" s="54"/>
      <c r="Z383" s="54"/>
      <c r="AA383" s="54"/>
      <c r="AB383" s="54"/>
      <c r="AC383" s="54">
        <v>0.0</v>
      </c>
      <c r="AD383" s="54">
        <v>0.0</v>
      </c>
      <c r="AE383" s="54">
        <v>0.0</v>
      </c>
      <c r="AF383" s="54">
        <v>0.0</v>
      </c>
      <c r="AG383" s="54">
        <v>0.0</v>
      </c>
      <c r="AH383" s="54">
        <v>0.0</v>
      </c>
      <c r="AI383" s="54">
        <v>0.0</v>
      </c>
      <c r="AJ383" s="54">
        <v>0.0</v>
      </c>
      <c r="AK383" s="54">
        <v>0.0</v>
      </c>
      <c r="AL383" s="54">
        <v>0.0</v>
      </c>
      <c r="AM383" s="54">
        <v>0.0</v>
      </c>
      <c r="AN383" s="54">
        <v>0.0</v>
      </c>
      <c r="AO383" s="54">
        <v>0.0</v>
      </c>
      <c r="AP383" s="53">
        <v>0.0</v>
      </c>
      <c r="AQ383" s="53">
        <v>0.0</v>
      </c>
      <c r="AR383" s="53">
        <v>0.0</v>
      </c>
      <c r="AS383" s="53">
        <v>0.0</v>
      </c>
      <c r="AT383" s="53">
        <v>0.0</v>
      </c>
      <c r="AU383" s="53" t="str">
        <f t="array" ref="AU383">XLOOKUP(C383,'PL TOTAL D0'!A:A,'PL TOTAL D0'!C:C,"")</f>
        <v/>
      </c>
    </row>
    <row r="384" ht="15.75" customHeight="1">
      <c r="A384" s="41" t="s">
        <v>43</v>
      </c>
      <c r="B384" s="66" t="s">
        <v>1361</v>
      </c>
      <c r="C384" s="98" t="s">
        <v>1362</v>
      </c>
      <c r="D384" s="44" t="s">
        <v>18</v>
      </c>
      <c r="E384" s="45" t="s">
        <v>176</v>
      </c>
      <c r="F384" s="44" t="s">
        <v>177</v>
      </c>
      <c r="G384" s="44" t="str">
        <f t="shared" si="1"/>
        <v>Breno</v>
      </c>
      <c r="H384" s="46" t="s">
        <v>107</v>
      </c>
      <c r="I384" s="46" t="s">
        <v>24</v>
      </c>
      <c r="J384" s="44" t="str">
        <f t="shared" si="7"/>
        <v>Não</v>
      </c>
      <c r="K384" s="47">
        <v>45230.0</v>
      </c>
      <c r="L384" s="45"/>
      <c r="M384" s="45" t="s">
        <v>55</v>
      </c>
      <c r="N384" s="48">
        <v>0.012</v>
      </c>
      <c r="O384" s="44" t="s">
        <v>24</v>
      </c>
      <c r="P384" s="49">
        <v>0.0</v>
      </c>
      <c r="Q384" s="63"/>
      <c r="R384" s="195" t="s">
        <v>1363</v>
      </c>
      <c r="S384" s="45" t="s">
        <v>108</v>
      </c>
      <c r="T384" s="24" t="s">
        <v>1364</v>
      </c>
      <c r="U384" s="9" t="s">
        <v>180</v>
      </c>
      <c r="V384" s="51" t="str">
        <f t="shared" si="3"/>
        <v>Ativo</v>
      </c>
      <c r="W384" s="45"/>
      <c r="X384" s="52" t="s">
        <v>110</v>
      </c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>
        <v>0.0</v>
      </c>
      <c r="AM384" s="54">
        <v>752677.66</v>
      </c>
      <c r="AN384" s="54">
        <v>758454.81</v>
      </c>
      <c r="AO384" s="54">
        <v>765519.19</v>
      </c>
      <c r="AP384" s="53">
        <v>771665.74</v>
      </c>
      <c r="AQ384" s="53">
        <v>778613.49</v>
      </c>
      <c r="AR384" s="53">
        <v>785016.41</v>
      </c>
      <c r="AS384" s="53">
        <v>790603.5</v>
      </c>
      <c r="AT384" s="53">
        <v>796840.5</v>
      </c>
      <c r="AU384" s="53">
        <f t="array" ref="AU384">XLOOKUP(C384,'PL TOTAL D0'!A:A,'PL TOTAL D0'!C:C,"")</f>
        <v>799528.5</v>
      </c>
    </row>
    <row r="385" ht="15.75" customHeight="1">
      <c r="A385" s="6" t="s">
        <v>43</v>
      </c>
      <c r="B385" s="6" t="s">
        <v>1365</v>
      </c>
      <c r="C385" s="21" t="s">
        <v>1366</v>
      </c>
      <c r="D385" s="9" t="s">
        <v>18</v>
      </c>
      <c r="E385" s="24" t="s">
        <v>19</v>
      </c>
      <c r="F385" s="9" t="s">
        <v>122</v>
      </c>
      <c r="G385" s="44" t="str">
        <f t="shared" si="1"/>
        <v>Augusto</v>
      </c>
      <c r="H385" s="51" t="s">
        <v>107</v>
      </c>
      <c r="I385" s="51" t="s">
        <v>24</v>
      </c>
      <c r="J385" s="44" t="str">
        <f t="shared" si="7"/>
        <v>Não</v>
      </c>
      <c r="K385" s="57">
        <v>45371.0</v>
      </c>
      <c r="L385" s="45"/>
      <c r="M385" s="24" t="s">
        <v>129</v>
      </c>
      <c r="N385" s="58">
        <v>0.0</v>
      </c>
      <c r="O385" s="9" t="s">
        <v>24</v>
      </c>
      <c r="P385" s="59">
        <v>0.0</v>
      </c>
      <c r="Q385" s="63"/>
      <c r="R385" s="195"/>
      <c r="S385" s="24" t="s">
        <v>108</v>
      </c>
      <c r="T385" s="23" t="s">
        <v>1367</v>
      </c>
      <c r="U385" s="9" t="s">
        <v>19</v>
      </c>
      <c r="V385" s="51" t="str">
        <f t="shared" si="3"/>
        <v>Ativo</v>
      </c>
      <c r="W385" s="45"/>
      <c r="X385" s="52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3"/>
      <c r="AQ385" s="53">
        <v>6155.03</v>
      </c>
      <c r="AR385" s="53">
        <v>9246.64</v>
      </c>
      <c r="AS385" s="53">
        <v>2407.7</v>
      </c>
      <c r="AT385" s="53">
        <v>3039.78</v>
      </c>
      <c r="AU385" s="53">
        <f t="array" ref="AU385">XLOOKUP(C385,'PL TOTAL D0'!A:A,'PL TOTAL D0'!C:C,"")</f>
        <v>7069.85</v>
      </c>
    </row>
    <row r="386" ht="15.75" customHeight="1">
      <c r="A386" s="41" t="s">
        <v>43</v>
      </c>
      <c r="B386" s="61" t="s">
        <v>1368</v>
      </c>
      <c r="C386" s="43" t="s">
        <v>1369</v>
      </c>
      <c r="D386" s="44" t="s">
        <v>18</v>
      </c>
      <c r="E386" s="45" t="s">
        <v>19</v>
      </c>
      <c r="F386" s="44" t="s">
        <v>20</v>
      </c>
      <c r="G386" s="44" t="str">
        <f t="shared" si="1"/>
        <v>Augusto</v>
      </c>
      <c r="H386" s="46" t="s">
        <v>107</v>
      </c>
      <c r="I386" s="46" t="s">
        <v>24</v>
      </c>
      <c r="J386" s="44" t="str">
        <f t="shared" si="7"/>
        <v>Não</v>
      </c>
      <c r="K386" s="47">
        <v>44917.0</v>
      </c>
      <c r="L386" s="45"/>
      <c r="M386" s="45" t="s">
        <v>55</v>
      </c>
      <c r="N386" s="48">
        <v>0.012</v>
      </c>
      <c r="O386" s="44" t="s">
        <v>24</v>
      </c>
      <c r="P386" s="49">
        <v>0.0</v>
      </c>
      <c r="Q386" s="74"/>
      <c r="R386" s="50" t="s">
        <v>1370</v>
      </c>
      <c r="S386" s="45" t="s">
        <v>108</v>
      </c>
      <c r="T386" s="24" t="s">
        <v>1371</v>
      </c>
      <c r="U386" s="9" t="s">
        <v>19</v>
      </c>
      <c r="V386" s="51" t="str">
        <f t="shared" si="3"/>
        <v>Ativo</v>
      </c>
      <c r="W386" s="45"/>
      <c r="X386" s="52" t="s">
        <v>119</v>
      </c>
      <c r="Y386" s="54"/>
      <c r="Z386" s="54"/>
      <c r="AA386" s="54"/>
      <c r="AB386" s="54">
        <v>100282.58</v>
      </c>
      <c r="AC386" s="54">
        <v>101372.7</v>
      </c>
      <c r="AD386" s="54">
        <v>102150.96</v>
      </c>
      <c r="AE386" s="54">
        <v>103256.95</v>
      </c>
      <c r="AF386" s="54">
        <v>104029.31</v>
      </c>
      <c r="AG386" s="54">
        <v>105096.22</v>
      </c>
      <c r="AH386" s="54">
        <v>64890.58</v>
      </c>
      <c r="AI386" s="54">
        <v>65383.65</v>
      </c>
      <c r="AJ386" s="54">
        <v>65991.55</v>
      </c>
      <c r="AK386" s="54">
        <v>66496.23</v>
      </c>
      <c r="AL386" s="54">
        <v>67044.49</v>
      </c>
      <c r="AM386" s="54">
        <v>77457.41</v>
      </c>
      <c r="AN386" s="54">
        <v>77641.71</v>
      </c>
      <c r="AO386" s="54">
        <v>78321.16</v>
      </c>
      <c r="AP386" s="53">
        <v>78926.08</v>
      </c>
      <c r="AQ386" s="53">
        <v>79591.77</v>
      </c>
      <c r="AR386" s="53">
        <v>80133.65</v>
      </c>
      <c r="AS386" s="53">
        <v>80716.02</v>
      </c>
      <c r="AT386" s="53">
        <v>141198.3</v>
      </c>
      <c r="AU386" s="53">
        <f t="array" ref="AU386">XLOOKUP(C386,'PL TOTAL D0'!A:A,'PL TOTAL D0'!C:C,"")</f>
        <v>141667</v>
      </c>
    </row>
    <row r="387" ht="15.75" customHeight="1">
      <c r="A387" s="41" t="s">
        <v>43</v>
      </c>
      <c r="B387" s="61" t="s">
        <v>1372</v>
      </c>
      <c r="C387" s="43" t="s">
        <v>1373</v>
      </c>
      <c r="D387" s="44" t="s">
        <v>18</v>
      </c>
      <c r="E387" s="45" t="s">
        <v>176</v>
      </c>
      <c r="F387" s="44" t="s">
        <v>177</v>
      </c>
      <c r="G387" s="44" t="str">
        <f t="shared" si="1"/>
        <v>Augusto</v>
      </c>
      <c r="H387" s="46" t="s">
        <v>107</v>
      </c>
      <c r="I387" s="46" t="s">
        <v>24</v>
      </c>
      <c r="J387" s="44" t="str">
        <f t="shared" si="7"/>
        <v>Não</v>
      </c>
      <c r="K387" s="47">
        <v>45027.0</v>
      </c>
      <c r="L387" s="45"/>
      <c r="M387" s="45" t="s">
        <v>190</v>
      </c>
      <c r="N387" s="48">
        <v>0.025</v>
      </c>
      <c r="O387" s="44" t="s">
        <v>191</v>
      </c>
      <c r="P387" s="49">
        <v>0.2</v>
      </c>
      <c r="Q387" s="50"/>
      <c r="R387" s="50"/>
      <c r="S387" s="45" t="s">
        <v>108</v>
      </c>
      <c r="T387" s="24" t="s">
        <v>1374</v>
      </c>
      <c r="U387" s="9" t="s">
        <v>180</v>
      </c>
      <c r="V387" s="51" t="str">
        <f t="shared" si="3"/>
        <v>Ativo</v>
      </c>
      <c r="W387" s="45"/>
      <c r="X387" s="52" t="s">
        <v>110</v>
      </c>
      <c r="Y387" s="54"/>
      <c r="Z387" s="54"/>
      <c r="AA387" s="54"/>
      <c r="AB387" s="54"/>
      <c r="AC387" s="54"/>
      <c r="AD387" s="54"/>
      <c r="AE387" s="54">
        <v>1783320.01</v>
      </c>
      <c r="AF387" s="54">
        <v>1765182.14</v>
      </c>
      <c r="AG387" s="54">
        <v>1534943.49</v>
      </c>
      <c r="AH387" s="54">
        <v>1453747.79</v>
      </c>
      <c r="AI387" s="54">
        <v>2025074.38</v>
      </c>
      <c r="AJ387" s="54">
        <v>1770431.54</v>
      </c>
      <c r="AK387" s="54">
        <v>1560491.37</v>
      </c>
      <c r="AL387" s="54">
        <v>1240433.53</v>
      </c>
      <c r="AM387" s="54">
        <v>917600.49</v>
      </c>
      <c r="AN387" s="54">
        <v>546664.05</v>
      </c>
      <c r="AO387" s="54">
        <v>166370.9</v>
      </c>
      <c r="AP387" s="53">
        <v>5879.33</v>
      </c>
      <c r="AQ387" s="53">
        <v>5744.77</v>
      </c>
      <c r="AR387" s="53">
        <v>5742.3</v>
      </c>
      <c r="AS387" s="53">
        <v>5738.9</v>
      </c>
      <c r="AT387" s="53">
        <v>5739.59</v>
      </c>
      <c r="AU387" s="53">
        <f t="array" ref="AU387">XLOOKUP(C387,'PL TOTAL D0'!A:A,'PL TOTAL D0'!C:C,"")</f>
        <v>5735.17</v>
      </c>
    </row>
    <row r="388" ht="15.75" customHeight="1">
      <c r="A388" s="41" t="s">
        <v>43</v>
      </c>
      <c r="B388" s="42" t="s">
        <v>1375</v>
      </c>
      <c r="C388" s="43" t="s">
        <v>1376</v>
      </c>
      <c r="D388" s="44" t="s">
        <v>105</v>
      </c>
      <c r="E388" s="45" t="s">
        <v>29</v>
      </c>
      <c r="F388" s="45" t="s">
        <v>1377</v>
      </c>
      <c r="G388" s="44" t="str">
        <f t="shared" si="1"/>
        <v>Bruno</v>
      </c>
      <c r="H388" s="46" t="s">
        <v>107</v>
      </c>
      <c r="I388" s="46" t="s">
        <v>24</v>
      </c>
      <c r="J388" s="44" t="str">
        <f t="shared" si="7"/>
        <v>Não</v>
      </c>
      <c r="K388" s="47">
        <v>45121.0</v>
      </c>
      <c r="L388" s="45"/>
      <c r="M388" s="45" t="s">
        <v>1378</v>
      </c>
      <c r="N388" s="48">
        <v>0.01</v>
      </c>
      <c r="O388" s="44" t="s">
        <v>48</v>
      </c>
      <c r="P388" s="49">
        <v>0.1</v>
      </c>
      <c r="Q388" s="50"/>
      <c r="R388" s="50"/>
      <c r="S388" s="45" t="s">
        <v>108</v>
      </c>
      <c r="T388" s="24" t="s">
        <v>1379</v>
      </c>
      <c r="U388" s="9" t="s">
        <v>29</v>
      </c>
      <c r="V388" s="51" t="str">
        <f t="shared" si="3"/>
        <v>Ativo</v>
      </c>
      <c r="W388" s="45"/>
      <c r="X388" s="52" t="s">
        <v>119</v>
      </c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>
        <v>936984.48</v>
      </c>
      <c r="AJ388" s="54">
        <v>1639182.88</v>
      </c>
      <c r="AK388" s="54">
        <v>1651362.48</v>
      </c>
      <c r="AL388" s="54">
        <v>1659459.85</v>
      </c>
      <c r="AM388" s="54">
        <v>1918493.21</v>
      </c>
      <c r="AN388" s="54">
        <v>1944601.82</v>
      </c>
      <c r="AO388" s="54">
        <v>1954335.64</v>
      </c>
      <c r="AP388" s="53">
        <v>1992127.38</v>
      </c>
      <c r="AQ388" s="53">
        <v>2007276.64</v>
      </c>
      <c r="AR388" s="53">
        <v>2016913.58</v>
      </c>
      <c r="AS388" s="53">
        <v>2019914.0</v>
      </c>
      <c r="AT388" s="53">
        <v>2034480.0</v>
      </c>
      <c r="AU388" s="53">
        <f t="array" ref="AU388">XLOOKUP(C388,'PL TOTAL D0'!A:A,'PL TOTAL D0'!C:C,"")</f>
        <v>2053591</v>
      </c>
    </row>
    <row r="389" ht="15.75" customHeight="1">
      <c r="A389" s="41" t="s">
        <v>43</v>
      </c>
      <c r="B389" s="42" t="s">
        <v>1380</v>
      </c>
      <c r="C389" s="43" t="s">
        <v>1381</v>
      </c>
      <c r="D389" s="44" t="s">
        <v>105</v>
      </c>
      <c r="E389" s="45" t="s">
        <v>29</v>
      </c>
      <c r="F389" s="44" t="s">
        <v>106</v>
      </c>
      <c r="G389" s="44" t="str">
        <f t="shared" si="1"/>
        <v>Augusto</v>
      </c>
      <c r="H389" s="46" t="s">
        <v>107</v>
      </c>
      <c r="I389" s="46" t="s">
        <v>24</v>
      </c>
      <c r="J389" s="44" t="str">
        <f t="shared" si="7"/>
        <v>Não</v>
      </c>
      <c r="K389" s="47">
        <v>45168.0</v>
      </c>
      <c r="L389" s="45"/>
      <c r="M389" s="45" t="s">
        <v>79</v>
      </c>
      <c r="N389" s="48">
        <v>0.01</v>
      </c>
      <c r="O389" s="44" t="s">
        <v>24</v>
      </c>
      <c r="P389" s="49">
        <v>0.0</v>
      </c>
      <c r="Q389" s="50"/>
      <c r="R389" s="50"/>
      <c r="S389" s="45" t="s">
        <v>108</v>
      </c>
      <c r="T389" s="24" t="s">
        <v>1382</v>
      </c>
      <c r="U389" s="9" t="s">
        <v>29</v>
      </c>
      <c r="V389" s="51" t="str">
        <f t="shared" si="3"/>
        <v>Ativo</v>
      </c>
      <c r="W389" s="45"/>
      <c r="X389" s="52" t="s">
        <v>110</v>
      </c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>
        <v>0.0</v>
      </c>
      <c r="AK389" s="54">
        <v>0.04</v>
      </c>
      <c r="AL389" s="54">
        <v>0.04</v>
      </c>
      <c r="AM389" s="54">
        <v>278931.46</v>
      </c>
      <c r="AN389" s="54">
        <v>300464.54</v>
      </c>
      <c r="AO389" s="54">
        <v>297710.46</v>
      </c>
      <c r="AP389" s="53">
        <v>293881.77</v>
      </c>
      <c r="AQ389" s="53">
        <v>265516.8</v>
      </c>
      <c r="AR389" s="53">
        <v>276597.73</v>
      </c>
      <c r="AS389" s="53">
        <v>276925.6</v>
      </c>
      <c r="AT389" s="53">
        <v>273326.2</v>
      </c>
      <c r="AU389" s="53">
        <f t="array" ref="AU389">XLOOKUP(C389,'PL TOTAL D0'!A:A,'PL TOTAL D0'!C:C,"")</f>
        <v>276191.9</v>
      </c>
    </row>
    <row r="390" ht="15.75" customHeight="1">
      <c r="A390" s="41" t="s">
        <v>43</v>
      </c>
      <c r="B390" s="42" t="s">
        <v>1383</v>
      </c>
      <c r="C390" s="43" t="s">
        <v>1384</v>
      </c>
      <c r="D390" s="44" t="s">
        <v>18</v>
      </c>
      <c r="E390" s="45" t="s">
        <v>176</v>
      </c>
      <c r="F390" s="44" t="s">
        <v>177</v>
      </c>
      <c r="G390" s="44" t="str">
        <f t="shared" si="1"/>
        <v>Augusto</v>
      </c>
      <c r="H390" s="46" t="s">
        <v>107</v>
      </c>
      <c r="I390" s="46" t="s">
        <v>24</v>
      </c>
      <c r="J390" s="44" t="str">
        <f t="shared" si="7"/>
        <v>Não</v>
      </c>
      <c r="K390" s="47">
        <v>44986.0</v>
      </c>
      <c r="L390" s="45"/>
      <c r="M390" s="45" t="s">
        <v>55</v>
      </c>
      <c r="N390" s="48">
        <v>0.012</v>
      </c>
      <c r="O390" s="44" t="s">
        <v>24</v>
      </c>
      <c r="P390" s="49">
        <v>0.0</v>
      </c>
      <c r="Q390" s="50"/>
      <c r="R390" s="50"/>
      <c r="S390" s="45" t="s">
        <v>108</v>
      </c>
      <c r="T390" s="24" t="s">
        <v>1385</v>
      </c>
      <c r="U390" s="9" t="s">
        <v>180</v>
      </c>
      <c r="V390" s="51" t="str">
        <f t="shared" si="3"/>
        <v>Ativo</v>
      </c>
      <c r="W390" s="45"/>
      <c r="X390" s="52" t="s">
        <v>119</v>
      </c>
      <c r="Y390" s="54"/>
      <c r="Z390" s="54"/>
      <c r="AA390" s="54"/>
      <c r="AB390" s="54"/>
      <c r="AC390" s="54"/>
      <c r="AD390" s="54">
        <v>152071.36</v>
      </c>
      <c r="AE390" s="54">
        <v>127283.37</v>
      </c>
      <c r="AF390" s="54">
        <v>128816.6</v>
      </c>
      <c r="AG390" s="54">
        <v>130817.66</v>
      </c>
      <c r="AH390" s="54">
        <v>136023.07</v>
      </c>
      <c r="AI390" s="54">
        <v>137240.08</v>
      </c>
      <c r="AJ390" s="54">
        <v>137914.67</v>
      </c>
      <c r="AK390" s="54">
        <v>138132.74</v>
      </c>
      <c r="AL390" s="54">
        <v>139024.4</v>
      </c>
      <c r="AM390" s="54">
        <v>145608.02</v>
      </c>
      <c r="AN390" s="54">
        <v>146890.58</v>
      </c>
      <c r="AO390" s="54">
        <v>147481.45</v>
      </c>
      <c r="AP390" s="53">
        <v>148492.73</v>
      </c>
      <c r="AQ390" s="53">
        <v>158703.75</v>
      </c>
      <c r="AR390" s="53">
        <v>159134.3</v>
      </c>
      <c r="AS390" s="53">
        <v>169930.7</v>
      </c>
      <c r="AT390" s="53">
        <v>188683.7</v>
      </c>
      <c r="AU390" s="53">
        <f t="array" ref="AU390">XLOOKUP(C390,'PL TOTAL D0'!A:A,'PL TOTAL D0'!C:C,"")</f>
        <v>189274.6</v>
      </c>
    </row>
    <row r="391" ht="15.75" customHeight="1">
      <c r="A391" s="41" t="s">
        <v>43</v>
      </c>
      <c r="B391" s="42" t="s">
        <v>1386</v>
      </c>
      <c r="C391" s="43" t="s">
        <v>1387</v>
      </c>
      <c r="D391" s="44" t="s">
        <v>18</v>
      </c>
      <c r="E391" s="45" t="s">
        <v>176</v>
      </c>
      <c r="F391" s="44" t="s">
        <v>177</v>
      </c>
      <c r="G391" s="44" t="str">
        <f t="shared" si="1"/>
        <v>Augusto</v>
      </c>
      <c r="H391" s="46" t="s">
        <v>107</v>
      </c>
      <c r="I391" s="46" t="s">
        <v>24</v>
      </c>
      <c r="J391" s="44" t="str">
        <f t="shared" si="7"/>
        <v>Não</v>
      </c>
      <c r="K391" s="47">
        <v>45000.0</v>
      </c>
      <c r="L391" s="45"/>
      <c r="M391" s="45" t="s">
        <v>190</v>
      </c>
      <c r="N391" s="48">
        <v>0.025</v>
      </c>
      <c r="O391" s="44" t="s">
        <v>191</v>
      </c>
      <c r="P391" s="49">
        <v>0.2</v>
      </c>
      <c r="Q391" s="50"/>
      <c r="R391" s="50"/>
      <c r="S391" s="45" t="s">
        <v>108</v>
      </c>
      <c r="T391" s="24" t="s">
        <v>1385</v>
      </c>
      <c r="U391" s="9" t="s">
        <v>180</v>
      </c>
      <c r="V391" s="51" t="str">
        <f t="shared" si="3"/>
        <v>Ativo</v>
      </c>
      <c r="W391" s="45"/>
      <c r="X391" s="52" t="s">
        <v>119</v>
      </c>
      <c r="Y391" s="54"/>
      <c r="Z391" s="54"/>
      <c r="AA391" s="54"/>
      <c r="AB391" s="54"/>
      <c r="AC391" s="54"/>
      <c r="AD391" s="54">
        <v>0.0</v>
      </c>
      <c r="AE391" s="54">
        <v>29418.53</v>
      </c>
      <c r="AF391" s="54">
        <v>34251.92</v>
      </c>
      <c r="AG391" s="54">
        <v>44968.78</v>
      </c>
      <c r="AH391" s="54">
        <v>78704.46</v>
      </c>
      <c r="AI391" s="54">
        <v>97953.34</v>
      </c>
      <c r="AJ391" s="54">
        <v>112828.31</v>
      </c>
      <c r="AK391" s="54">
        <v>117502.45</v>
      </c>
      <c r="AL391" s="54">
        <v>117141.19</v>
      </c>
      <c r="AM391" s="54">
        <v>125890.79</v>
      </c>
      <c r="AN391" s="54">
        <v>131903.05</v>
      </c>
      <c r="AO391" s="54">
        <v>122782.8</v>
      </c>
      <c r="AP391" s="53">
        <v>124471.72</v>
      </c>
      <c r="AQ391" s="53">
        <v>136394.09</v>
      </c>
      <c r="AR391" s="53">
        <v>130721.36</v>
      </c>
      <c r="AS391" s="53">
        <v>126654.4</v>
      </c>
      <c r="AT391" s="53">
        <v>146667.8</v>
      </c>
      <c r="AU391" s="53">
        <f t="array" ref="AU391">XLOOKUP(C391,'PL TOTAL D0'!A:A,'PL TOTAL D0'!C:C,"")</f>
        <v>153376.4</v>
      </c>
    </row>
    <row r="392" ht="15.75" customHeight="1">
      <c r="A392" s="6" t="s">
        <v>43</v>
      </c>
      <c r="B392" s="42" t="s">
        <v>1388</v>
      </c>
      <c r="C392" s="56" t="s">
        <v>1389</v>
      </c>
      <c r="D392" s="9" t="s">
        <v>18</v>
      </c>
      <c r="E392" s="24" t="s">
        <v>19</v>
      </c>
      <c r="F392" s="9" t="s">
        <v>122</v>
      </c>
      <c r="G392" s="44" t="str">
        <f t="shared" si="1"/>
        <v>#N/A</v>
      </c>
      <c r="H392" s="51" t="s">
        <v>147</v>
      </c>
      <c r="I392" s="51" t="s">
        <v>161</v>
      </c>
      <c r="J392" s="44" t="str">
        <f t="shared" si="7"/>
        <v>Não</v>
      </c>
      <c r="K392" s="57">
        <v>45306.0</v>
      </c>
      <c r="L392" s="45"/>
      <c r="M392" s="24" t="s">
        <v>55</v>
      </c>
      <c r="N392" s="58">
        <v>0.012</v>
      </c>
      <c r="O392" s="9" t="s">
        <v>24</v>
      </c>
      <c r="P392" s="59">
        <v>0.0</v>
      </c>
      <c r="Q392" s="78"/>
      <c r="R392" s="50"/>
      <c r="S392" s="24" t="s">
        <v>108</v>
      </c>
      <c r="T392" s="24" t="s">
        <v>1390</v>
      </c>
      <c r="U392" s="9" t="s">
        <v>19</v>
      </c>
      <c r="V392" s="51" t="str">
        <f t="shared" si="3"/>
        <v>Ativo</v>
      </c>
      <c r="W392" s="45"/>
      <c r="X392" s="52" t="s">
        <v>119</v>
      </c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>
        <v>0.0</v>
      </c>
      <c r="AP392" s="53">
        <v>0.0</v>
      </c>
      <c r="AQ392" s="53">
        <v>0.0</v>
      </c>
      <c r="AR392" s="53">
        <v>0.0</v>
      </c>
      <c r="AS392" s="53">
        <v>0.0</v>
      </c>
      <c r="AT392" s="53">
        <v>0.0</v>
      </c>
      <c r="AU392" s="53" t="str">
        <f t="array" ref="AU392">XLOOKUP(C392,'PL TOTAL D0'!A:A,'PL TOTAL D0'!C:C,"")</f>
        <v/>
      </c>
    </row>
    <row r="393" ht="15.75" customHeight="1">
      <c r="A393" s="6" t="s">
        <v>43</v>
      </c>
      <c r="B393" s="64" t="s">
        <v>1391</v>
      </c>
      <c r="C393" s="65" t="s">
        <v>1392</v>
      </c>
      <c r="D393" s="9" t="s">
        <v>105</v>
      </c>
      <c r="E393" s="24" t="s">
        <v>29</v>
      </c>
      <c r="F393" s="9" t="s">
        <v>698</v>
      </c>
      <c r="G393" s="44" t="str">
        <f t="shared" si="1"/>
        <v>Augusto</v>
      </c>
      <c r="H393" s="51" t="s">
        <v>107</v>
      </c>
      <c r="I393" s="51" t="s">
        <v>24</v>
      </c>
      <c r="J393" s="44" t="str">
        <f t="shared" si="7"/>
        <v>Não</v>
      </c>
      <c r="K393" s="57">
        <v>45419.0</v>
      </c>
      <c r="L393" s="45"/>
      <c r="M393" s="24" t="s">
        <v>55</v>
      </c>
      <c r="N393" s="58">
        <v>0.01</v>
      </c>
      <c r="O393" s="9" t="s">
        <v>24</v>
      </c>
      <c r="P393" s="59">
        <v>0.0</v>
      </c>
      <c r="Q393" s="78"/>
      <c r="R393" s="50"/>
      <c r="S393" s="24" t="s">
        <v>108</v>
      </c>
      <c r="T393" s="24" t="s">
        <v>1393</v>
      </c>
      <c r="U393" s="9" t="s">
        <v>29</v>
      </c>
      <c r="V393" s="51" t="str">
        <f t="shared" si="3"/>
        <v>Ativo</v>
      </c>
      <c r="W393" s="24" t="s">
        <v>75</v>
      </c>
      <c r="X393" s="52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3"/>
      <c r="AQ393" s="53"/>
      <c r="AR393" s="53"/>
      <c r="AS393" s="53">
        <v>221472.6</v>
      </c>
      <c r="AT393" s="53">
        <v>223404.9</v>
      </c>
      <c r="AU393" s="53">
        <f t="array" ref="AU393">XLOOKUP(C393,'PL TOTAL D0'!A:A,'PL TOTAL D0'!C:C,"")</f>
        <v>224213.4</v>
      </c>
    </row>
    <row r="394" ht="15.75" customHeight="1">
      <c r="A394" s="41" t="s">
        <v>43</v>
      </c>
      <c r="B394" s="42" t="s">
        <v>1394</v>
      </c>
      <c r="C394" s="43" t="s">
        <v>1395</v>
      </c>
      <c r="D394" s="44" t="s">
        <v>18</v>
      </c>
      <c r="E394" s="45" t="s">
        <v>19</v>
      </c>
      <c r="F394" s="44" t="s">
        <v>20</v>
      </c>
      <c r="G394" s="44" t="str">
        <f t="shared" si="1"/>
        <v>#N/A</v>
      </c>
      <c r="H394" s="51" t="s">
        <v>186</v>
      </c>
      <c r="I394" s="46" t="s">
        <v>24</v>
      </c>
      <c r="J394" s="44" t="str">
        <f t="shared" si="7"/>
        <v>Não</v>
      </c>
      <c r="K394" s="47">
        <v>44913.0</v>
      </c>
      <c r="L394" s="82">
        <v>45293.0</v>
      </c>
      <c r="M394" s="45" t="s">
        <v>47</v>
      </c>
      <c r="N394" s="48">
        <v>0.015</v>
      </c>
      <c r="O394" s="44" t="s">
        <v>48</v>
      </c>
      <c r="P394" s="49">
        <v>0.1</v>
      </c>
      <c r="Q394" s="50"/>
      <c r="R394" s="50"/>
      <c r="S394" s="45" t="s">
        <v>108</v>
      </c>
      <c r="T394" s="24" t="s">
        <v>1396</v>
      </c>
      <c r="U394" s="9" t="s">
        <v>791</v>
      </c>
      <c r="V394" s="51" t="str">
        <f t="shared" si="3"/>
        <v>Encerrado</v>
      </c>
      <c r="W394" s="45"/>
      <c r="X394" s="52"/>
      <c r="Y394" s="54"/>
      <c r="Z394" s="54"/>
      <c r="AA394" s="54"/>
      <c r="AB394" s="54"/>
      <c r="AC394" s="54">
        <v>322525.9</v>
      </c>
      <c r="AD394" s="54">
        <v>322404.64</v>
      </c>
      <c r="AE394" s="54">
        <v>322729.09</v>
      </c>
      <c r="AF394" s="54">
        <v>323308.41</v>
      </c>
      <c r="AG394" s="54">
        <v>326697.58</v>
      </c>
      <c r="AH394" s="54">
        <v>328100.56</v>
      </c>
      <c r="AI394" s="54">
        <v>330975.28</v>
      </c>
      <c r="AJ394" s="54">
        <v>334242.33</v>
      </c>
      <c r="AK394" s="54">
        <v>336999.22</v>
      </c>
      <c r="AL394" s="54">
        <v>340099.71</v>
      </c>
      <c r="AM394" s="54">
        <v>342703.83</v>
      </c>
      <c r="AN394" s="54">
        <v>345237.77</v>
      </c>
      <c r="AO394" s="54">
        <v>0.0</v>
      </c>
      <c r="AP394" s="53">
        <v>0.0</v>
      </c>
      <c r="AQ394" s="53">
        <v>0.0</v>
      </c>
      <c r="AR394" s="53">
        <v>0.0</v>
      </c>
      <c r="AS394" s="53">
        <v>0.0</v>
      </c>
      <c r="AT394" s="53">
        <v>0.0</v>
      </c>
      <c r="AU394" s="53" t="str">
        <f t="array" ref="AU394">XLOOKUP(C394,'PL TOTAL D0'!A:A,'PL TOTAL D0'!C:C,"")</f>
        <v/>
      </c>
    </row>
    <row r="395" ht="15.75" customHeight="1">
      <c r="A395" s="41" t="s">
        <v>43</v>
      </c>
      <c r="B395" s="61" t="s">
        <v>1397</v>
      </c>
      <c r="C395" s="43" t="s">
        <v>1398</v>
      </c>
      <c r="D395" s="44" t="s">
        <v>105</v>
      </c>
      <c r="E395" s="45" t="s">
        <v>29</v>
      </c>
      <c r="F395" s="44" t="s">
        <v>1399</v>
      </c>
      <c r="G395" s="44" t="str">
        <f t="shared" si="1"/>
        <v>Augusto</v>
      </c>
      <c r="H395" s="46" t="s">
        <v>107</v>
      </c>
      <c r="I395" s="46" t="s">
        <v>24</v>
      </c>
      <c r="J395" s="44" t="str">
        <f t="shared" si="7"/>
        <v>Não</v>
      </c>
      <c r="K395" s="47">
        <v>45009.0</v>
      </c>
      <c r="L395" s="45"/>
      <c r="M395" s="45" t="s">
        <v>47</v>
      </c>
      <c r="N395" s="48">
        <v>0.015</v>
      </c>
      <c r="O395" s="44" t="s">
        <v>48</v>
      </c>
      <c r="P395" s="49">
        <v>0.1</v>
      </c>
      <c r="Q395" s="50"/>
      <c r="R395" s="50"/>
      <c r="S395" s="45" t="s">
        <v>108</v>
      </c>
      <c r="T395" s="24" t="s">
        <v>1400</v>
      </c>
      <c r="U395" s="9" t="s">
        <v>29</v>
      </c>
      <c r="V395" s="51" t="str">
        <f t="shared" si="3"/>
        <v>Ativo</v>
      </c>
      <c r="W395" s="45"/>
      <c r="X395" s="52" t="s">
        <v>119</v>
      </c>
      <c r="Y395" s="54"/>
      <c r="Z395" s="54"/>
      <c r="AA395" s="54"/>
      <c r="AB395" s="54"/>
      <c r="AC395" s="54"/>
      <c r="AD395" s="54"/>
      <c r="AE395" s="54">
        <v>246513.1</v>
      </c>
      <c r="AF395" s="54">
        <v>247654.61</v>
      </c>
      <c r="AG395" s="54">
        <v>302958.03</v>
      </c>
      <c r="AH395" s="54">
        <v>308792.89</v>
      </c>
      <c r="AI395" s="54">
        <v>312544.0</v>
      </c>
      <c r="AJ395" s="54">
        <v>312075.07</v>
      </c>
      <c r="AK395" s="54">
        <v>313703.35</v>
      </c>
      <c r="AL395" s="54">
        <v>313206.47</v>
      </c>
      <c r="AM395" s="54">
        <v>319545.01</v>
      </c>
      <c r="AN395" s="54">
        <v>325700.31</v>
      </c>
      <c r="AO395" s="54">
        <v>320472.12</v>
      </c>
      <c r="AP395" s="53">
        <v>323390.18</v>
      </c>
      <c r="AQ395" s="53">
        <v>325439.29</v>
      </c>
      <c r="AR395" s="53">
        <v>322592.07</v>
      </c>
      <c r="AS395" s="53">
        <v>321154.8</v>
      </c>
      <c r="AT395" s="53">
        <v>323057.2</v>
      </c>
      <c r="AU395" s="53">
        <f t="array" ref="AU395">XLOOKUP(C395,'PL TOTAL D0'!A:A,'PL TOTAL D0'!C:C,"")</f>
        <v>327958</v>
      </c>
    </row>
    <row r="396" ht="15.75" customHeight="1">
      <c r="A396" s="41" t="s">
        <v>43</v>
      </c>
      <c r="B396" s="97" t="s">
        <v>1401</v>
      </c>
      <c r="C396" s="43" t="s">
        <v>1402</v>
      </c>
      <c r="D396" s="44" t="s">
        <v>18</v>
      </c>
      <c r="E396" s="45" t="s">
        <v>19</v>
      </c>
      <c r="F396" s="44" t="s">
        <v>20</v>
      </c>
      <c r="G396" s="44" t="str">
        <f t="shared" si="1"/>
        <v>Augusto</v>
      </c>
      <c r="H396" s="51" t="s">
        <v>107</v>
      </c>
      <c r="I396" s="51" t="s">
        <v>24</v>
      </c>
      <c r="J396" s="44" t="str">
        <f t="shared" si="7"/>
        <v>Não</v>
      </c>
      <c r="K396" s="47">
        <v>45225.0</v>
      </c>
      <c r="L396" s="45"/>
      <c r="M396" s="45" t="s">
        <v>55</v>
      </c>
      <c r="N396" s="48">
        <v>0.012</v>
      </c>
      <c r="O396" s="44" t="s">
        <v>24</v>
      </c>
      <c r="P396" s="49">
        <v>0.0</v>
      </c>
      <c r="Q396" s="15"/>
      <c r="R396" s="50"/>
      <c r="S396" s="45" t="s">
        <v>108</v>
      </c>
      <c r="T396" s="24" t="s">
        <v>1403</v>
      </c>
      <c r="U396" s="9" t="s">
        <v>19</v>
      </c>
      <c r="V396" s="51" t="str">
        <f t="shared" si="3"/>
        <v>Ativo</v>
      </c>
      <c r="W396" s="45"/>
      <c r="X396" s="52" t="s">
        <v>119</v>
      </c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>
        <v>0.0</v>
      </c>
      <c r="AM396" s="54">
        <v>0.0</v>
      </c>
      <c r="AN396" s="54">
        <v>0.0</v>
      </c>
      <c r="AO396" s="54">
        <v>5000.0</v>
      </c>
      <c r="AP396" s="53">
        <v>21451.35</v>
      </c>
      <c r="AQ396" s="53">
        <v>26596.87</v>
      </c>
      <c r="AR396" s="53">
        <v>111879.65</v>
      </c>
      <c r="AS396" s="53">
        <v>117903.9</v>
      </c>
      <c r="AT396" s="53">
        <v>143373.8</v>
      </c>
      <c r="AU396" s="53">
        <f t="array" ref="AU396">XLOOKUP(C396,'PL TOTAL D0'!A:A,'PL TOTAL D0'!C:C,"")</f>
        <v>143896.8</v>
      </c>
    </row>
    <row r="397" ht="15.75" customHeight="1">
      <c r="A397" s="41" t="s">
        <v>43</v>
      </c>
      <c r="B397" s="42" t="s">
        <v>1404</v>
      </c>
      <c r="C397" s="43" t="s">
        <v>1405</v>
      </c>
      <c r="D397" s="44" t="s">
        <v>18</v>
      </c>
      <c r="E397" s="45" t="s">
        <v>19</v>
      </c>
      <c r="F397" s="44" t="s">
        <v>256</v>
      </c>
      <c r="G397" s="44" t="str">
        <f t="shared" si="1"/>
        <v>Augusto</v>
      </c>
      <c r="H397" s="46" t="s">
        <v>107</v>
      </c>
      <c r="I397" s="51" t="s">
        <v>24</v>
      </c>
      <c r="J397" s="44" t="str">
        <f t="shared" si="7"/>
        <v>Não</v>
      </c>
      <c r="K397" s="47">
        <v>45265.0</v>
      </c>
      <c r="L397" s="45"/>
      <c r="M397" s="45" t="s">
        <v>55</v>
      </c>
      <c r="N397" s="48">
        <v>0.012</v>
      </c>
      <c r="O397" s="44" t="s">
        <v>24</v>
      </c>
      <c r="P397" s="49">
        <v>0.0</v>
      </c>
      <c r="Q397" s="97"/>
      <c r="R397" s="50"/>
      <c r="S397" s="45" t="s">
        <v>108</v>
      </c>
      <c r="T397" s="24" t="s">
        <v>1406</v>
      </c>
      <c r="U397" s="9" t="s">
        <v>19</v>
      </c>
      <c r="V397" s="51" t="str">
        <f t="shared" si="3"/>
        <v>Ativo</v>
      </c>
      <c r="W397" s="45"/>
      <c r="X397" s="52" t="s">
        <v>119</v>
      </c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>
        <v>0.0</v>
      </c>
      <c r="AN397" s="54">
        <v>233048.01</v>
      </c>
      <c r="AO397" s="54">
        <v>226519.07</v>
      </c>
      <c r="AP397" s="53">
        <v>214037.77</v>
      </c>
      <c r="AQ397" s="53">
        <v>154923.63</v>
      </c>
      <c r="AR397" s="53">
        <v>135420.97</v>
      </c>
      <c r="AS397" s="53">
        <v>105657.9</v>
      </c>
      <c r="AT397" s="53">
        <v>86126.8</v>
      </c>
      <c r="AU397" s="53">
        <f t="array" ref="AU397">XLOOKUP(C397,'PL TOTAL D0'!A:A,'PL TOTAL D0'!C:C,"")</f>
        <v>86393.4</v>
      </c>
    </row>
    <row r="398" ht="15.75" customHeight="1">
      <c r="A398" s="41" t="s">
        <v>43</v>
      </c>
      <c r="B398" s="42" t="s">
        <v>1407</v>
      </c>
      <c r="C398" s="43" t="s">
        <v>1408</v>
      </c>
      <c r="D398" s="44" t="s">
        <v>105</v>
      </c>
      <c r="E398" s="45" t="s">
        <v>29</v>
      </c>
      <c r="F398" s="44" t="s">
        <v>816</v>
      </c>
      <c r="G398" s="44" t="str">
        <f t="shared" si="1"/>
        <v>#N/A</v>
      </c>
      <c r="H398" s="51" t="s">
        <v>186</v>
      </c>
      <c r="I398" s="51" t="s">
        <v>24</v>
      </c>
      <c r="J398" s="44" t="str">
        <f t="shared" si="7"/>
        <v>Não</v>
      </c>
      <c r="K398" s="47">
        <v>45098.0</v>
      </c>
      <c r="L398" s="82">
        <v>45449.0</v>
      </c>
      <c r="M398" s="45" t="s">
        <v>149</v>
      </c>
      <c r="N398" s="48">
        <v>0.002</v>
      </c>
      <c r="O398" s="44" t="s">
        <v>191</v>
      </c>
      <c r="P398" s="49">
        <v>0.2</v>
      </c>
      <c r="Q398" s="50"/>
      <c r="R398" s="60" t="s">
        <v>239</v>
      </c>
      <c r="S398" s="45" t="s">
        <v>108</v>
      </c>
      <c r="T398" s="24" t="s">
        <v>1409</v>
      </c>
      <c r="U398" s="9" t="s">
        <v>29</v>
      </c>
      <c r="V398" s="51" t="str">
        <f t="shared" si="3"/>
        <v>Encerrado</v>
      </c>
      <c r="W398" s="45"/>
      <c r="X398" s="52" t="s">
        <v>1269</v>
      </c>
      <c r="Y398" s="54"/>
      <c r="Z398" s="54"/>
      <c r="AA398" s="54"/>
      <c r="AB398" s="54"/>
      <c r="AC398" s="54"/>
      <c r="AD398" s="54"/>
      <c r="AE398" s="54"/>
      <c r="AF398" s="54">
        <v>0.0</v>
      </c>
      <c r="AG398" s="54">
        <v>0.0</v>
      </c>
      <c r="AH398" s="54">
        <v>5730277.89</v>
      </c>
      <c r="AI398" s="54">
        <v>9062219.04</v>
      </c>
      <c r="AJ398" s="54">
        <v>9332207.65</v>
      </c>
      <c r="AK398" s="54">
        <v>0.0</v>
      </c>
      <c r="AL398" s="54">
        <v>0.0</v>
      </c>
      <c r="AM398" s="54">
        <v>0.0</v>
      </c>
      <c r="AN398" s="54">
        <v>0.0</v>
      </c>
      <c r="AO398" s="54">
        <v>0.0</v>
      </c>
      <c r="AP398" s="53">
        <v>0.0</v>
      </c>
      <c r="AQ398" s="53">
        <v>0.0</v>
      </c>
      <c r="AR398" s="53">
        <v>0.0</v>
      </c>
      <c r="AS398" s="53">
        <v>0.0</v>
      </c>
      <c r="AT398" s="53">
        <v>0.0</v>
      </c>
      <c r="AU398" s="53" t="str">
        <f t="array" ref="AU398">XLOOKUP(C398,'PL TOTAL D0'!A:A,'PL TOTAL D0'!C:C,"")</f>
        <v/>
      </c>
    </row>
    <row r="399" ht="15.75" customHeight="1">
      <c r="A399" s="41" t="s">
        <v>43</v>
      </c>
      <c r="B399" s="61" t="s">
        <v>1410</v>
      </c>
      <c r="C399" s="43" t="s">
        <v>1411</v>
      </c>
      <c r="D399" s="44" t="s">
        <v>18</v>
      </c>
      <c r="E399" s="45" t="s">
        <v>176</v>
      </c>
      <c r="F399" s="44" t="s">
        <v>177</v>
      </c>
      <c r="G399" s="44" t="str">
        <f t="shared" si="1"/>
        <v>Breno</v>
      </c>
      <c r="H399" s="46" t="s">
        <v>107</v>
      </c>
      <c r="I399" s="46" t="s">
        <v>24</v>
      </c>
      <c r="J399" s="44" t="str">
        <f t="shared" si="7"/>
        <v>Não</v>
      </c>
      <c r="K399" s="47">
        <v>45075.0</v>
      </c>
      <c r="L399" s="45"/>
      <c r="M399" s="45" t="s">
        <v>47</v>
      </c>
      <c r="N399" s="48">
        <v>0.015</v>
      </c>
      <c r="O399" s="44" t="s">
        <v>48</v>
      </c>
      <c r="P399" s="49">
        <v>0.1</v>
      </c>
      <c r="Q399" s="50"/>
      <c r="R399" s="50"/>
      <c r="S399" s="45" t="s">
        <v>108</v>
      </c>
      <c r="T399" s="24" t="s">
        <v>1412</v>
      </c>
      <c r="U399" s="9" t="s">
        <v>180</v>
      </c>
      <c r="V399" s="51" t="str">
        <f t="shared" si="3"/>
        <v>Ativo</v>
      </c>
      <c r="W399" s="45"/>
      <c r="X399" s="52" t="s">
        <v>110</v>
      </c>
      <c r="Y399" s="54"/>
      <c r="Z399" s="54"/>
      <c r="AA399" s="54"/>
      <c r="AB399" s="54"/>
      <c r="AC399" s="54"/>
      <c r="AD399" s="54"/>
      <c r="AE399" s="54">
        <v>0.0</v>
      </c>
      <c r="AF399" s="54">
        <v>0.0</v>
      </c>
      <c r="AG399" s="54">
        <v>747604.76</v>
      </c>
      <c r="AH399" s="54">
        <v>798854.32</v>
      </c>
      <c r="AI399" s="54">
        <v>806756.24</v>
      </c>
      <c r="AJ399" s="54">
        <v>802901.84</v>
      </c>
      <c r="AK399" s="54">
        <v>806777.51</v>
      </c>
      <c r="AL399" s="54">
        <v>804365.53</v>
      </c>
      <c r="AM399" s="54">
        <v>822674.38</v>
      </c>
      <c r="AN399" s="54">
        <v>836767.0</v>
      </c>
      <c r="AO399" s="54">
        <v>822850.8</v>
      </c>
      <c r="AP399" s="53">
        <v>828215.08</v>
      </c>
      <c r="AQ399" s="53">
        <v>837618.2</v>
      </c>
      <c r="AR399" s="53">
        <v>827225.21</v>
      </c>
      <c r="AS399" s="53">
        <v>823717.8</v>
      </c>
      <c r="AT399" s="53">
        <v>828812.6</v>
      </c>
      <c r="AU399" s="53">
        <f t="array" ref="AU399">XLOOKUP(C399,'PL TOTAL D0'!A:A,'PL TOTAL D0'!C:C,"")</f>
        <v>839280.3</v>
      </c>
    </row>
    <row r="400" ht="15.75" customHeight="1">
      <c r="A400" s="41" t="s">
        <v>43</v>
      </c>
      <c r="B400" s="42" t="s">
        <v>1413</v>
      </c>
      <c r="C400" s="43" t="s">
        <v>1414</v>
      </c>
      <c r="D400" s="44" t="s">
        <v>18</v>
      </c>
      <c r="E400" s="45" t="s">
        <v>29</v>
      </c>
      <c r="F400" s="9" t="s">
        <v>632</v>
      </c>
      <c r="G400" s="44" t="str">
        <f t="shared" si="1"/>
        <v>Augusto</v>
      </c>
      <c r="H400" s="46" t="s">
        <v>107</v>
      </c>
      <c r="I400" s="46" t="s">
        <v>24</v>
      </c>
      <c r="J400" s="44" t="str">
        <f t="shared" si="7"/>
        <v>Não</v>
      </c>
      <c r="K400" s="47">
        <v>45139.0</v>
      </c>
      <c r="L400" s="45"/>
      <c r="M400" s="45" t="s">
        <v>55</v>
      </c>
      <c r="N400" s="48">
        <v>0.007</v>
      </c>
      <c r="O400" s="44" t="s">
        <v>24</v>
      </c>
      <c r="P400" s="49">
        <v>0.0</v>
      </c>
      <c r="Q400" s="63"/>
      <c r="R400" s="70" t="s">
        <v>633</v>
      </c>
      <c r="S400" s="45" t="s">
        <v>108</v>
      </c>
      <c r="T400" s="24" t="s">
        <v>1415</v>
      </c>
      <c r="U400" s="9" t="s">
        <v>19</v>
      </c>
      <c r="V400" s="51" t="str">
        <f t="shared" si="3"/>
        <v>Ativo</v>
      </c>
      <c r="W400" s="45"/>
      <c r="X400" s="52" t="s">
        <v>119</v>
      </c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>
        <v>10339.45</v>
      </c>
      <c r="AK400" s="54">
        <v>10446.65</v>
      </c>
      <c r="AL400" s="54">
        <v>15053.15</v>
      </c>
      <c r="AM400" s="54">
        <v>18125.33</v>
      </c>
      <c r="AN400" s="54">
        <v>25261.81</v>
      </c>
      <c r="AO400" s="54">
        <v>30392.48</v>
      </c>
      <c r="AP400" s="53">
        <v>35092.04</v>
      </c>
      <c r="AQ400" s="53">
        <v>41435.87</v>
      </c>
      <c r="AR400" s="53">
        <v>44756.96</v>
      </c>
      <c r="AS400" s="53">
        <v>50812.18</v>
      </c>
      <c r="AT400" s="53">
        <v>57267.55</v>
      </c>
      <c r="AU400" s="53">
        <f t="array" ref="AU400">XLOOKUP(C400,'PL TOTAL D0'!A:A,'PL TOTAL D0'!C:C,"")</f>
        <v>61477.04</v>
      </c>
    </row>
    <row r="401" ht="15.75" customHeight="1">
      <c r="A401" s="41" t="s">
        <v>43</v>
      </c>
      <c r="B401" s="42" t="s">
        <v>1416</v>
      </c>
      <c r="C401" s="43" t="s">
        <v>1417</v>
      </c>
      <c r="D401" s="44" t="s">
        <v>18</v>
      </c>
      <c r="E401" s="45" t="s">
        <v>19</v>
      </c>
      <c r="F401" s="44" t="s">
        <v>122</v>
      </c>
      <c r="G401" s="44" t="str">
        <f t="shared" si="1"/>
        <v>Bruno</v>
      </c>
      <c r="H401" s="46" t="s">
        <v>107</v>
      </c>
      <c r="I401" s="46" t="s">
        <v>24</v>
      </c>
      <c r="J401" s="44" t="str">
        <f t="shared" si="7"/>
        <v>Sim</v>
      </c>
      <c r="K401" s="47">
        <v>45168.0</v>
      </c>
      <c r="L401" s="72"/>
      <c r="M401" s="45" t="s">
        <v>55</v>
      </c>
      <c r="N401" s="48">
        <v>0.01</v>
      </c>
      <c r="O401" s="44" t="s">
        <v>24</v>
      </c>
      <c r="P401" s="49">
        <v>0.0</v>
      </c>
      <c r="Q401" s="60" t="s">
        <v>1418</v>
      </c>
      <c r="R401" s="50"/>
      <c r="S401" s="45" t="s">
        <v>108</v>
      </c>
      <c r="T401" s="24" t="s">
        <v>1419</v>
      </c>
      <c r="U401" s="9" t="s">
        <v>19</v>
      </c>
      <c r="V401" s="51" t="str">
        <f t="shared" si="3"/>
        <v>Ativo</v>
      </c>
      <c r="W401" s="45"/>
      <c r="X401" s="52" t="s">
        <v>110</v>
      </c>
      <c r="Y401" s="54"/>
      <c r="Z401" s="54"/>
      <c r="AA401" s="54"/>
      <c r="AB401" s="54"/>
      <c r="AC401" s="54">
        <v>0.0</v>
      </c>
      <c r="AD401" s="54">
        <v>0.0</v>
      </c>
      <c r="AE401" s="54">
        <v>0.0</v>
      </c>
      <c r="AF401" s="54">
        <v>0.0</v>
      </c>
      <c r="AG401" s="54">
        <v>0.0</v>
      </c>
      <c r="AH401" s="54">
        <v>0.0</v>
      </c>
      <c r="AI401" s="54">
        <v>0.0</v>
      </c>
      <c r="AJ401" s="54">
        <v>2695076.71</v>
      </c>
      <c r="AK401" s="54">
        <v>2708443.2</v>
      </c>
      <c r="AL401" s="54">
        <v>2726002.4</v>
      </c>
      <c r="AM401" s="54">
        <v>2757970.69</v>
      </c>
      <c r="AN401" s="54">
        <v>2784573.51</v>
      </c>
      <c r="AO401" s="54">
        <v>2818899.59</v>
      </c>
      <c r="AP401" s="53">
        <v>2842235.94</v>
      </c>
      <c r="AQ401" s="53">
        <v>2847042.41</v>
      </c>
      <c r="AR401" s="53">
        <v>2859977.57</v>
      </c>
      <c r="AS401" s="53">
        <v>2874803.0</v>
      </c>
      <c r="AT401" s="53">
        <v>2889822.0</v>
      </c>
      <c r="AU401" s="53">
        <f t="array" ref="AU401">XLOOKUP(C401,'PL TOTAL D0'!A:A,'PL TOTAL D0'!C:C,"")</f>
        <v>2898301</v>
      </c>
    </row>
    <row r="402" ht="15.75" customHeight="1">
      <c r="A402" s="41" t="s">
        <v>43</v>
      </c>
      <c r="B402" s="42" t="s">
        <v>1420</v>
      </c>
      <c r="C402" s="43" t="s">
        <v>1421</v>
      </c>
      <c r="D402" s="44" t="s">
        <v>18</v>
      </c>
      <c r="E402" s="45" t="s">
        <v>176</v>
      </c>
      <c r="F402" s="44" t="s">
        <v>177</v>
      </c>
      <c r="G402" s="44" t="str">
        <f t="shared" si="1"/>
        <v>#N/A</v>
      </c>
      <c r="H402" s="46" t="s">
        <v>147</v>
      </c>
      <c r="I402" s="46" t="s">
        <v>219</v>
      </c>
      <c r="J402" s="44" t="str">
        <f t="shared" si="7"/>
        <v>Não</v>
      </c>
      <c r="K402" s="47">
        <v>45163.0</v>
      </c>
      <c r="L402" s="62"/>
      <c r="M402" s="45" t="s">
        <v>55</v>
      </c>
      <c r="N402" s="48">
        <v>0.012</v>
      </c>
      <c r="O402" s="44" t="s">
        <v>24</v>
      </c>
      <c r="P402" s="49">
        <v>0.0</v>
      </c>
      <c r="Q402" s="139"/>
      <c r="R402" s="50" t="s">
        <v>1422</v>
      </c>
      <c r="S402" s="45" t="s">
        <v>108</v>
      </c>
      <c r="T402" s="24" t="s">
        <v>1423</v>
      </c>
      <c r="U402" s="9" t="s">
        <v>180</v>
      </c>
      <c r="V402" s="51" t="str">
        <f t="shared" si="3"/>
        <v>Ativo</v>
      </c>
      <c r="W402" s="45"/>
      <c r="X402" s="52" t="s">
        <v>110</v>
      </c>
      <c r="Y402" s="54"/>
      <c r="Z402" s="54"/>
      <c r="AA402" s="54"/>
      <c r="AB402" s="54"/>
      <c r="AC402" s="54"/>
      <c r="AD402" s="54"/>
      <c r="AE402" s="54"/>
      <c r="AF402" s="54">
        <v>0.0</v>
      </c>
      <c r="AG402" s="54">
        <v>0.0</v>
      </c>
      <c r="AH402" s="54">
        <v>0.0</v>
      </c>
      <c r="AI402" s="54">
        <v>0.0</v>
      </c>
      <c r="AJ402" s="54">
        <v>0.0</v>
      </c>
      <c r="AK402" s="54">
        <v>0.0</v>
      </c>
      <c r="AL402" s="54">
        <v>0.0</v>
      </c>
      <c r="AM402" s="54">
        <v>0.0</v>
      </c>
      <c r="AN402" s="54">
        <v>0.0</v>
      </c>
      <c r="AO402" s="54">
        <v>0.0</v>
      </c>
      <c r="AP402" s="53">
        <v>0.0</v>
      </c>
      <c r="AQ402" s="53">
        <v>0.0</v>
      </c>
      <c r="AR402" s="53">
        <v>0.0</v>
      </c>
      <c r="AS402" s="53">
        <v>0.0</v>
      </c>
      <c r="AT402" s="53">
        <v>0.0</v>
      </c>
      <c r="AU402" s="53" t="str">
        <f t="array" ref="AU402">XLOOKUP(C402,'PL TOTAL D0'!A:A,'PL TOTAL D0'!C:C,"")</f>
        <v/>
      </c>
    </row>
    <row r="403" ht="15.75" customHeight="1">
      <c r="A403" s="41" t="s">
        <v>43</v>
      </c>
      <c r="B403" s="42" t="s">
        <v>1424</v>
      </c>
      <c r="C403" s="43" t="s">
        <v>1425</v>
      </c>
      <c r="D403" s="44" t="s">
        <v>18</v>
      </c>
      <c r="E403" s="45" t="s">
        <v>176</v>
      </c>
      <c r="F403" s="44" t="s">
        <v>177</v>
      </c>
      <c r="G403" s="44" t="str">
        <f t="shared" si="1"/>
        <v>Augusto</v>
      </c>
      <c r="H403" s="46" t="s">
        <v>107</v>
      </c>
      <c r="I403" s="46" t="s">
        <v>24</v>
      </c>
      <c r="J403" s="44" t="str">
        <f t="shared" si="7"/>
        <v>Não</v>
      </c>
      <c r="K403" s="47">
        <v>45163.0</v>
      </c>
      <c r="L403" s="62"/>
      <c r="M403" s="45" t="s">
        <v>55</v>
      </c>
      <c r="N403" s="48">
        <v>0.012</v>
      </c>
      <c r="O403" s="44" t="s">
        <v>24</v>
      </c>
      <c r="P403" s="49">
        <v>0.0</v>
      </c>
      <c r="Q403" s="50"/>
      <c r="R403" s="60" t="s">
        <v>1426</v>
      </c>
      <c r="S403" s="45" t="s">
        <v>108</v>
      </c>
      <c r="T403" s="24" t="s">
        <v>1427</v>
      </c>
      <c r="U403" s="9" t="s">
        <v>180</v>
      </c>
      <c r="V403" s="51" t="str">
        <f t="shared" si="3"/>
        <v>Ativo</v>
      </c>
      <c r="W403" s="45"/>
      <c r="X403" s="52" t="s">
        <v>110</v>
      </c>
      <c r="Y403" s="54"/>
      <c r="Z403" s="54"/>
      <c r="AA403" s="54"/>
      <c r="AB403" s="54"/>
      <c r="AC403" s="54"/>
      <c r="AD403" s="54"/>
      <c r="AE403" s="54"/>
      <c r="AF403" s="54">
        <v>0.0</v>
      </c>
      <c r="AG403" s="54">
        <v>0.0</v>
      </c>
      <c r="AH403" s="54">
        <v>0.0</v>
      </c>
      <c r="AI403" s="54">
        <v>0.0</v>
      </c>
      <c r="AJ403" s="54">
        <v>0.0</v>
      </c>
      <c r="AK403" s="54">
        <v>128816.72</v>
      </c>
      <c r="AL403" s="54">
        <v>148547.36</v>
      </c>
      <c r="AM403" s="54">
        <v>150165.52</v>
      </c>
      <c r="AN403" s="54">
        <v>151570.25</v>
      </c>
      <c r="AO403" s="54">
        <v>152764.24</v>
      </c>
      <c r="AP403" s="53">
        <v>153721.78</v>
      </c>
      <c r="AQ403" s="53">
        <v>153435.44</v>
      </c>
      <c r="AR403" s="53">
        <v>154146.13</v>
      </c>
      <c r="AS403" s="53">
        <v>155356.3</v>
      </c>
      <c r="AT403" s="53">
        <v>156435.1</v>
      </c>
      <c r="AU403" s="53">
        <f t="array" ref="AU403">XLOOKUP(C403,'PL TOTAL D0'!A:A,'PL TOTAL D0'!C:C,"")</f>
        <v>156244.5</v>
      </c>
    </row>
    <row r="404" ht="15.75" customHeight="1">
      <c r="A404" s="41" t="s">
        <v>43</v>
      </c>
      <c r="B404" s="61" t="s">
        <v>1428</v>
      </c>
      <c r="C404" s="43" t="s">
        <v>1429</v>
      </c>
      <c r="D404" s="9" t="s">
        <v>18</v>
      </c>
      <c r="E404" s="45" t="s">
        <v>29</v>
      </c>
      <c r="F404" s="9" t="s">
        <v>632</v>
      </c>
      <c r="G404" s="44" t="str">
        <f t="shared" si="1"/>
        <v>Bruno</v>
      </c>
      <c r="H404" s="46" t="s">
        <v>107</v>
      </c>
      <c r="I404" s="46" t="s">
        <v>24</v>
      </c>
      <c r="J404" s="44" t="str">
        <f t="shared" si="7"/>
        <v>Não</v>
      </c>
      <c r="K404" s="47">
        <v>45043.0</v>
      </c>
      <c r="L404" s="45"/>
      <c r="M404" s="45" t="s">
        <v>55</v>
      </c>
      <c r="N404" s="48">
        <v>0.007</v>
      </c>
      <c r="O404" s="44" t="s">
        <v>24</v>
      </c>
      <c r="P404" s="49">
        <v>0.0</v>
      </c>
      <c r="Q404" s="41"/>
      <c r="R404" s="50" t="s">
        <v>1430</v>
      </c>
      <c r="S404" s="45" t="s">
        <v>369</v>
      </c>
      <c r="T404" s="24" t="s">
        <v>1431</v>
      </c>
      <c r="U404" s="9" t="s">
        <v>29</v>
      </c>
      <c r="V404" s="51" t="str">
        <f t="shared" si="3"/>
        <v>Ativo</v>
      </c>
      <c r="W404" s="45"/>
      <c r="X404" s="52" t="s">
        <v>119</v>
      </c>
      <c r="Y404" s="54"/>
      <c r="Z404" s="54"/>
      <c r="AA404" s="54"/>
      <c r="AB404" s="54"/>
      <c r="AC404" s="54"/>
      <c r="AD404" s="54"/>
      <c r="AE404" s="54"/>
      <c r="AF404" s="54">
        <v>1071917.64</v>
      </c>
      <c r="AG404" s="54">
        <v>1082128.18</v>
      </c>
      <c r="AH404" s="54">
        <v>1092925.25</v>
      </c>
      <c r="AI404" s="54">
        <v>1103042.33</v>
      </c>
      <c r="AJ404" s="54">
        <v>1114290.66</v>
      </c>
      <c r="AK404" s="54">
        <v>1123818.71</v>
      </c>
      <c r="AL404" s="54">
        <v>1132366.37</v>
      </c>
      <c r="AM404" s="54">
        <v>1140936.78</v>
      </c>
      <c r="AN404" s="54">
        <v>1151073.29</v>
      </c>
      <c r="AO404" s="54">
        <v>1162335.55</v>
      </c>
      <c r="AP404" s="53">
        <v>1171520.62</v>
      </c>
      <c r="AQ404" s="53">
        <v>1181453.01</v>
      </c>
      <c r="AR404" s="53">
        <v>1176029.76</v>
      </c>
      <c r="AS404" s="53">
        <v>1182374.0</v>
      </c>
      <c r="AT404" s="53">
        <v>1192676.0</v>
      </c>
      <c r="AU404" s="53">
        <f t="array" ref="AU404">XLOOKUP(C404,'PL TOTAL D0'!A:A,'PL TOTAL D0'!C:C,"")</f>
        <v>1197223</v>
      </c>
    </row>
    <row r="405" ht="15.75" customHeight="1">
      <c r="A405" s="41" t="s">
        <v>43</v>
      </c>
      <c r="B405" s="42" t="s">
        <v>1432</v>
      </c>
      <c r="C405" s="43" t="s">
        <v>1433</v>
      </c>
      <c r="D405" s="44" t="s">
        <v>18</v>
      </c>
      <c r="E405" s="45" t="s">
        <v>19</v>
      </c>
      <c r="F405" s="44" t="s">
        <v>213</v>
      </c>
      <c r="G405" s="44" t="str">
        <f t="shared" si="1"/>
        <v>Augusto</v>
      </c>
      <c r="H405" s="51" t="s">
        <v>147</v>
      </c>
      <c r="I405" s="51" t="s">
        <v>219</v>
      </c>
      <c r="J405" s="44" t="str">
        <f t="shared" si="7"/>
        <v>Não</v>
      </c>
      <c r="K405" s="47">
        <v>44896.0</v>
      </c>
      <c r="L405" s="45"/>
      <c r="M405" s="24" t="s">
        <v>79</v>
      </c>
      <c r="N405" s="58">
        <v>0.012</v>
      </c>
      <c r="O405" s="9" t="s">
        <v>48</v>
      </c>
      <c r="P405" s="59">
        <v>0.1</v>
      </c>
      <c r="Q405" s="63"/>
      <c r="R405" s="138" t="s">
        <v>1434</v>
      </c>
      <c r="S405" s="45" t="s">
        <v>108</v>
      </c>
      <c r="T405" s="24" t="s">
        <v>1435</v>
      </c>
      <c r="U405" s="9" t="s">
        <v>19</v>
      </c>
      <c r="V405" s="51" t="str">
        <f t="shared" si="3"/>
        <v>Ativo</v>
      </c>
      <c r="W405" s="45"/>
      <c r="X405" s="52" t="s">
        <v>119</v>
      </c>
      <c r="Y405" s="54"/>
      <c r="Z405" s="54"/>
      <c r="AA405" s="54"/>
      <c r="AB405" s="54">
        <v>101027.34</v>
      </c>
      <c r="AC405" s="54">
        <v>102057.18</v>
      </c>
      <c r="AD405" s="54">
        <v>102893.4</v>
      </c>
      <c r="AE405" s="54">
        <v>103997.85</v>
      </c>
      <c r="AF405" s="54">
        <v>104799.51</v>
      </c>
      <c r="AG405" s="54">
        <v>105881.35</v>
      </c>
      <c r="AH405" s="54">
        <v>106857.75</v>
      </c>
      <c r="AI405" s="54">
        <v>107813.68</v>
      </c>
      <c r="AJ405" s="54">
        <v>108868.49</v>
      </c>
      <c r="AK405" s="54">
        <v>109771.07</v>
      </c>
      <c r="AL405" s="54">
        <v>110709.64</v>
      </c>
      <c r="AM405" s="54">
        <v>111519.87</v>
      </c>
      <c r="AN405" s="54">
        <v>112181.15</v>
      </c>
      <c r="AO405" s="54">
        <v>200282.08</v>
      </c>
      <c r="AP405" s="53">
        <v>201657.73</v>
      </c>
      <c r="AQ405" s="53">
        <v>203648.03</v>
      </c>
      <c r="AR405" s="53">
        <v>203645.24</v>
      </c>
      <c r="AS405" s="53">
        <v>219.51</v>
      </c>
      <c r="AT405" s="53">
        <v>224.34</v>
      </c>
      <c r="AU405" s="53">
        <f t="array" ref="AU405">XLOOKUP(C405,'PL TOTAL D0'!A:A,'PL TOTAL D0'!C:C,"")</f>
        <v>224.34</v>
      </c>
    </row>
    <row r="406" ht="15.75" customHeight="1">
      <c r="A406" s="41" t="s">
        <v>43</v>
      </c>
      <c r="B406" s="61" t="s">
        <v>1436</v>
      </c>
      <c r="C406" s="43" t="s">
        <v>1437</v>
      </c>
      <c r="D406" s="44" t="s">
        <v>18</v>
      </c>
      <c r="E406" s="45" t="s">
        <v>176</v>
      </c>
      <c r="F406" s="45" t="s">
        <v>177</v>
      </c>
      <c r="G406" s="44" t="str">
        <f t="shared" si="1"/>
        <v>Breno</v>
      </c>
      <c r="H406" s="51" t="s">
        <v>107</v>
      </c>
      <c r="I406" s="51" t="s">
        <v>24</v>
      </c>
      <c r="J406" s="44" t="str">
        <f t="shared" si="7"/>
        <v>Sim</v>
      </c>
      <c r="K406" s="47">
        <v>45163.0</v>
      </c>
      <c r="L406" s="62"/>
      <c r="M406" s="45" t="s">
        <v>47</v>
      </c>
      <c r="N406" s="48">
        <v>0.015</v>
      </c>
      <c r="O406" s="44" t="s">
        <v>48</v>
      </c>
      <c r="P406" s="49">
        <v>0.1</v>
      </c>
      <c r="Q406" s="60" t="s">
        <v>1438</v>
      </c>
      <c r="R406" s="202"/>
      <c r="S406" s="45" t="s">
        <v>108</v>
      </c>
      <c r="T406" s="24" t="s">
        <v>1439</v>
      </c>
      <c r="U406" s="9" t="s">
        <v>180</v>
      </c>
      <c r="V406" s="51" t="str">
        <f t="shared" si="3"/>
        <v>Ativo</v>
      </c>
      <c r="W406" s="45"/>
      <c r="X406" s="52" t="s">
        <v>110</v>
      </c>
      <c r="Y406" s="54"/>
      <c r="Z406" s="54"/>
      <c r="AA406" s="54"/>
      <c r="AB406" s="54"/>
      <c r="AC406" s="54"/>
      <c r="AD406" s="54"/>
      <c r="AE406" s="54">
        <v>0.0</v>
      </c>
      <c r="AF406" s="54">
        <v>0.0</v>
      </c>
      <c r="AG406" s="54">
        <v>0.0</v>
      </c>
      <c r="AH406" s="54">
        <v>0.0</v>
      </c>
      <c r="AI406" s="54">
        <v>0.0</v>
      </c>
      <c r="AJ406" s="54">
        <v>0.0</v>
      </c>
      <c r="AK406" s="54">
        <v>0.0</v>
      </c>
      <c r="AL406" s="54">
        <v>0.0</v>
      </c>
      <c r="AM406" s="54">
        <v>0.0</v>
      </c>
      <c r="AN406" s="54">
        <v>0.0</v>
      </c>
      <c r="AO406" s="54">
        <v>0.0</v>
      </c>
      <c r="AP406" s="53">
        <v>0.0</v>
      </c>
      <c r="AQ406" s="53">
        <v>0.89</v>
      </c>
      <c r="AR406" s="53">
        <v>209391.1</v>
      </c>
      <c r="AS406" s="53">
        <v>506098.6</v>
      </c>
      <c r="AT406" s="53">
        <v>509655.4</v>
      </c>
      <c r="AU406" s="53">
        <f t="array" ref="AU406">XLOOKUP(C406,'PL TOTAL D0'!A:A,'PL TOTAL D0'!C:C,"")</f>
        <v>514024.2</v>
      </c>
    </row>
    <row r="407" ht="15.75" customHeight="1">
      <c r="A407" s="41" t="s">
        <v>43</v>
      </c>
      <c r="B407" s="115" t="s">
        <v>1440</v>
      </c>
      <c r="C407" s="43" t="s">
        <v>1441</v>
      </c>
      <c r="D407" s="44" t="s">
        <v>18</v>
      </c>
      <c r="E407" s="45" t="s">
        <v>176</v>
      </c>
      <c r="F407" s="45" t="s">
        <v>177</v>
      </c>
      <c r="G407" s="44" t="str">
        <f t="shared" si="1"/>
        <v>#N/A</v>
      </c>
      <c r="H407" s="51" t="s">
        <v>186</v>
      </c>
      <c r="I407" s="51" t="s">
        <v>24</v>
      </c>
      <c r="J407" s="44" t="str">
        <f t="shared" si="7"/>
        <v>Não</v>
      </c>
      <c r="K407" s="47">
        <v>45000.0</v>
      </c>
      <c r="L407" s="82">
        <v>45401.0</v>
      </c>
      <c r="M407" s="45" t="s">
        <v>55</v>
      </c>
      <c r="N407" s="48">
        <v>0.012</v>
      </c>
      <c r="O407" s="44" t="s">
        <v>24</v>
      </c>
      <c r="P407" s="49">
        <v>0.0</v>
      </c>
      <c r="Q407" s="139"/>
      <c r="R407" s="139"/>
      <c r="S407" s="45" t="s">
        <v>108</v>
      </c>
      <c r="T407" s="24" t="s">
        <v>1439</v>
      </c>
      <c r="U407" s="9" t="s">
        <v>180</v>
      </c>
      <c r="V407" s="51" t="str">
        <f t="shared" si="3"/>
        <v>Encerrado</v>
      </c>
      <c r="W407" s="45"/>
      <c r="X407" s="52" t="s">
        <v>110</v>
      </c>
      <c r="Y407" s="54"/>
      <c r="Z407" s="54"/>
      <c r="AA407" s="54"/>
      <c r="AB407" s="54"/>
      <c r="AC407" s="54"/>
      <c r="AD407" s="54"/>
      <c r="AE407" s="54">
        <v>1204685.2</v>
      </c>
      <c r="AF407" s="54">
        <v>1203727.57</v>
      </c>
      <c r="AG407" s="54">
        <v>1207452.88</v>
      </c>
      <c r="AH407" s="54">
        <v>964261.47</v>
      </c>
      <c r="AI407" s="54">
        <v>971845.22</v>
      </c>
      <c r="AJ407" s="54">
        <v>798796.03</v>
      </c>
      <c r="AK407" s="54">
        <v>250333.99</v>
      </c>
      <c r="AL407" s="54">
        <v>10548.21</v>
      </c>
      <c r="AM407" s="54">
        <v>10496.54</v>
      </c>
      <c r="AN407" s="54">
        <v>7.82</v>
      </c>
      <c r="AO407" s="54">
        <v>0.0</v>
      </c>
      <c r="AP407" s="53">
        <v>0.89</v>
      </c>
      <c r="AQ407" s="53">
        <v>0.0</v>
      </c>
      <c r="AR407" s="53">
        <v>0.0</v>
      </c>
      <c r="AS407" s="53">
        <v>0.0</v>
      </c>
      <c r="AT407" s="53">
        <v>0.0</v>
      </c>
      <c r="AU407" s="53" t="str">
        <f t="array" ref="AU407">XLOOKUP(C407,'PL TOTAL D0'!A:A,'PL TOTAL D0'!C:C,"")</f>
        <v/>
      </c>
    </row>
    <row r="408" ht="15.75" customHeight="1">
      <c r="A408" s="41" t="s">
        <v>43</v>
      </c>
      <c r="B408" s="42" t="s">
        <v>1442</v>
      </c>
      <c r="C408" s="43" t="s">
        <v>1443</v>
      </c>
      <c r="D408" s="44" t="s">
        <v>18</v>
      </c>
      <c r="E408" s="45" t="s">
        <v>29</v>
      </c>
      <c r="F408" s="44" t="s">
        <v>294</v>
      </c>
      <c r="G408" s="44" t="str">
        <f t="shared" si="1"/>
        <v>Augusto</v>
      </c>
      <c r="H408" s="46" t="s">
        <v>107</v>
      </c>
      <c r="I408" s="46" t="s">
        <v>24</v>
      </c>
      <c r="J408" s="44" t="str">
        <f t="shared" si="7"/>
        <v>Sim</v>
      </c>
      <c r="K408" s="47">
        <v>44928.0</v>
      </c>
      <c r="L408" s="45"/>
      <c r="M408" s="45" t="s">
        <v>55</v>
      </c>
      <c r="N408" s="48">
        <v>0.012</v>
      </c>
      <c r="O408" s="44" t="s">
        <v>24</v>
      </c>
      <c r="P408" s="49">
        <v>0.0</v>
      </c>
      <c r="Q408" s="76" t="s">
        <v>1444</v>
      </c>
      <c r="R408" s="139"/>
      <c r="S408" s="45" t="s">
        <v>108</v>
      </c>
      <c r="T408" s="24" t="s">
        <v>1445</v>
      </c>
      <c r="U408" s="9" t="s">
        <v>29</v>
      </c>
      <c r="V408" s="51" t="str">
        <f t="shared" si="3"/>
        <v>Ativo</v>
      </c>
      <c r="W408" s="45"/>
      <c r="X408" s="52" t="s">
        <v>119</v>
      </c>
      <c r="Y408" s="54"/>
      <c r="Z408" s="54"/>
      <c r="AA408" s="54"/>
      <c r="AB408" s="54">
        <v>25536.14</v>
      </c>
      <c r="AC408" s="54">
        <v>30960.44</v>
      </c>
      <c r="AD408" s="54">
        <v>31196.96</v>
      </c>
      <c r="AE408" s="54">
        <v>31403.17</v>
      </c>
      <c r="AF408" s="54">
        <v>41622.38</v>
      </c>
      <c r="AG408" s="54">
        <v>42040.96</v>
      </c>
      <c r="AH408" s="54">
        <v>42401.2</v>
      </c>
      <c r="AI408" s="54">
        <v>42756.62</v>
      </c>
      <c r="AJ408" s="54">
        <v>53231.46</v>
      </c>
      <c r="AK408" s="54">
        <v>53641.79</v>
      </c>
      <c r="AL408" s="54">
        <v>54127.45</v>
      </c>
      <c r="AM408" s="54">
        <v>54551.49</v>
      </c>
      <c r="AN408" s="54">
        <v>54998.82</v>
      </c>
      <c r="AO408" s="54">
        <v>44982.02</v>
      </c>
      <c r="AP408" s="53">
        <v>45312.38</v>
      </c>
      <c r="AQ408" s="53">
        <v>35463.24</v>
      </c>
      <c r="AR408" s="53">
        <v>35726.53</v>
      </c>
      <c r="AS408" s="53">
        <v>35976.58</v>
      </c>
      <c r="AT408" s="53">
        <v>36227.41</v>
      </c>
      <c r="AU408" s="53">
        <f t="array" ref="AU408">XLOOKUP(C408,'PL TOTAL D0'!A:A,'PL TOTAL D0'!C:C,"")</f>
        <v>36287.91</v>
      </c>
    </row>
    <row r="409" ht="15.75" customHeight="1">
      <c r="A409" s="41" t="s">
        <v>43</v>
      </c>
      <c r="B409" s="42" t="s">
        <v>1446</v>
      </c>
      <c r="C409" s="43" t="s">
        <v>1447</v>
      </c>
      <c r="D409" s="44" t="s">
        <v>105</v>
      </c>
      <c r="E409" s="45" t="s">
        <v>29</v>
      </c>
      <c r="F409" s="44" t="s">
        <v>412</v>
      </c>
      <c r="G409" s="44" t="str">
        <f t="shared" si="1"/>
        <v>Breno</v>
      </c>
      <c r="H409" s="46" t="s">
        <v>107</v>
      </c>
      <c r="I409" s="46" t="s">
        <v>24</v>
      </c>
      <c r="J409" s="44" t="str">
        <f t="shared" si="7"/>
        <v>Não</v>
      </c>
      <c r="K409" s="47">
        <v>45168.0</v>
      </c>
      <c r="L409" s="45"/>
      <c r="M409" s="45" t="s">
        <v>55</v>
      </c>
      <c r="N409" s="48">
        <v>0.005</v>
      </c>
      <c r="O409" s="44" t="s">
        <v>24</v>
      </c>
      <c r="P409" s="49">
        <v>0.0</v>
      </c>
      <c r="Q409" s="50"/>
      <c r="R409" s="139"/>
      <c r="S409" s="45" t="s">
        <v>108</v>
      </c>
      <c r="T409" s="24" t="s">
        <v>1448</v>
      </c>
      <c r="U409" s="9" t="s">
        <v>29</v>
      </c>
      <c r="V409" s="51" t="str">
        <f t="shared" si="3"/>
        <v>Ativo</v>
      </c>
      <c r="W409" s="45"/>
      <c r="X409" s="52" t="s">
        <v>110</v>
      </c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>
        <v>996849.67</v>
      </c>
      <c r="AK409" s="54">
        <v>1003085.23</v>
      </c>
      <c r="AL409" s="54">
        <v>1060111.65</v>
      </c>
      <c r="AM409" s="54">
        <v>1163944.79</v>
      </c>
      <c r="AN409" s="54">
        <v>1174396.05</v>
      </c>
      <c r="AO409" s="54">
        <v>1184469.5</v>
      </c>
      <c r="AP409" s="53">
        <v>1193854.74</v>
      </c>
      <c r="AQ409" s="53">
        <v>859210.0</v>
      </c>
      <c r="AR409" s="53">
        <v>860788.64</v>
      </c>
      <c r="AS409" s="53">
        <v>860901.4</v>
      </c>
      <c r="AT409" s="53">
        <v>866195.0</v>
      </c>
      <c r="AU409" s="53">
        <f t="array" ref="AU409">XLOOKUP(C409,'PL TOTAL D0'!A:A,'PL TOTAL D0'!C:C,"")</f>
        <v>868993.9</v>
      </c>
    </row>
    <row r="410" ht="15.75" customHeight="1">
      <c r="A410" s="41" t="s">
        <v>43</v>
      </c>
      <c r="B410" s="42" t="s">
        <v>1449</v>
      </c>
      <c r="C410" s="43" t="s">
        <v>1450</v>
      </c>
      <c r="D410" s="44" t="s">
        <v>18</v>
      </c>
      <c r="E410" s="45" t="s">
        <v>29</v>
      </c>
      <c r="F410" s="44" t="s">
        <v>294</v>
      </c>
      <c r="G410" s="44" t="str">
        <f t="shared" si="1"/>
        <v>Augusto</v>
      </c>
      <c r="H410" s="46" t="s">
        <v>107</v>
      </c>
      <c r="I410" s="46" t="s">
        <v>24</v>
      </c>
      <c r="J410" s="44" t="str">
        <f t="shared" si="7"/>
        <v>Não</v>
      </c>
      <c r="K410" s="47">
        <v>44931.0</v>
      </c>
      <c r="L410" s="45"/>
      <c r="M410" s="43" t="s">
        <v>190</v>
      </c>
      <c r="N410" s="48">
        <v>0.025</v>
      </c>
      <c r="O410" s="44" t="s">
        <v>191</v>
      </c>
      <c r="P410" s="49">
        <v>0.2</v>
      </c>
      <c r="Q410" s="139"/>
      <c r="R410" s="139"/>
      <c r="S410" s="45" t="s">
        <v>108</v>
      </c>
      <c r="T410" s="24" t="s">
        <v>1451</v>
      </c>
      <c r="U410" s="9" t="s">
        <v>29</v>
      </c>
      <c r="V410" s="51" t="str">
        <f t="shared" si="3"/>
        <v>Ativo</v>
      </c>
      <c r="W410" s="45"/>
      <c r="X410" s="52" t="s">
        <v>119</v>
      </c>
      <c r="Y410" s="54"/>
      <c r="Z410" s="54"/>
      <c r="AA410" s="54"/>
      <c r="AB410" s="54"/>
      <c r="AC410" s="54">
        <v>50668.18</v>
      </c>
      <c r="AD410" s="54">
        <v>49951.69</v>
      </c>
      <c r="AE410" s="54">
        <v>50254.3</v>
      </c>
      <c r="AF410" s="54">
        <v>49569.35</v>
      </c>
      <c r="AG410" s="54">
        <v>51210.32</v>
      </c>
      <c r="AH410" s="54">
        <v>55533.69</v>
      </c>
      <c r="AI410" s="54">
        <v>58614.75</v>
      </c>
      <c r="AJ410" s="54">
        <v>55714.57</v>
      </c>
      <c r="AK410" s="54">
        <v>55545.7</v>
      </c>
      <c r="AL410" s="54">
        <v>53123.37</v>
      </c>
      <c r="AM410" s="54">
        <v>57005.78</v>
      </c>
      <c r="AN410" s="54">
        <v>59703.08</v>
      </c>
      <c r="AO410" s="54">
        <v>55567.17</v>
      </c>
      <c r="AP410" s="53">
        <v>56324.34</v>
      </c>
      <c r="AQ410" s="53">
        <v>58458.23</v>
      </c>
      <c r="AR410" s="53">
        <v>56429.63</v>
      </c>
      <c r="AS410" s="53">
        <v>55224.9</v>
      </c>
      <c r="AT410" s="53">
        <v>46671.83</v>
      </c>
      <c r="AU410" s="53">
        <f t="array" ref="AU410">XLOOKUP(C410,'PL TOTAL D0'!A:A,'PL TOTAL D0'!C:C,"")</f>
        <v>48479.02</v>
      </c>
    </row>
    <row r="411" ht="15.75" customHeight="1">
      <c r="A411" s="41" t="s">
        <v>43</v>
      </c>
      <c r="B411" s="42" t="s">
        <v>1452</v>
      </c>
      <c r="C411" s="43" t="s">
        <v>1453</v>
      </c>
      <c r="D411" s="44" t="s">
        <v>18</v>
      </c>
      <c r="E411" s="45" t="s">
        <v>29</v>
      </c>
      <c r="F411" s="44" t="s">
        <v>294</v>
      </c>
      <c r="G411" s="44" t="str">
        <f t="shared" si="1"/>
        <v>Augusto</v>
      </c>
      <c r="H411" s="46" t="s">
        <v>107</v>
      </c>
      <c r="I411" s="46" t="s">
        <v>24</v>
      </c>
      <c r="J411" s="44" t="str">
        <f t="shared" si="7"/>
        <v>Não</v>
      </c>
      <c r="K411" s="47">
        <v>44931.0</v>
      </c>
      <c r="L411" s="45"/>
      <c r="M411" s="45" t="s">
        <v>55</v>
      </c>
      <c r="N411" s="48">
        <v>0.012</v>
      </c>
      <c r="O411" s="44" t="s">
        <v>24</v>
      </c>
      <c r="P411" s="49">
        <v>0.0</v>
      </c>
      <c r="Q411" s="139"/>
      <c r="R411" s="139"/>
      <c r="S411" s="45" t="s">
        <v>108</v>
      </c>
      <c r="T411" s="24" t="s">
        <v>1451</v>
      </c>
      <c r="U411" s="9" t="s">
        <v>29</v>
      </c>
      <c r="V411" s="51" t="str">
        <f t="shared" si="3"/>
        <v>Ativo</v>
      </c>
      <c r="W411" s="45"/>
      <c r="X411" s="52" t="s">
        <v>119</v>
      </c>
      <c r="Y411" s="54"/>
      <c r="Z411" s="54"/>
      <c r="AA411" s="54"/>
      <c r="AB411" s="54"/>
      <c r="AC411" s="54">
        <v>151367.07</v>
      </c>
      <c r="AD411" s="54">
        <v>152610.03</v>
      </c>
      <c r="AE411" s="54">
        <v>154284.45</v>
      </c>
      <c r="AF411" s="54">
        <v>155466.58</v>
      </c>
      <c r="AG411" s="54">
        <v>157127.4</v>
      </c>
      <c r="AH411" s="54">
        <v>158575.16</v>
      </c>
      <c r="AI411" s="54">
        <v>159926.25</v>
      </c>
      <c r="AJ411" s="54">
        <v>161459.68</v>
      </c>
      <c r="AK411" s="54">
        <v>162743.17</v>
      </c>
      <c r="AL411" s="54">
        <v>164169.26</v>
      </c>
      <c r="AM411" s="54">
        <v>165328.85</v>
      </c>
      <c r="AN411" s="54">
        <v>166608.4</v>
      </c>
      <c r="AO411" s="54">
        <v>166145.88</v>
      </c>
      <c r="AP411" s="53">
        <v>167373.47</v>
      </c>
      <c r="AQ411" s="53">
        <v>167672.4</v>
      </c>
      <c r="AR411" s="53">
        <v>168756.9</v>
      </c>
      <c r="AS411" s="53">
        <v>169944.5</v>
      </c>
      <c r="AT411" s="53">
        <v>129053.1</v>
      </c>
      <c r="AU411" s="53">
        <f t="array" ref="AU411">XLOOKUP(C411,'PL TOTAL D0'!A:A,'PL TOTAL D0'!C:C,"")</f>
        <v>129434.5</v>
      </c>
    </row>
    <row r="412" ht="15.75" customHeight="1">
      <c r="A412" s="41" t="s">
        <v>43</v>
      </c>
      <c r="B412" s="203" t="s">
        <v>1454</v>
      </c>
      <c r="C412" s="204" t="s">
        <v>1455</v>
      </c>
      <c r="D412" s="205" t="s">
        <v>105</v>
      </c>
      <c r="E412" s="206" t="s">
        <v>29</v>
      </c>
      <c r="F412" s="44" t="s">
        <v>412</v>
      </c>
      <c r="G412" s="44" t="str">
        <f t="shared" si="1"/>
        <v>Augusto</v>
      </c>
      <c r="H412" s="207" t="s">
        <v>107</v>
      </c>
      <c r="I412" s="46" t="s">
        <v>24</v>
      </c>
      <c r="J412" s="44" t="str">
        <f t="shared" si="7"/>
        <v>Sim</v>
      </c>
      <c r="K412" s="208">
        <v>45125.0</v>
      </c>
      <c r="L412" s="206"/>
      <c r="M412" s="206" t="s">
        <v>897</v>
      </c>
      <c r="N412" s="209">
        <v>0.0085</v>
      </c>
      <c r="O412" s="205" t="s">
        <v>24</v>
      </c>
      <c r="P412" s="210">
        <v>0.0</v>
      </c>
      <c r="Q412" s="55" t="s">
        <v>1456</v>
      </c>
      <c r="R412" s="149"/>
      <c r="S412" s="206" t="s">
        <v>108</v>
      </c>
      <c r="T412" s="24" t="s">
        <v>1457</v>
      </c>
      <c r="U412" s="211" t="s">
        <v>29</v>
      </c>
      <c r="V412" s="51" t="str">
        <f t="shared" si="3"/>
        <v>Ativo</v>
      </c>
      <c r="W412" s="206"/>
      <c r="X412" s="212" t="s">
        <v>110</v>
      </c>
      <c r="Y412" s="213"/>
      <c r="Z412" s="213"/>
      <c r="AA412" s="213"/>
      <c r="AB412" s="213"/>
      <c r="AC412" s="213"/>
      <c r="AD412" s="213"/>
      <c r="AE412" s="213"/>
      <c r="AF412" s="213"/>
      <c r="AG412" s="213"/>
      <c r="AH412" s="213"/>
      <c r="AI412" s="213">
        <v>1228192.68</v>
      </c>
      <c r="AJ412" s="213">
        <v>1243750.43</v>
      </c>
      <c r="AK412" s="54">
        <v>1088497.03</v>
      </c>
      <c r="AL412" s="54">
        <v>187400.79</v>
      </c>
      <c r="AM412" s="54">
        <v>201253.67</v>
      </c>
      <c r="AN412" s="54">
        <v>223190.6</v>
      </c>
      <c r="AO412" s="54">
        <v>257719.65</v>
      </c>
      <c r="AP412" s="53">
        <v>266094.28</v>
      </c>
      <c r="AQ412" s="53">
        <v>283791.34</v>
      </c>
      <c r="AR412" s="53">
        <v>286938.37</v>
      </c>
      <c r="AS412" s="53">
        <v>322392.1</v>
      </c>
      <c r="AT412" s="53">
        <v>352951.0</v>
      </c>
      <c r="AU412" s="53">
        <f t="array" ref="AU412">XLOOKUP(C412,'PL TOTAL D0'!A:A,'PL TOTAL D0'!C:C,"")</f>
        <v>381986.6</v>
      </c>
    </row>
    <row r="413" ht="15.75" customHeight="1">
      <c r="A413" s="41" t="s">
        <v>43</v>
      </c>
      <c r="B413" s="42" t="s">
        <v>1458</v>
      </c>
      <c r="C413" s="43" t="s">
        <v>1459</v>
      </c>
      <c r="D413" s="44" t="s">
        <v>18</v>
      </c>
      <c r="E413" s="45" t="s">
        <v>19</v>
      </c>
      <c r="F413" s="44" t="s">
        <v>122</v>
      </c>
      <c r="G413" s="44" t="str">
        <f t="shared" si="1"/>
        <v>Breno</v>
      </c>
      <c r="H413" s="46" t="s">
        <v>107</v>
      </c>
      <c r="I413" s="46" t="s">
        <v>24</v>
      </c>
      <c r="J413" s="44" t="str">
        <f t="shared" si="7"/>
        <v>Não</v>
      </c>
      <c r="K413" s="47">
        <v>44980.0</v>
      </c>
      <c r="L413" s="45"/>
      <c r="M413" s="45" t="s">
        <v>47</v>
      </c>
      <c r="N413" s="48">
        <v>0.015</v>
      </c>
      <c r="O413" s="44" t="s">
        <v>48</v>
      </c>
      <c r="P413" s="49">
        <v>0.1</v>
      </c>
      <c r="Q413" s="139"/>
      <c r="R413" s="139"/>
      <c r="S413" s="45" t="s">
        <v>108</v>
      </c>
      <c r="T413" s="24" t="s">
        <v>1460</v>
      </c>
      <c r="U413" s="9" t="s">
        <v>19</v>
      </c>
      <c r="V413" s="51" t="str">
        <f t="shared" si="3"/>
        <v>Ativo</v>
      </c>
      <c r="W413" s="45"/>
      <c r="X413" s="52" t="s">
        <v>119</v>
      </c>
      <c r="Y413" s="54"/>
      <c r="Z413" s="54"/>
      <c r="AA413" s="54"/>
      <c r="AB413" s="54"/>
      <c r="AC413" s="54">
        <v>0.0</v>
      </c>
      <c r="AD413" s="54">
        <v>485180.91</v>
      </c>
      <c r="AE413" s="54">
        <v>586527.81</v>
      </c>
      <c r="AF413" s="54">
        <v>589105.09</v>
      </c>
      <c r="AG413" s="54">
        <v>599462.24</v>
      </c>
      <c r="AH413" s="54">
        <v>623799.05</v>
      </c>
      <c r="AI413" s="54">
        <v>626680.78</v>
      </c>
      <c r="AJ413" s="54">
        <v>646739.9</v>
      </c>
      <c r="AK413" s="54">
        <v>677433.36</v>
      </c>
      <c r="AL413" s="54">
        <v>687798.21</v>
      </c>
      <c r="AM413" s="54">
        <v>730790.37</v>
      </c>
      <c r="AN413" s="54">
        <v>754062.16</v>
      </c>
      <c r="AO413" s="54">
        <v>751642.51</v>
      </c>
      <c r="AP413" s="53">
        <v>789676.27</v>
      </c>
      <c r="AQ413" s="53">
        <v>812486.91</v>
      </c>
      <c r="AR413" s="53">
        <v>893064.95</v>
      </c>
      <c r="AS413" s="53">
        <v>916614.3</v>
      </c>
      <c r="AT413" s="53">
        <v>856005.3</v>
      </c>
      <c r="AU413" s="53">
        <f t="array" ref="AU413">XLOOKUP(C413,'PL TOTAL D0'!A:A,'PL TOTAL D0'!C:C,"")</f>
        <v>869722.5</v>
      </c>
    </row>
    <row r="414" ht="15.75" customHeight="1">
      <c r="A414" s="41" t="s">
        <v>43</v>
      </c>
      <c r="B414" s="42" t="s">
        <v>41</v>
      </c>
      <c r="C414" s="81" t="s">
        <v>1461</v>
      </c>
      <c r="D414" s="44" t="s">
        <v>18</v>
      </c>
      <c r="E414" s="45" t="s">
        <v>176</v>
      </c>
      <c r="F414" s="44" t="s">
        <v>197</v>
      </c>
      <c r="G414" s="44" t="str">
        <f t="shared" si="1"/>
        <v>Augusto</v>
      </c>
      <c r="H414" s="51" t="s">
        <v>107</v>
      </c>
      <c r="I414" s="46" t="s">
        <v>24</v>
      </c>
      <c r="J414" s="44" t="str">
        <f t="shared" si="7"/>
        <v>Não</v>
      </c>
      <c r="K414" s="47">
        <v>45083.0</v>
      </c>
      <c r="L414" s="62"/>
      <c r="M414" s="45" t="s">
        <v>47</v>
      </c>
      <c r="N414" s="48">
        <v>0.015</v>
      </c>
      <c r="O414" s="44" t="s">
        <v>48</v>
      </c>
      <c r="P414" s="49">
        <v>0.1</v>
      </c>
      <c r="Q414" s="138"/>
      <c r="R414" s="139"/>
      <c r="S414" s="45" t="s">
        <v>108</v>
      </c>
      <c r="T414" s="24" t="s">
        <v>49</v>
      </c>
      <c r="U414" s="9" t="s">
        <v>34</v>
      </c>
      <c r="V414" s="51" t="str">
        <f t="shared" si="3"/>
        <v>Ativo</v>
      </c>
      <c r="W414" s="45"/>
      <c r="X414" s="52" t="s">
        <v>110</v>
      </c>
      <c r="Y414" s="54"/>
      <c r="Z414" s="54"/>
      <c r="AA414" s="54"/>
      <c r="AB414" s="54"/>
      <c r="AC414" s="54"/>
      <c r="AD414" s="54"/>
      <c r="AE414" s="54"/>
      <c r="AF414" s="54"/>
      <c r="AG414" s="54">
        <v>0.0</v>
      </c>
      <c r="AH414" s="54">
        <v>10046.26</v>
      </c>
      <c r="AI414" s="54">
        <v>12149.58</v>
      </c>
      <c r="AJ414" s="54">
        <v>12266.12</v>
      </c>
      <c r="AK414" s="54">
        <v>17332.09</v>
      </c>
      <c r="AL414" s="54">
        <v>19446.68</v>
      </c>
      <c r="AM414" s="54">
        <v>24301.19</v>
      </c>
      <c r="AN414" s="54">
        <v>24714.34</v>
      </c>
      <c r="AO414" s="54">
        <v>28424.87</v>
      </c>
      <c r="AP414" s="53">
        <v>30695.79</v>
      </c>
      <c r="AQ414" s="53">
        <v>35274.58</v>
      </c>
      <c r="AR414" s="53">
        <v>34989.0</v>
      </c>
      <c r="AS414" s="53">
        <v>34953.15</v>
      </c>
      <c r="AT414" s="53">
        <v>35146.13</v>
      </c>
      <c r="AU414" s="53">
        <f t="array" ref="AU414">XLOOKUP(C414,'PL TOTAL D0'!A:A,'PL TOTAL D0'!C:C,"")</f>
        <v>35574.34</v>
      </c>
    </row>
    <row r="415" ht="15.75" customHeight="1">
      <c r="A415" s="6" t="s">
        <v>43</v>
      </c>
      <c r="B415" s="64" t="s">
        <v>41</v>
      </c>
      <c r="C415" s="85" t="s">
        <v>1462</v>
      </c>
      <c r="D415" s="9" t="s">
        <v>18</v>
      </c>
      <c r="E415" s="45" t="s">
        <v>176</v>
      </c>
      <c r="F415" s="44" t="s">
        <v>197</v>
      </c>
      <c r="G415" s="44" t="str">
        <f t="shared" si="1"/>
        <v>#N/A</v>
      </c>
      <c r="H415" s="51" t="s">
        <v>147</v>
      </c>
      <c r="I415" s="51" t="s">
        <v>161</v>
      </c>
      <c r="J415" s="44" t="str">
        <f t="shared" si="7"/>
        <v>Não</v>
      </c>
      <c r="K415" s="57">
        <v>45364.0</v>
      </c>
      <c r="L415" s="62"/>
      <c r="M415" s="24" t="s">
        <v>129</v>
      </c>
      <c r="N415" s="58">
        <v>0.0</v>
      </c>
      <c r="O415" s="9" t="s">
        <v>24</v>
      </c>
      <c r="P415" s="59">
        <v>0.0</v>
      </c>
      <c r="Q415" s="139"/>
      <c r="R415" s="139"/>
      <c r="S415" s="24" t="s">
        <v>108</v>
      </c>
      <c r="T415" s="24" t="s">
        <v>49</v>
      </c>
      <c r="U415" s="9" t="s">
        <v>34</v>
      </c>
      <c r="V415" s="51" t="str">
        <f t="shared" si="3"/>
        <v>Ativo</v>
      </c>
      <c r="W415" s="45"/>
      <c r="X415" s="52" t="s">
        <v>110</v>
      </c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3"/>
      <c r="AQ415" s="53">
        <v>0.0</v>
      </c>
      <c r="AR415" s="53">
        <v>0.0</v>
      </c>
      <c r="AS415" s="53">
        <v>0.0</v>
      </c>
      <c r="AT415" s="53">
        <v>0.0</v>
      </c>
      <c r="AU415" s="53" t="str">
        <f t="array" ref="AU415">XLOOKUP(C415,'PL TOTAL D0'!A:A,'PL TOTAL D0'!C:C,"")</f>
        <v/>
      </c>
    </row>
    <row r="416" ht="15.75" customHeight="1">
      <c r="A416" s="41" t="s">
        <v>43</v>
      </c>
      <c r="B416" s="42" t="s">
        <v>1463</v>
      </c>
      <c r="C416" s="43" t="s">
        <v>1464</v>
      </c>
      <c r="D416" s="44" t="s">
        <v>18</v>
      </c>
      <c r="E416" s="45" t="s">
        <v>19</v>
      </c>
      <c r="F416" s="44" t="s">
        <v>20</v>
      </c>
      <c r="G416" s="44" t="str">
        <f t="shared" si="1"/>
        <v>Augusto</v>
      </c>
      <c r="H416" s="51" t="s">
        <v>147</v>
      </c>
      <c r="I416" s="51" t="s">
        <v>219</v>
      </c>
      <c r="J416" s="44" t="str">
        <f t="shared" si="7"/>
        <v>Não</v>
      </c>
      <c r="K416" s="47">
        <v>45014.0</v>
      </c>
      <c r="L416" s="45"/>
      <c r="M416" s="45" t="s">
        <v>190</v>
      </c>
      <c r="N416" s="48">
        <v>0.025</v>
      </c>
      <c r="O416" s="44" t="s">
        <v>191</v>
      </c>
      <c r="P416" s="49">
        <v>0.2</v>
      </c>
      <c r="Q416" s="139"/>
      <c r="R416" s="139"/>
      <c r="S416" s="45" t="s">
        <v>108</v>
      </c>
      <c r="T416" s="24" t="s">
        <v>1465</v>
      </c>
      <c r="U416" s="9" t="s">
        <v>19</v>
      </c>
      <c r="V416" s="51" t="str">
        <f t="shared" si="3"/>
        <v>Ativo</v>
      </c>
      <c r="W416" s="45"/>
      <c r="X416" s="52" t="s">
        <v>119</v>
      </c>
      <c r="Y416" s="54"/>
      <c r="Z416" s="54"/>
      <c r="AA416" s="54"/>
      <c r="AB416" s="54"/>
      <c r="AC416" s="54"/>
      <c r="AD416" s="54">
        <v>0.0</v>
      </c>
      <c r="AE416" s="54">
        <v>1896.74</v>
      </c>
      <c r="AF416" s="54">
        <v>1906.54</v>
      </c>
      <c r="AG416" s="54">
        <v>1919.93</v>
      </c>
      <c r="AH416" s="54">
        <v>4719.37</v>
      </c>
      <c r="AI416" s="54">
        <v>4760.49</v>
      </c>
      <c r="AJ416" s="54">
        <v>4803.86</v>
      </c>
      <c r="AK416" s="54">
        <v>4633.19</v>
      </c>
      <c r="AL416" s="54">
        <v>4462.58</v>
      </c>
      <c r="AM416" s="54">
        <v>4746.91</v>
      </c>
      <c r="AN416" s="54">
        <v>29.77</v>
      </c>
      <c r="AO416" s="54">
        <v>29.77</v>
      </c>
      <c r="AP416" s="53">
        <v>30.02</v>
      </c>
      <c r="AQ416" s="53">
        <v>30.02</v>
      </c>
      <c r="AR416" s="53">
        <v>30.02</v>
      </c>
      <c r="AS416" s="53">
        <v>30.02</v>
      </c>
      <c r="AT416" s="53">
        <v>30.02</v>
      </c>
      <c r="AU416" s="53">
        <f t="array" ref="AU416">XLOOKUP(C416,'PL TOTAL D0'!A:A,'PL TOTAL D0'!C:C,"")</f>
        <v>30.02</v>
      </c>
    </row>
    <row r="417" ht="15.75" customHeight="1">
      <c r="A417" s="41" t="s">
        <v>43</v>
      </c>
      <c r="B417" s="42" t="s">
        <v>1466</v>
      </c>
      <c r="C417" s="43" t="s">
        <v>1467</v>
      </c>
      <c r="D417" s="44" t="s">
        <v>18</v>
      </c>
      <c r="E417" s="45" t="s">
        <v>19</v>
      </c>
      <c r="F417" s="44" t="s">
        <v>256</v>
      </c>
      <c r="G417" s="44" t="str">
        <f t="shared" si="1"/>
        <v>Augusto</v>
      </c>
      <c r="H417" s="46" t="s">
        <v>107</v>
      </c>
      <c r="I417" s="46" t="s">
        <v>24</v>
      </c>
      <c r="J417" s="44" t="str">
        <f t="shared" si="7"/>
        <v>Não</v>
      </c>
      <c r="K417" s="47">
        <v>44974.0</v>
      </c>
      <c r="L417" s="45"/>
      <c r="M417" s="45" t="s">
        <v>55</v>
      </c>
      <c r="N417" s="48">
        <v>0.012</v>
      </c>
      <c r="O417" s="44" t="s">
        <v>24</v>
      </c>
      <c r="P417" s="49">
        <v>0.0</v>
      </c>
      <c r="Q417" s="50"/>
      <c r="R417" s="50"/>
      <c r="S417" s="45" t="s">
        <v>108</v>
      </c>
      <c r="T417" s="24" t="s">
        <v>1468</v>
      </c>
      <c r="U417" s="9" t="s">
        <v>19</v>
      </c>
      <c r="V417" s="51" t="str">
        <f t="shared" si="3"/>
        <v>Ativo</v>
      </c>
      <c r="W417" s="45"/>
      <c r="X417" s="52" t="s">
        <v>119</v>
      </c>
      <c r="Y417" s="54"/>
      <c r="Z417" s="54"/>
      <c r="AA417" s="54"/>
      <c r="AB417" s="54"/>
      <c r="AC417" s="54">
        <v>0.0</v>
      </c>
      <c r="AD417" s="54">
        <v>100035.14</v>
      </c>
      <c r="AE417" s="54">
        <v>101119.41</v>
      </c>
      <c r="AF417" s="54">
        <v>101836.34</v>
      </c>
      <c r="AG417" s="54">
        <v>102906.88</v>
      </c>
      <c r="AH417" s="54">
        <v>103590.46</v>
      </c>
      <c r="AI417" s="54">
        <v>104499.45</v>
      </c>
      <c r="AJ417" s="54">
        <v>105466.81</v>
      </c>
      <c r="AK417" s="54">
        <v>106326.76</v>
      </c>
      <c r="AL417" s="54">
        <v>107291.03</v>
      </c>
      <c r="AM417" s="54">
        <v>108038.36</v>
      </c>
      <c r="AN417" s="54">
        <v>108875.23</v>
      </c>
      <c r="AO417" s="54">
        <v>130026.38</v>
      </c>
      <c r="AP417" s="53">
        <v>131005.55</v>
      </c>
      <c r="AQ417" s="53">
        <v>131805.24</v>
      </c>
      <c r="AR417" s="53">
        <v>132837.94</v>
      </c>
      <c r="AS417" s="53">
        <v>133852.0</v>
      </c>
      <c r="AT417" s="53">
        <v>134865.4</v>
      </c>
      <c r="AU417" s="53">
        <f t="array" ref="AU417">XLOOKUP(C417,'PL TOTAL D0'!A:A,'PL TOTAL D0'!C:C,"")</f>
        <v>134167.4</v>
      </c>
    </row>
    <row r="418" ht="15.75" customHeight="1">
      <c r="A418" s="6" t="s">
        <v>43</v>
      </c>
      <c r="B418" s="55" t="s">
        <v>1469</v>
      </c>
      <c r="C418" s="56" t="s">
        <v>1470</v>
      </c>
      <c r="D418" s="9" t="s">
        <v>18</v>
      </c>
      <c r="E418" s="24" t="s">
        <v>29</v>
      </c>
      <c r="F418" s="9" t="s">
        <v>205</v>
      </c>
      <c r="G418" s="44" t="str">
        <f t="shared" si="1"/>
        <v>Augusto</v>
      </c>
      <c r="H418" s="51" t="s">
        <v>107</v>
      </c>
      <c r="I418" s="51" t="s">
        <v>24</v>
      </c>
      <c r="J418" s="44" t="str">
        <f t="shared" si="7"/>
        <v>Não</v>
      </c>
      <c r="K418" s="57">
        <v>45348.0</v>
      </c>
      <c r="L418" s="45"/>
      <c r="M418" s="24" t="s">
        <v>47</v>
      </c>
      <c r="N418" s="58">
        <v>0.016</v>
      </c>
      <c r="O418" s="9" t="s">
        <v>48</v>
      </c>
      <c r="P418" s="59">
        <v>0.2</v>
      </c>
      <c r="Q418" s="50"/>
      <c r="R418" s="50"/>
      <c r="S418" s="24" t="s">
        <v>108</v>
      </c>
      <c r="T418" s="24" t="s">
        <v>1471</v>
      </c>
      <c r="U418" s="9" t="s">
        <v>34</v>
      </c>
      <c r="V418" s="51" t="str">
        <f t="shared" si="3"/>
        <v>Ativo</v>
      </c>
      <c r="W418" s="45"/>
      <c r="X418" s="52" t="s">
        <v>119</v>
      </c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3">
        <v>325808.13</v>
      </c>
      <c r="AQ418" s="53">
        <v>327583.28</v>
      </c>
      <c r="AR418" s="53">
        <v>323740.89</v>
      </c>
      <c r="AS418" s="53">
        <v>324453.2</v>
      </c>
      <c r="AT418" s="53">
        <v>313108.7</v>
      </c>
      <c r="AU418" s="53">
        <f t="array" ref="AU418">XLOOKUP(C418,'PL TOTAL D0'!A:A,'PL TOTAL D0'!C:C,"")</f>
        <v>318896.8</v>
      </c>
    </row>
    <row r="419" ht="15.75" customHeight="1">
      <c r="A419" s="41" t="s">
        <v>43</v>
      </c>
      <c r="B419" s="42" t="s">
        <v>1472</v>
      </c>
      <c r="C419" s="43" t="s">
        <v>1473</v>
      </c>
      <c r="D419" s="44" t="s">
        <v>105</v>
      </c>
      <c r="E419" s="45" t="s">
        <v>29</v>
      </c>
      <c r="F419" s="44" t="s">
        <v>106</v>
      </c>
      <c r="G419" s="44" t="str">
        <f t="shared" si="1"/>
        <v>Augusto</v>
      </c>
      <c r="H419" s="46" t="s">
        <v>107</v>
      </c>
      <c r="I419" s="46" t="s">
        <v>24</v>
      </c>
      <c r="J419" s="44" t="str">
        <f t="shared" si="7"/>
        <v>Não</v>
      </c>
      <c r="K419" s="47">
        <v>45125.0</v>
      </c>
      <c r="L419" s="45"/>
      <c r="M419" s="45" t="s">
        <v>55</v>
      </c>
      <c r="N419" s="117">
        <v>0.007</v>
      </c>
      <c r="O419" s="44" t="s">
        <v>24</v>
      </c>
      <c r="P419" s="49">
        <v>0.0</v>
      </c>
      <c r="Q419" s="50"/>
      <c r="R419" s="50"/>
      <c r="S419" s="45" t="s">
        <v>108</v>
      </c>
      <c r="T419" s="24" t="s">
        <v>1474</v>
      </c>
      <c r="U419" s="9" t="s">
        <v>1475</v>
      </c>
      <c r="V419" s="51" t="str">
        <f t="shared" si="3"/>
        <v>Ativo</v>
      </c>
      <c r="W419" s="45"/>
      <c r="X419" s="52" t="s">
        <v>110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>
        <v>137980.08</v>
      </c>
      <c r="AJ419" s="54">
        <v>138571.7</v>
      </c>
      <c r="AK419" s="54">
        <v>139252.64</v>
      </c>
      <c r="AL419" s="54">
        <v>140187.42</v>
      </c>
      <c r="AM419" s="54">
        <v>125068.1</v>
      </c>
      <c r="AN419" s="54">
        <v>115222.75</v>
      </c>
      <c r="AO419" s="54">
        <v>102160.26</v>
      </c>
      <c r="AP419" s="53">
        <v>91325.16</v>
      </c>
      <c r="AQ419" s="53">
        <v>74212.9</v>
      </c>
      <c r="AR419" s="53">
        <v>71225.99</v>
      </c>
      <c r="AS419" s="53">
        <v>68227.62</v>
      </c>
      <c r="AT419" s="53">
        <v>68999.37</v>
      </c>
      <c r="AU419" s="53">
        <f t="array" ref="AU419">XLOOKUP(C419,'PL TOTAL D0'!A:A,'PL TOTAL D0'!C:C,"")</f>
        <v>69125.2</v>
      </c>
    </row>
    <row r="420" ht="15.75" customHeight="1">
      <c r="A420" s="41" t="s">
        <v>43</v>
      </c>
      <c r="B420" s="55" t="s">
        <v>1476</v>
      </c>
      <c r="C420" s="56" t="s">
        <v>1477</v>
      </c>
      <c r="D420" s="9" t="s">
        <v>105</v>
      </c>
      <c r="E420" s="45"/>
      <c r="F420" s="9" t="s">
        <v>146</v>
      </c>
      <c r="G420" s="44" t="str">
        <f t="shared" si="1"/>
        <v>#N/A</v>
      </c>
      <c r="H420" s="51" t="s">
        <v>147</v>
      </c>
      <c r="I420" s="51" t="s">
        <v>148</v>
      </c>
      <c r="J420" s="44" t="str">
        <f t="shared" si="7"/>
        <v>Não</v>
      </c>
      <c r="K420" s="57">
        <v>45450.0</v>
      </c>
      <c r="L420" s="45"/>
      <c r="M420" s="24" t="s">
        <v>149</v>
      </c>
      <c r="N420" s="214">
        <v>0.003</v>
      </c>
      <c r="O420" s="9" t="s">
        <v>24</v>
      </c>
      <c r="P420" s="59">
        <v>0.0</v>
      </c>
      <c r="Q420" s="50"/>
      <c r="R420" s="50"/>
      <c r="S420" s="24" t="s">
        <v>108</v>
      </c>
      <c r="T420" s="24" t="s">
        <v>1478</v>
      </c>
      <c r="U420" s="9" t="s">
        <v>152</v>
      </c>
      <c r="V420" s="51" t="str">
        <f t="shared" si="3"/>
        <v>Ativo</v>
      </c>
      <c r="W420" s="24" t="s">
        <v>63</v>
      </c>
      <c r="X420" s="52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3"/>
      <c r="AQ420" s="53"/>
      <c r="AR420" s="53"/>
      <c r="AS420" s="53"/>
      <c r="AT420" s="53">
        <v>0.0</v>
      </c>
      <c r="AU420" s="53" t="str">
        <f t="array" ref="AU420">XLOOKUP(C420,'PL TOTAL D0'!A:A,'PL TOTAL D0'!C:C,"")</f>
        <v/>
      </c>
    </row>
    <row r="421" ht="15.75" customHeight="1">
      <c r="A421" s="41" t="s">
        <v>43</v>
      </c>
      <c r="B421" s="66" t="s">
        <v>1479</v>
      </c>
      <c r="C421" s="71" t="s">
        <v>1480</v>
      </c>
      <c r="D421" s="44" t="s">
        <v>18</v>
      </c>
      <c r="E421" s="45" t="s">
        <v>29</v>
      </c>
      <c r="F421" s="44" t="s">
        <v>704</v>
      </c>
      <c r="G421" s="44" t="str">
        <f t="shared" si="1"/>
        <v>Augusto</v>
      </c>
      <c r="H421" s="51" t="s">
        <v>147</v>
      </c>
      <c r="I421" s="51" t="s">
        <v>1481</v>
      </c>
      <c r="J421" s="44" t="str">
        <f t="shared" si="7"/>
        <v>Não</v>
      </c>
      <c r="K421" s="47">
        <v>45229.0</v>
      </c>
      <c r="L421" s="45"/>
      <c r="M421" s="45" t="s">
        <v>79</v>
      </c>
      <c r="N421" s="117">
        <v>0.012</v>
      </c>
      <c r="O421" s="44" t="s">
        <v>48</v>
      </c>
      <c r="P421" s="49">
        <v>0.1</v>
      </c>
      <c r="Q421" s="50"/>
      <c r="R421" s="50"/>
      <c r="S421" s="45" t="s">
        <v>108</v>
      </c>
      <c r="T421" s="24" t="s">
        <v>1482</v>
      </c>
      <c r="U421" s="9" t="s">
        <v>29</v>
      </c>
      <c r="V421" s="51" t="str">
        <f t="shared" si="3"/>
        <v>Ativo</v>
      </c>
      <c r="W421" s="45"/>
      <c r="X421" s="52" t="s">
        <v>119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>
        <v>0.0</v>
      </c>
      <c r="AM421" s="54">
        <v>137488.4</v>
      </c>
      <c r="AN421" s="54">
        <v>139051.6</v>
      </c>
      <c r="AO421" s="54">
        <v>139785.27</v>
      </c>
      <c r="AP421" s="53">
        <v>140349.0</v>
      </c>
      <c r="AQ421" s="53">
        <v>141659.22</v>
      </c>
      <c r="AR421" s="53">
        <v>141206.35</v>
      </c>
      <c r="AS421" s="53">
        <v>141304.3</v>
      </c>
      <c r="AT421" s="53">
        <v>142035.2</v>
      </c>
      <c r="AU421" s="53">
        <f t="array" ref="AU421">XLOOKUP(C421,'PL TOTAL D0'!A:A,'PL TOTAL D0'!C:C,"")</f>
        <v>140594.8</v>
      </c>
    </row>
    <row r="422" ht="15.75" customHeight="1">
      <c r="A422" s="41" t="s">
        <v>43</v>
      </c>
      <c r="B422" s="42" t="s">
        <v>1483</v>
      </c>
      <c r="C422" s="43" t="s">
        <v>1484</v>
      </c>
      <c r="D422" s="44" t="s">
        <v>18</v>
      </c>
      <c r="E422" s="45" t="s">
        <v>19</v>
      </c>
      <c r="F422" s="44" t="s">
        <v>122</v>
      </c>
      <c r="G422" s="44" t="str">
        <f t="shared" si="1"/>
        <v>#N/A</v>
      </c>
      <c r="H422" s="46" t="s">
        <v>186</v>
      </c>
      <c r="I422" s="46" t="s">
        <v>24</v>
      </c>
      <c r="J422" s="44" t="str">
        <f t="shared" si="7"/>
        <v>Não</v>
      </c>
      <c r="K422" s="47">
        <v>44987.0</v>
      </c>
      <c r="L422" s="72">
        <v>45181.0</v>
      </c>
      <c r="M422" s="45" t="s">
        <v>55</v>
      </c>
      <c r="N422" s="48">
        <v>0.007</v>
      </c>
      <c r="O422" s="44" t="s">
        <v>24</v>
      </c>
      <c r="P422" s="49">
        <v>0.0</v>
      </c>
      <c r="Q422" s="50"/>
      <c r="R422" s="60" t="s">
        <v>1485</v>
      </c>
      <c r="S422" s="45" t="s">
        <v>108</v>
      </c>
      <c r="T422" s="24" t="s">
        <v>1486</v>
      </c>
      <c r="U422" s="9" t="s">
        <v>19</v>
      </c>
      <c r="V422" s="51" t="str">
        <f t="shared" si="3"/>
        <v>Encerrado</v>
      </c>
      <c r="W422" s="45"/>
      <c r="X422" s="52"/>
      <c r="Y422" s="54"/>
      <c r="Z422" s="54"/>
      <c r="AA422" s="54"/>
      <c r="AB422" s="54"/>
      <c r="AC422" s="54">
        <v>0.0</v>
      </c>
      <c r="AD422" s="54">
        <v>60000.0</v>
      </c>
      <c r="AE422" s="54">
        <v>102534.0</v>
      </c>
      <c r="AF422" s="54">
        <v>153405.6</v>
      </c>
      <c r="AG422" s="54">
        <v>157716.83</v>
      </c>
      <c r="AH422" s="54">
        <v>270708.34</v>
      </c>
      <c r="AI422" s="54">
        <v>314906.04</v>
      </c>
      <c r="AJ422" s="54">
        <v>338203.14</v>
      </c>
      <c r="AK422" s="54">
        <v>0.0</v>
      </c>
      <c r="AL422" s="54">
        <v>0.0</v>
      </c>
      <c r="AM422" s="54">
        <v>0.0</v>
      </c>
      <c r="AN422" s="54">
        <v>0.0</v>
      </c>
      <c r="AO422" s="54">
        <v>0.0</v>
      </c>
      <c r="AP422" s="53">
        <v>0.0</v>
      </c>
      <c r="AQ422" s="53">
        <v>0.0</v>
      </c>
      <c r="AR422" s="53">
        <v>0.0</v>
      </c>
      <c r="AS422" s="53">
        <v>0.0</v>
      </c>
      <c r="AT422" s="53">
        <v>0.0</v>
      </c>
      <c r="AU422" s="53" t="str">
        <f t="array" ref="AU422">XLOOKUP(C422,'PL TOTAL D0'!A:A,'PL TOTAL D0'!C:C,"")</f>
        <v/>
      </c>
    </row>
    <row r="423" ht="15.75" customHeight="1">
      <c r="A423" s="41" t="s">
        <v>43</v>
      </c>
      <c r="B423" s="55" t="s">
        <v>1483</v>
      </c>
      <c r="C423" s="43" t="s">
        <v>1487</v>
      </c>
      <c r="D423" s="44" t="s">
        <v>18</v>
      </c>
      <c r="E423" s="45" t="s">
        <v>19</v>
      </c>
      <c r="F423" s="44" t="s">
        <v>122</v>
      </c>
      <c r="G423" s="44" t="str">
        <f t="shared" si="1"/>
        <v>#N/A</v>
      </c>
      <c r="H423" s="46" t="s">
        <v>186</v>
      </c>
      <c r="I423" s="46" t="s">
        <v>24</v>
      </c>
      <c r="J423" s="44" t="str">
        <f t="shared" si="7"/>
        <v>Não</v>
      </c>
      <c r="K423" s="47">
        <v>45163.0</v>
      </c>
      <c r="L423" s="72">
        <v>45182.0</v>
      </c>
      <c r="M423" s="45" t="s">
        <v>55</v>
      </c>
      <c r="N423" s="48">
        <v>0.007</v>
      </c>
      <c r="O423" s="44" t="s">
        <v>24</v>
      </c>
      <c r="P423" s="49">
        <v>0.0</v>
      </c>
      <c r="Q423" s="50"/>
      <c r="R423" s="60" t="s">
        <v>1485</v>
      </c>
      <c r="S423" s="45" t="s">
        <v>108</v>
      </c>
      <c r="T423" s="24" t="s">
        <v>1486</v>
      </c>
      <c r="U423" s="9" t="s">
        <v>19</v>
      </c>
      <c r="V423" s="51" t="str">
        <f t="shared" si="3"/>
        <v>Encerrado</v>
      </c>
      <c r="W423" s="45"/>
      <c r="X423" s="52"/>
      <c r="Y423" s="54"/>
      <c r="Z423" s="54"/>
      <c r="AA423" s="54"/>
      <c r="AB423" s="54"/>
      <c r="AC423" s="54">
        <v>0.0</v>
      </c>
      <c r="AD423" s="54">
        <v>0.0</v>
      </c>
      <c r="AE423" s="54">
        <v>0.0</v>
      </c>
      <c r="AF423" s="54">
        <v>0.0</v>
      </c>
      <c r="AG423" s="54">
        <v>0.0</v>
      </c>
      <c r="AH423" s="54">
        <v>0.0</v>
      </c>
      <c r="AI423" s="54">
        <v>0.0</v>
      </c>
      <c r="AJ423" s="54">
        <v>0.0</v>
      </c>
      <c r="AK423" s="54">
        <v>0.0</v>
      </c>
      <c r="AL423" s="54">
        <v>0.0</v>
      </c>
      <c r="AM423" s="54">
        <v>0.0</v>
      </c>
      <c r="AN423" s="54">
        <v>0.0</v>
      </c>
      <c r="AO423" s="54">
        <v>0.0</v>
      </c>
      <c r="AP423" s="53">
        <v>0.0</v>
      </c>
      <c r="AQ423" s="53">
        <v>0.0</v>
      </c>
      <c r="AR423" s="53">
        <v>0.0</v>
      </c>
      <c r="AS423" s="53">
        <v>0.0</v>
      </c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43</v>
      </c>
      <c r="B424" s="42" t="s">
        <v>1488</v>
      </c>
      <c r="C424" s="43" t="s">
        <v>1489</v>
      </c>
      <c r="D424" s="44" t="s">
        <v>18</v>
      </c>
      <c r="E424" s="45" t="s">
        <v>29</v>
      </c>
      <c r="F424" s="44" t="s">
        <v>836</v>
      </c>
      <c r="G424" s="44" t="str">
        <f t="shared" si="1"/>
        <v>Augusto</v>
      </c>
      <c r="H424" s="46" t="s">
        <v>107</v>
      </c>
      <c r="I424" s="46" t="s">
        <v>24</v>
      </c>
      <c r="J424" s="44" t="str">
        <f t="shared" si="7"/>
        <v>Não</v>
      </c>
      <c r="K424" s="47">
        <v>45155.0</v>
      </c>
      <c r="L424" s="45"/>
      <c r="M424" s="45" t="s">
        <v>55</v>
      </c>
      <c r="N424" s="48">
        <v>0.007</v>
      </c>
      <c r="O424" s="44" t="s">
        <v>24</v>
      </c>
      <c r="P424" s="49">
        <v>0.0</v>
      </c>
      <c r="Q424" s="50"/>
      <c r="R424" s="50"/>
      <c r="S424" s="45" t="s">
        <v>108</v>
      </c>
      <c r="T424" s="24" t="s">
        <v>1490</v>
      </c>
      <c r="U424" s="9" t="s">
        <v>29</v>
      </c>
      <c r="V424" s="51" t="str">
        <f t="shared" si="3"/>
        <v>Ativo</v>
      </c>
      <c r="W424" s="45"/>
      <c r="X424" s="52" t="s">
        <v>119</v>
      </c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>
        <v>52603.38</v>
      </c>
      <c r="AK424" s="54">
        <v>58632.55</v>
      </c>
      <c r="AL424" s="54">
        <v>128721.41</v>
      </c>
      <c r="AM424" s="54">
        <v>133384.12</v>
      </c>
      <c r="AN424" s="54">
        <v>137232.47</v>
      </c>
      <c r="AO424" s="54">
        <v>144970.06</v>
      </c>
      <c r="AP424" s="53">
        <v>151229.1</v>
      </c>
      <c r="AQ424" s="53">
        <v>163997.52</v>
      </c>
      <c r="AR424" s="53">
        <v>165846.09</v>
      </c>
      <c r="AS424" s="53">
        <v>167606.1</v>
      </c>
      <c r="AT424" s="53">
        <v>169324.9</v>
      </c>
      <c r="AU424" s="53">
        <f t="array" ref="AU424">XLOOKUP(C424,'PL TOTAL D0'!A:A,'PL TOTAL D0'!C:C,"")</f>
        <v>170152.8</v>
      </c>
    </row>
    <row r="425" ht="15.75" customHeight="1">
      <c r="A425" s="41" t="s">
        <v>43</v>
      </c>
      <c r="B425" s="42" t="s">
        <v>1491</v>
      </c>
      <c r="C425" s="43" t="s">
        <v>1492</v>
      </c>
      <c r="D425" s="44" t="s">
        <v>18</v>
      </c>
      <c r="E425" s="45" t="s">
        <v>29</v>
      </c>
      <c r="F425" s="44" t="s">
        <v>294</v>
      </c>
      <c r="G425" s="44" t="str">
        <f t="shared" si="1"/>
        <v>Augusto</v>
      </c>
      <c r="H425" s="51" t="s">
        <v>107</v>
      </c>
      <c r="I425" s="51" t="s">
        <v>24</v>
      </c>
      <c r="J425" s="44" t="str">
        <f t="shared" si="7"/>
        <v>Não</v>
      </c>
      <c r="K425" s="47">
        <v>44973.0</v>
      </c>
      <c r="L425" s="45"/>
      <c r="M425" s="24" t="s">
        <v>129</v>
      </c>
      <c r="N425" s="58">
        <v>0.0</v>
      </c>
      <c r="O425" s="9" t="s">
        <v>24</v>
      </c>
      <c r="P425" s="59">
        <v>0.0</v>
      </c>
      <c r="Q425" s="60"/>
      <c r="R425" s="138" t="s">
        <v>621</v>
      </c>
      <c r="S425" s="45" t="s">
        <v>108</v>
      </c>
      <c r="T425" s="24" t="s">
        <v>1493</v>
      </c>
      <c r="U425" s="9" t="s">
        <v>29</v>
      </c>
      <c r="V425" s="51" t="str">
        <f t="shared" si="3"/>
        <v>Ativo</v>
      </c>
      <c r="W425" s="45"/>
      <c r="X425" s="52" t="s">
        <v>119</v>
      </c>
      <c r="Y425" s="54"/>
      <c r="Z425" s="54"/>
      <c r="AA425" s="54"/>
      <c r="AB425" s="54"/>
      <c r="AC425" s="54">
        <v>0.0</v>
      </c>
      <c r="AD425" s="54">
        <v>6050.41</v>
      </c>
      <c r="AE425" s="54">
        <v>6120.43</v>
      </c>
      <c r="AF425" s="54">
        <v>14160.03</v>
      </c>
      <c r="AG425" s="54">
        <v>46550.74</v>
      </c>
      <c r="AH425" s="54">
        <v>46962.62</v>
      </c>
      <c r="AI425" s="54">
        <v>47341.05</v>
      </c>
      <c r="AJ425" s="54">
        <v>47540.6</v>
      </c>
      <c r="AK425" s="54">
        <v>47745.93</v>
      </c>
      <c r="AL425" s="54">
        <v>48047.89</v>
      </c>
      <c r="AM425" s="54">
        <v>48101.94</v>
      </c>
      <c r="AN425" s="54">
        <v>48460.62</v>
      </c>
      <c r="AO425" s="54">
        <v>47877.09</v>
      </c>
      <c r="AP425" s="53">
        <v>48344.89</v>
      </c>
      <c r="AQ425" s="53">
        <v>48852.6</v>
      </c>
      <c r="AR425" s="53">
        <v>48587.21</v>
      </c>
      <c r="AS425" s="53">
        <v>48946.3</v>
      </c>
      <c r="AT425" s="53">
        <v>49304.42</v>
      </c>
      <c r="AU425" s="53">
        <f t="array" ref="AU425">XLOOKUP(C425,'PL TOTAL D0'!A:A,'PL TOTAL D0'!C:C,"")</f>
        <v>49508</v>
      </c>
    </row>
    <row r="426" ht="15.75" customHeight="1">
      <c r="A426" s="41" t="s">
        <v>43</v>
      </c>
      <c r="B426" s="42" t="s">
        <v>1494</v>
      </c>
      <c r="C426" s="43" t="s">
        <v>1495</v>
      </c>
      <c r="D426" s="44" t="s">
        <v>18</v>
      </c>
      <c r="E426" s="45" t="s">
        <v>29</v>
      </c>
      <c r="F426" s="44" t="s">
        <v>60</v>
      </c>
      <c r="G426" s="44" t="str">
        <f t="shared" si="1"/>
        <v>Augusto</v>
      </c>
      <c r="H426" s="46" t="s">
        <v>107</v>
      </c>
      <c r="I426" s="46" t="s">
        <v>24</v>
      </c>
      <c r="J426" s="44" t="str">
        <f t="shared" si="7"/>
        <v>Não</v>
      </c>
      <c r="K426" s="47">
        <v>44950.0</v>
      </c>
      <c r="L426" s="45"/>
      <c r="M426" s="45" t="s">
        <v>47</v>
      </c>
      <c r="N426" s="48">
        <v>0.015</v>
      </c>
      <c r="O426" s="44" t="s">
        <v>48</v>
      </c>
      <c r="P426" s="49">
        <v>0.1</v>
      </c>
      <c r="Q426" s="50"/>
      <c r="R426" s="50"/>
      <c r="S426" s="45" t="s">
        <v>108</v>
      </c>
      <c r="T426" s="24" t="s">
        <v>1496</v>
      </c>
      <c r="U426" s="9" t="s">
        <v>1497</v>
      </c>
      <c r="V426" s="51" t="str">
        <f t="shared" si="3"/>
        <v>Ativo</v>
      </c>
      <c r="W426" s="45"/>
      <c r="X426" s="52" t="s">
        <v>119</v>
      </c>
      <c r="Y426" s="54"/>
      <c r="Z426" s="54"/>
      <c r="AA426" s="54"/>
      <c r="AB426" s="54"/>
      <c r="AC426" s="54">
        <v>45032.3</v>
      </c>
      <c r="AD426" s="54">
        <v>45427.45</v>
      </c>
      <c r="AE426" s="54">
        <v>45916.51</v>
      </c>
      <c r="AF426" s="54">
        <v>46229.26</v>
      </c>
      <c r="AG426" s="54">
        <v>46739.32</v>
      </c>
      <c r="AH426" s="54">
        <v>65307.83</v>
      </c>
      <c r="AI426" s="54">
        <v>75863.42</v>
      </c>
      <c r="AJ426" s="54">
        <v>85703.16</v>
      </c>
      <c r="AK426" s="54">
        <v>101333.44</v>
      </c>
      <c r="AL426" s="54">
        <v>101439.73</v>
      </c>
      <c r="AM426" s="54">
        <v>103756.43</v>
      </c>
      <c r="AN426" s="54">
        <v>119426.87</v>
      </c>
      <c r="AO426" s="54">
        <v>126093.77</v>
      </c>
      <c r="AP426" s="53">
        <v>135178.23</v>
      </c>
      <c r="AQ426" s="53">
        <v>144495.55</v>
      </c>
      <c r="AR426" s="53">
        <v>126.75</v>
      </c>
      <c r="AS426" s="53">
        <v>126.75</v>
      </c>
      <c r="AT426" s="53">
        <v>15238.4</v>
      </c>
      <c r="AU426" s="53">
        <f t="array" ref="AU426">XLOOKUP(C426,'PL TOTAL D0'!A:A,'PL TOTAL D0'!C:C,"")</f>
        <v>25316.44</v>
      </c>
    </row>
    <row r="427" ht="15.75" customHeight="1">
      <c r="A427" s="41" t="s">
        <v>43</v>
      </c>
      <c r="B427" s="42" t="s">
        <v>1498</v>
      </c>
      <c r="C427" s="43" t="s">
        <v>1499</v>
      </c>
      <c r="D427" s="44" t="s">
        <v>18</v>
      </c>
      <c r="E427" s="45" t="s">
        <v>29</v>
      </c>
      <c r="F427" s="44" t="s">
        <v>168</v>
      </c>
      <c r="G427" s="44" t="str">
        <f t="shared" si="1"/>
        <v>Augusto</v>
      </c>
      <c r="H427" s="46" t="s">
        <v>107</v>
      </c>
      <c r="I427" s="46" t="s">
        <v>24</v>
      </c>
      <c r="J427" s="44" t="str">
        <f t="shared" si="7"/>
        <v>Não</v>
      </c>
      <c r="K427" s="47">
        <v>44953.0</v>
      </c>
      <c r="L427" s="45"/>
      <c r="M427" s="45" t="s">
        <v>55</v>
      </c>
      <c r="N427" s="48">
        <v>0.012</v>
      </c>
      <c r="O427" s="44" t="s">
        <v>24</v>
      </c>
      <c r="P427" s="49">
        <v>0.0</v>
      </c>
      <c r="Q427" s="50"/>
      <c r="R427" s="50"/>
      <c r="S427" s="45" t="s">
        <v>108</v>
      </c>
      <c r="T427" s="24" t="s">
        <v>1500</v>
      </c>
      <c r="U427" s="9" t="s">
        <v>29</v>
      </c>
      <c r="V427" s="51" t="str">
        <f t="shared" si="3"/>
        <v>Ativo</v>
      </c>
      <c r="W427" s="45"/>
      <c r="X427" s="52" t="s">
        <v>119</v>
      </c>
      <c r="Y427" s="54"/>
      <c r="Z427" s="54"/>
      <c r="AA427" s="54"/>
      <c r="AB427" s="54"/>
      <c r="AC427" s="54">
        <v>37951.88</v>
      </c>
      <c r="AD427" s="54">
        <v>80366.67</v>
      </c>
      <c r="AE427" s="54">
        <v>81226.47</v>
      </c>
      <c r="AF427" s="54">
        <v>81824.72</v>
      </c>
      <c r="AG427" s="54">
        <v>129627.9</v>
      </c>
      <c r="AH427" s="54">
        <v>130683.94</v>
      </c>
      <c r="AI427" s="54">
        <v>131755.43</v>
      </c>
      <c r="AJ427" s="54">
        <v>133041.37</v>
      </c>
      <c r="AK427" s="54">
        <v>134172.01</v>
      </c>
      <c r="AL427" s="54">
        <v>135424.92</v>
      </c>
      <c r="AM427" s="54">
        <v>136471.81</v>
      </c>
      <c r="AN427" s="54">
        <v>137256.54</v>
      </c>
      <c r="AO427" s="54">
        <v>137681.35</v>
      </c>
      <c r="AP427" s="53">
        <v>138635.19</v>
      </c>
      <c r="AQ427" s="53">
        <v>139736.26</v>
      </c>
      <c r="AR427" s="53">
        <v>140809.29</v>
      </c>
      <c r="AS427" s="53">
        <v>141835.4</v>
      </c>
      <c r="AT427" s="53">
        <v>142451.7</v>
      </c>
      <c r="AU427" s="53">
        <f t="array" ref="AU427">XLOOKUP(C427,'PL TOTAL D0'!A:A,'PL TOTAL D0'!C:C,"")</f>
        <v>142907.5</v>
      </c>
    </row>
    <row r="428" ht="15.75" customHeight="1">
      <c r="A428" s="6" t="s">
        <v>43</v>
      </c>
      <c r="B428" s="55" t="s">
        <v>1501</v>
      </c>
      <c r="C428" s="56" t="s">
        <v>1502</v>
      </c>
      <c r="D428" s="9" t="s">
        <v>18</v>
      </c>
      <c r="E428" s="24" t="s">
        <v>29</v>
      </c>
      <c r="F428" s="9" t="s">
        <v>60</v>
      </c>
      <c r="G428" s="44" t="str">
        <f t="shared" si="1"/>
        <v>#N/A</v>
      </c>
      <c r="H428" s="51" t="s">
        <v>186</v>
      </c>
      <c r="I428" s="51" t="s">
        <v>24</v>
      </c>
      <c r="J428" s="44" t="str">
        <f t="shared" si="7"/>
        <v>Não</v>
      </c>
      <c r="K428" s="57">
        <v>45322.0</v>
      </c>
      <c r="L428" s="82">
        <v>45356.0</v>
      </c>
      <c r="M428" s="24" t="s">
        <v>55</v>
      </c>
      <c r="N428" s="58">
        <v>0.01</v>
      </c>
      <c r="O428" s="9" t="s">
        <v>24</v>
      </c>
      <c r="P428" s="59">
        <v>0.0</v>
      </c>
      <c r="Q428" s="50"/>
      <c r="R428" s="60" t="s">
        <v>1503</v>
      </c>
      <c r="S428" s="24" t="s">
        <v>108</v>
      </c>
      <c r="T428" s="24" t="s">
        <v>1504</v>
      </c>
      <c r="U428" s="9" t="s">
        <v>19</v>
      </c>
      <c r="V428" s="51" t="str">
        <f t="shared" si="3"/>
        <v>Encerrado</v>
      </c>
      <c r="W428" s="45"/>
      <c r="X428" s="52" t="s">
        <v>119</v>
      </c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>
        <v>0.0</v>
      </c>
      <c r="AP428" s="53">
        <v>135193.12</v>
      </c>
      <c r="AQ428" s="53">
        <v>0.0</v>
      </c>
      <c r="AR428" s="53">
        <v>0.0</v>
      </c>
      <c r="AS428" s="53">
        <v>0.0</v>
      </c>
      <c r="AT428" s="53">
        <v>0.0</v>
      </c>
      <c r="AU428" s="53" t="str">
        <f t="array" ref="AU428">XLOOKUP(C428,'PL TOTAL D0'!A:A,'PL TOTAL D0'!C:C,"")</f>
        <v/>
      </c>
    </row>
    <row r="429" ht="15.75" customHeight="1">
      <c r="A429" s="6" t="s">
        <v>43</v>
      </c>
      <c r="B429" s="55" t="s">
        <v>1505</v>
      </c>
      <c r="C429" s="56" t="s">
        <v>1506</v>
      </c>
      <c r="D429" s="9" t="s">
        <v>52</v>
      </c>
      <c r="E429" s="24" t="s">
        <v>19</v>
      </c>
      <c r="F429" s="9" t="s">
        <v>53</v>
      </c>
      <c r="G429" s="44" t="str">
        <f t="shared" si="1"/>
        <v>Bruno</v>
      </c>
      <c r="H429" s="51" t="s">
        <v>107</v>
      </c>
      <c r="I429" s="51" t="s">
        <v>24</v>
      </c>
      <c r="J429" s="44" t="str">
        <f t="shared" si="7"/>
        <v>Não</v>
      </c>
      <c r="K429" s="57">
        <v>45314.0</v>
      </c>
      <c r="L429" s="45"/>
      <c r="M429" s="24" t="s">
        <v>55</v>
      </c>
      <c r="N429" s="58">
        <v>0.012</v>
      </c>
      <c r="O429" s="9" t="s">
        <v>24</v>
      </c>
      <c r="P429" s="59">
        <v>0.0</v>
      </c>
      <c r="Q429" s="50"/>
      <c r="R429" s="50"/>
      <c r="S429" s="24" t="s">
        <v>108</v>
      </c>
      <c r="T429" s="24" t="s">
        <v>1507</v>
      </c>
      <c r="U429" s="9" t="s">
        <v>19</v>
      </c>
      <c r="V429" s="51" t="str">
        <f t="shared" si="3"/>
        <v>Ativo</v>
      </c>
      <c r="W429" s="45"/>
      <c r="X429" s="52" t="s">
        <v>119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>
        <v>350558.06</v>
      </c>
      <c r="AP429" s="53">
        <v>403578.75</v>
      </c>
      <c r="AQ429" s="53">
        <v>567918.27</v>
      </c>
      <c r="AR429" s="53">
        <v>620290.48</v>
      </c>
      <c r="AS429" s="53">
        <v>624402.3</v>
      </c>
      <c r="AT429" s="53">
        <v>931162.2</v>
      </c>
      <c r="AU429" s="53">
        <f t="array" ref="AU429">XLOOKUP(C429,'PL TOTAL D0'!A:A,'PL TOTAL D0'!C:C,"")</f>
        <v>1034608</v>
      </c>
    </row>
    <row r="430" ht="15.0" customHeight="1">
      <c r="A430" s="41" t="s">
        <v>43</v>
      </c>
      <c r="B430" s="61" t="s">
        <v>1508</v>
      </c>
      <c r="C430" s="43" t="s">
        <v>1509</v>
      </c>
      <c r="D430" s="44" t="s">
        <v>105</v>
      </c>
      <c r="E430" s="45" t="s">
        <v>29</v>
      </c>
      <c r="F430" s="45" t="s">
        <v>146</v>
      </c>
      <c r="G430" s="44" t="str">
        <f t="shared" si="1"/>
        <v>#N/A</v>
      </c>
      <c r="H430" s="51" t="s">
        <v>186</v>
      </c>
      <c r="I430" s="46" t="s">
        <v>24</v>
      </c>
      <c r="J430" s="44" t="str">
        <f t="shared" si="7"/>
        <v>Não</v>
      </c>
      <c r="K430" s="47">
        <v>44998.0</v>
      </c>
      <c r="L430" s="82">
        <v>45407.0</v>
      </c>
      <c r="M430" s="45" t="s">
        <v>47</v>
      </c>
      <c r="N430" s="48">
        <v>0.015</v>
      </c>
      <c r="O430" s="44" t="s">
        <v>48</v>
      </c>
      <c r="P430" s="49">
        <v>0.1</v>
      </c>
      <c r="Q430" s="50"/>
      <c r="R430" s="60" t="s">
        <v>1510</v>
      </c>
      <c r="S430" s="45" t="s">
        <v>108</v>
      </c>
      <c r="T430" s="24" t="s">
        <v>1511</v>
      </c>
      <c r="U430" s="9" t="s">
        <v>29</v>
      </c>
      <c r="V430" s="51" t="str">
        <f t="shared" si="3"/>
        <v>Encerrado</v>
      </c>
      <c r="W430" s="45"/>
      <c r="X430" s="52" t="s">
        <v>110</v>
      </c>
      <c r="Y430" s="54"/>
      <c r="Z430" s="54"/>
      <c r="AA430" s="54"/>
      <c r="AB430" s="54"/>
      <c r="AC430" s="54"/>
      <c r="AD430" s="54"/>
      <c r="AE430" s="54">
        <v>162023.29</v>
      </c>
      <c r="AF430" s="54">
        <v>444063.69</v>
      </c>
      <c r="AG430" s="54">
        <v>168414.97</v>
      </c>
      <c r="AH430" s="54">
        <v>170952.21</v>
      </c>
      <c r="AI430" s="54">
        <v>171906.21</v>
      </c>
      <c r="AJ430" s="54">
        <v>171802.08</v>
      </c>
      <c r="AK430" s="54">
        <v>172413.02</v>
      </c>
      <c r="AL430" s="54">
        <v>171877.91</v>
      </c>
      <c r="AM430" s="54">
        <v>175962.99</v>
      </c>
      <c r="AN430" s="54">
        <v>179581.79</v>
      </c>
      <c r="AO430" s="54">
        <v>176745.19</v>
      </c>
      <c r="AP430" s="53">
        <v>178110.95</v>
      </c>
      <c r="AQ430" s="53">
        <v>179899.19</v>
      </c>
      <c r="AR430" s="53">
        <v>0.0</v>
      </c>
      <c r="AS430" s="53">
        <v>0.0</v>
      </c>
      <c r="AT430" s="53">
        <v>0.0</v>
      </c>
      <c r="AU430" s="53" t="str">
        <f t="array" ref="AU430">XLOOKUP(C430,'PL TOTAL D0'!A:A,'PL TOTAL D0'!C:C,"")</f>
        <v/>
      </c>
    </row>
    <row r="431" ht="15.75" customHeight="1">
      <c r="A431" s="41" t="s">
        <v>43</v>
      </c>
      <c r="B431" s="42" t="s">
        <v>1512</v>
      </c>
      <c r="C431" s="43" t="s">
        <v>1513</v>
      </c>
      <c r="D431" s="44" t="s">
        <v>18</v>
      </c>
      <c r="E431" s="45" t="s">
        <v>19</v>
      </c>
      <c r="F431" s="44" t="s">
        <v>256</v>
      </c>
      <c r="G431" s="44" t="str">
        <f t="shared" si="1"/>
        <v>Bruno</v>
      </c>
      <c r="H431" s="51" t="s">
        <v>107</v>
      </c>
      <c r="I431" s="51" t="s">
        <v>24</v>
      </c>
      <c r="J431" s="44" t="str">
        <f t="shared" si="7"/>
        <v>Sim</v>
      </c>
      <c r="K431" s="47">
        <v>44972.0</v>
      </c>
      <c r="L431" s="45"/>
      <c r="M431" s="24" t="s">
        <v>79</v>
      </c>
      <c r="N431" s="48">
        <v>0.012</v>
      </c>
      <c r="O431" s="9" t="s">
        <v>48</v>
      </c>
      <c r="P431" s="59">
        <v>0.1</v>
      </c>
      <c r="Q431" s="15" t="s">
        <v>1514</v>
      </c>
      <c r="R431" s="60" t="s">
        <v>1515</v>
      </c>
      <c r="S431" s="45" t="s">
        <v>108</v>
      </c>
      <c r="T431" s="24" t="s">
        <v>1516</v>
      </c>
      <c r="U431" s="9" t="s">
        <v>19</v>
      </c>
      <c r="V431" s="51" t="str">
        <f t="shared" si="3"/>
        <v>Ativo</v>
      </c>
      <c r="W431" s="45"/>
      <c r="X431" s="52" t="s">
        <v>119</v>
      </c>
      <c r="Y431" s="54"/>
      <c r="Z431" s="54"/>
      <c r="AA431" s="54"/>
      <c r="AB431" s="54"/>
      <c r="AC431" s="54">
        <v>0.0</v>
      </c>
      <c r="AD431" s="54">
        <v>2781216.38</v>
      </c>
      <c r="AE431" s="54">
        <v>2812243.72</v>
      </c>
      <c r="AF431" s="54">
        <v>2836358.2</v>
      </c>
      <c r="AG431" s="54">
        <v>2870623.99</v>
      </c>
      <c r="AH431" s="54">
        <v>2901586.24</v>
      </c>
      <c r="AI431" s="54">
        <v>2927527.12</v>
      </c>
      <c r="AJ431" s="54">
        <v>3070459.36</v>
      </c>
      <c r="AK431" s="54">
        <v>3092897.17</v>
      </c>
      <c r="AL431" s="54">
        <v>3121736.93</v>
      </c>
      <c r="AM431" s="54">
        <v>3144175.92</v>
      </c>
      <c r="AN431" s="54">
        <v>3167084.36</v>
      </c>
      <c r="AO431" s="54">
        <v>3195039.22</v>
      </c>
      <c r="AP431" s="53">
        <v>3208384.34</v>
      </c>
      <c r="AQ431" s="53">
        <v>3214698.19</v>
      </c>
      <c r="AR431" s="53">
        <v>3213986.27</v>
      </c>
      <c r="AS431" s="53">
        <v>3228477.0</v>
      </c>
      <c r="AT431" s="53">
        <v>3253002.0</v>
      </c>
      <c r="AU431" s="53">
        <f t="array" ref="AU431">XLOOKUP(C431,'PL TOTAL D0'!A:A,'PL TOTAL D0'!C:C,"")</f>
        <v>3276825</v>
      </c>
    </row>
    <row r="432" ht="15.75" customHeight="1">
      <c r="A432" s="41" t="s">
        <v>43</v>
      </c>
      <c r="B432" s="42" t="s">
        <v>1517</v>
      </c>
      <c r="C432" s="43" t="s">
        <v>1518</v>
      </c>
      <c r="D432" s="44" t="s">
        <v>18</v>
      </c>
      <c r="E432" s="45" t="s">
        <v>19</v>
      </c>
      <c r="F432" s="44" t="s">
        <v>20</v>
      </c>
      <c r="G432" s="44" t="str">
        <f t="shared" si="1"/>
        <v>#N/A</v>
      </c>
      <c r="H432" s="51" t="s">
        <v>147</v>
      </c>
      <c r="I432" s="46" t="s">
        <v>219</v>
      </c>
      <c r="J432" s="44" t="str">
        <f t="shared" si="7"/>
        <v>Não</v>
      </c>
      <c r="K432" s="47">
        <v>45056.0</v>
      </c>
      <c r="L432" s="45"/>
      <c r="M432" s="45" t="s">
        <v>55</v>
      </c>
      <c r="N432" s="48">
        <v>0.012</v>
      </c>
      <c r="O432" s="44" t="s">
        <v>24</v>
      </c>
      <c r="P432" s="49">
        <v>0.0</v>
      </c>
      <c r="Q432" s="50"/>
      <c r="R432" s="50"/>
      <c r="S432" s="45" t="s">
        <v>108</v>
      </c>
      <c r="T432" s="24" t="s">
        <v>1519</v>
      </c>
      <c r="U432" s="9" t="s">
        <v>19</v>
      </c>
      <c r="V432" s="51" t="str">
        <f t="shared" si="3"/>
        <v>Ativo</v>
      </c>
      <c r="W432" s="45"/>
      <c r="X432" s="52" t="s">
        <v>119</v>
      </c>
      <c r="Y432" s="54"/>
      <c r="Z432" s="54"/>
      <c r="AA432" s="54"/>
      <c r="AB432" s="54"/>
      <c r="AC432" s="54"/>
      <c r="AD432" s="54"/>
      <c r="AE432" s="54"/>
      <c r="AF432" s="54">
        <v>0.0</v>
      </c>
      <c r="AG432" s="54">
        <v>8.53</v>
      </c>
      <c r="AH432" s="54">
        <v>0.0</v>
      </c>
      <c r="AI432" s="54">
        <v>0.0</v>
      </c>
      <c r="AJ432" s="54">
        <v>0.0</v>
      </c>
      <c r="AK432" s="54">
        <v>0.0</v>
      </c>
      <c r="AL432" s="54">
        <v>0.0</v>
      </c>
      <c r="AM432" s="54">
        <v>0.0</v>
      </c>
      <c r="AN432" s="54">
        <v>0.0</v>
      </c>
      <c r="AO432" s="54">
        <v>0.0</v>
      </c>
      <c r="AP432" s="53">
        <v>0.0</v>
      </c>
      <c r="AQ432" s="53">
        <v>0.0</v>
      </c>
      <c r="AR432" s="53">
        <v>0.0</v>
      </c>
      <c r="AS432" s="53">
        <v>0.0</v>
      </c>
      <c r="AT432" s="53">
        <v>0.0</v>
      </c>
      <c r="AU432" s="53" t="str">
        <f t="array" ref="AU432">XLOOKUP(C432,'PL TOTAL D0'!A:A,'PL TOTAL D0'!C:C,"")</f>
        <v/>
      </c>
    </row>
    <row r="433" ht="15.75" customHeight="1">
      <c r="A433" s="41" t="s">
        <v>43</v>
      </c>
      <c r="B433" s="196" t="s">
        <v>1520</v>
      </c>
      <c r="C433" s="197" t="s">
        <v>1521</v>
      </c>
      <c r="D433" s="44" t="s">
        <v>18</v>
      </c>
      <c r="E433" s="45" t="s">
        <v>19</v>
      </c>
      <c r="F433" s="44" t="s">
        <v>256</v>
      </c>
      <c r="G433" s="44" t="str">
        <f t="shared" si="1"/>
        <v>#N/A</v>
      </c>
      <c r="H433" s="46" t="s">
        <v>147</v>
      </c>
      <c r="I433" s="46" t="s">
        <v>161</v>
      </c>
      <c r="J433" s="44" t="str">
        <f t="shared" si="7"/>
        <v>Não</v>
      </c>
      <c r="K433" s="47">
        <v>45166.0</v>
      </c>
      <c r="L433" s="215"/>
      <c r="M433" s="45" t="s">
        <v>55</v>
      </c>
      <c r="N433" s="48">
        <v>0.012</v>
      </c>
      <c r="O433" s="44" t="s">
        <v>24</v>
      </c>
      <c r="P433" s="49">
        <v>0.0</v>
      </c>
      <c r="Q433" s="50"/>
      <c r="R433" s="60" t="s">
        <v>1346</v>
      </c>
      <c r="S433" s="45" t="s">
        <v>108</v>
      </c>
      <c r="T433" s="24" t="s">
        <v>1522</v>
      </c>
      <c r="U433" s="9" t="s">
        <v>19</v>
      </c>
      <c r="V433" s="51" t="str">
        <f t="shared" si="3"/>
        <v>Ativo</v>
      </c>
      <c r="W433" s="45"/>
      <c r="X433" s="52" t="s">
        <v>119</v>
      </c>
      <c r="Y433" s="54"/>
      <c r="Z433" s="54"/>
      <c r="AA433" s="54"/>
      <c r="AB433" s="54"/>
      <c r="AC433" s="54"/>
      <c r="AD433" s="54"/>
      <c r="AE433" s="54"/>
      <c r="AF433" s="54"/>
      <c r="AG433" s="54"/>
      <c r="AH433" s="54">
        <v>0.0</v>
      </c>
      <c r="AI433" s="54">
        <v>0.0</v>
      </c>
      <c r="AJ433" s="54">
        <v>0.0</v>
      </c>
      <c r="AK433" s="54">
        <v>0.0</v>
      </c>
      <c r="AL433" s="54">
        <v>0.0</v>
      </c>
      <c r="AM433" s="54">
        <v>0.0</v>
      </c>
      <c r="AN433" s="54">
        <v>0.0</v>
      </c>
      <c r="AO433" s="54">
        <v>0.0</v>
      </c>
      <c r="AP433" s="53">
        <v>0.0</v>
      </c>
      <c r="AQ433" s="53">
        <v>0.0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43</v>
      </c>
      <c r="B434" s="42" t="s">
        <v>1523</v>
      </c>
      <c r="C434" s="43" t="s">
        <v>1524</v>
      </c>
      <c r="D434" s="44" t="s">
        <v>18</v>
      </c>
      <c r="E434" s="45" t="s">
        <v>29</v>
      </c>
      <c r="F434" s="44" t="s">
        <v>60</v>
      </c>
      <c r="G434" s="44" t="str">
        <f t="shared" si="1"/>
        <v>Augusto</v>
      </c>
      <c r="H434" s="46" t="s">
        <v>107</v>
      </c>
      <c r="I434" s="46" t="s">
        <v>24</v>
      </c>
      <c r="J434" s="44" t="str">
        <f t="shared" si="7"/>
        <v>Não</v>
      </c>
      <c r="K434" s="47">
        <v>45065.0</v>
      </c>
      <c r="L434" s="45"/>
      <c r="M434" s="45" t="s">
        <v>55</v>
      </c>
      <c r="N434" s="48">
        <v>0.007</v>
      </c>
      <c r="O434" s="44" t="s">
        <v>24</v>
      </c>
      <c r="P434" s="49">
        <v>0.0</v>
      </c>
      <c r="Q434" s="50"/>
      <c r="R434" s="50"/>
      <c r="S434" s="45" t="s">
        <v>108</v>
      </c>
      <c r="T434" s="24" t="s">
        <v>1525</v>
      </c>
      <c r="U434" s="9" t="s">
        <v>504</v>
      </c>
      <c r="V434" s="51" t="str">
        <f t="shared" si="3"/>
        <v>Ativo</v>
      </c>
      <c r="W434" s="45"/>
      <c r="X434" s="52" t="s">
        <v>119</v>
      </c>
      <c r="Y434" s="54"/>
      <c r="Z434" s="54"/>
      <c r="AA434" s="54"/>
      <c r="AB434" s="54"/>
      <c r="AC434" s="54"/>
      <c r="AD434" s="54"/>
      <c r="AE434" s="54"/>
      <c r="AF434" s="54">
        <v>0.0</v>
      </c>
      <c r="AG434" s="54">
        <v>268927.25</v>
      </c>
      <c r="AH434" s="54">
        <v>271686.79</v>
      </c>
      <c r="AI434" s="54">
        <v>273736.55</v>
      </c>
      <c r="AJ434" s="54">
        <v>276593.56</v>
      </c>
      <c r="AK434" s="54">
        <v>278938.3</v>
      </c>
      <c r="AL434" s="54">
        <v>281591.95</v>
      </c>
      <c r="AM434" s="54">
        <v>305230.75</v>
      </c>
      <c r="AN434" s="54">
        <v>307697.21</v>
      </c>
      <c r="AO434" s="54">
        <v>310118.8</v>
      </c>
      <c r="AP434" s="53">
        <v>311213.0</v>
      </c>
      <c r="AQ434" s="53">
        <v>313991.54</v>
      </c>
      <c r="AR434" s="53">
        <v>340113.73</v>
      </c>
      <c r="AS434" s="53">
        <v>341707.9</v>
      </c>
      <c r="AT434" s="53">
        <v>344298.8</v>
      </c>
      <c r="AU434" s="53">
        <f t="array" ref="AU434">XLOOKUP(C434,'PL TOTAL D0'!A:A,'PL TOTAL D0'!C:C,"")</f>
        <v>345360.9</v>
      </c>
    </row>
    <row r="435" ht="15.75" customHeight="1">
      <c r="A435" s="41" t="s">
        <v>43</v>
      </c>
      <c r="B435" s="61" t="s">
        <v>1526</v>
      </c>
      <c r="C435" s="43" t="s">
        <v>1527</v>
      </c>
      <c r="D435" s="44" t="s">
        <v>18</v>
      </c>
      <c r="E435" s="45" t="s">
        <v>29</v>
      </c>
      <c r="F435" s="45" t="s">
        <v>294</v>
      </c>
      <c r="G435" s="44" t="str">
        <f t="shared" si="1"/>
        <v>Augusto</v>
      </c>
      <c r="H435" s="46" t="s">
        <v>107</v>
      </c>
      <c r="I435" s="46" t="s">
        <v>24</v>
      </c>
      <c r="J435" s="44" t="str">
        <f t="shared" si="7"/>
        <v>Não</v>
      </c>
      <c r="K435" s="47">
        <v>44994.0</v>
      </c>
      <c r="L435" s="45"/>
      <c r="M435" s="45" t="s">
        <v>269</v>
      </c>
      <c r="N435" s="48">
        <v>0.007</v>
      </c>
      <c r="O435" s="44" t="s">
        <v>48</v>
      </c>
      <c r="P435" s="49">
        <v>0.2</v>
      </c>
      <c r="Q435" s="50"/>
      <c r="R435" s="50"/>
      <c r="S435" s="45" t="s">
        <v>108</v>
      </c>
      <c r="T435" s="24" t="s">
        <v>1528</v>
      </c>
      <c r="U435" s="9" t="s">
        <v>29</v>
      </c>
      <c r="V435" s="51" t="str">
        <f t="shared" si="3"/>
        <v>Ativo</v>
      </c>
      <c r="W435" s="45"/>
      <c r="X435" s="52" t="s">
        <v>119</v>
      </c>
      <c r="Y435" s="54"/>
      <c r="Z435" s="54"/>
      <c r="AA435" s="54"/>
      <c r="AB435" s="54"/>
      <c r="AC435" s="54"/>
      <c r="AD435" s="54"/>
      <c r="AE435" s="54">
        <v>53199.19</v>
      </c>
      <c r="AF435" s="54">
        <v>58106.63</v>
      </c>
      <c r="AG435" s="54">
        <v>59285.7</v>
      </c>
      <c r="AH435" s="54">
        <v>61168.62</v>
      </c>
      <c r="AI435" s="54">
        <v>70324.05</v>
      </c>
      <c r="AJ435" s="54">
        <v>69561.7</v>
      </c>
      <c r="AK435" s="54">
        <v>69908.6</v>
      </c>
      <c r="AL435" s="54">
        <v>69330.72</v>
      </c>
      <c r="AM435" s="54">
        <v>71837.89</v>
      </c>
      <c r="AN435" s="54">
        <v>73795.84</v>
      </c>
      <c r="AO435" s="54">
        <v>79553.07</v>
      </c>
      <c r="AP435" s="53">
        <v>80307.06</v>
      </c>
      <c r="AQ435" s="53">
        <v>111686.15</v>
      </c>
      <c r="AR435" s="53">
        <v>109874.07</v>
      </c>
      <c r="AS435" s="53">
        <v>108756.7</v>
      </c>
      <c r="AT435" s="53">
        <v>122887.3</v>
      </c>
      <c r="AU435" s="53">
        <f t="array" ref="AU435">XLOOKUP(C435,'PL TOTAL D0'!A:A,'PL TOTAL D0'!C:C,"")</f>
        <v>125730.2</v>
      </c>
    </row>
    <row r="436" ht="15.75" customHeight="1">
      <c r="A436" s="6" t="s">
        <v>43</v>
      </c>
      <c r="B436" s="55" t="s">
        <v>1529</v>
      </c>
      <c r="C436" s="56" t="s">
        <v>1530</v>
      </c>
      <c r="D436" s="9" t="s">
        <v>18</v>
      </c>
      <c r="E436" s="24" t="s">
        <v>29</v>
      </c>
      <c r="F436" s="9" t="s">
        <v>1531</v>
      </c>
      <c r="G436" s="44" t="str">
        <f t="shared" si="1"/>
        <v>Augusto</v>
      </c>
      <c r="H436" s="51" t="s">
        <v>107</v>
      </c>
      <c r="I436" s="51" t="s">
        <v>24</v>
      </c>
      <c r="J436" s="44" t="str">
        <f t="shared" si="7"/>
        <v>Não</v>
      </c>
      <c r="K436" s="57">
        <v>45321.0</v>
      </c>
      <c r="L436" s="45"/>
      <c r="M436" s="24" t="s">
        <v>47</v>
      </c>
      <c r="N436" s="58">
        <v>0.012</v>
      </c>
      <c r="O436" s="9" t="s">
        <v>48</v>
      </c>
      <c r="P436" s="59">
        <v>0.1</v>
      </c>
      <c r="Q436" s="50"/>
      <c r="R436" s="50"/>
      <c r="S436" s="24" t="s">
        <v>108</v>
      </c>
      <c r="T436" s="24" t="s">
        <v>1532</v>
      </c>
      <c r="U436" s="9" t="s">
        <v>29</v>
      </c>
      <c r="V436" s="51" t="str">
        <f t="shared" si="3"/>
        <v>Ativo</v>
      </c>
      <c r="W436" s="45"/>
      <c r="X436" s="52" t="s">
        <v>119</v>
      </c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>
        <v>40063.74</v>
      </c>
      <c r="AP436" s="53">
        <v>40475.33</v>
      </c>
      <c r="AQ436" s="53">
        <v>55930.45</v>
      </c>
      <c r="AR436" s="53">
        <v>95808.76</v>
      </c>
      <c r="AS436" s="53">
        <v>95266.58</v>
      </c>
      <c r="AT436" s="53">
        <v>95956.24</v>
      </c>
      <c r="AU436" s="53">
        <f t="array" ref="AU436">XLOOKUP(C436,'PL TOTAL D0'!A:A,'PL TOTAL D0'!C:C,"")</f>
        <v>97464.81</v>
      </c>
    </row>
    <row r="437" ht="15.75" customHeight="1">
      <c r="A437" s="41" t="s">
        <v>43</v>
      </c>
      <c r="B437" s="42" t="s">
        <v>1533</v>
      </c>
      <c r="C437" s="43" t="s">
        <v>1534</v>
      </c>
      <c r="D437" s="44" t="s">
        <v>105</v>
      </c>
      <c r="E437" s="45" t="s">
        <v>29</v>
      </c>
      <c r="F437" s="44" t="s">
        <v>106</v>
      </c>
      <c r="G437" s="44" t="str">
        <f t="shared" si="1"/>
        <v>Augusto</v>
      </c>
      <c r="H437" s="46" t="s">
        <v>107</v>
      </c>
      <c r="I437" s="46" t="s">
        <v>24</v>
      </c>
      <c r="J437" s="44" t="str">
        <f t="shared" si="7"/>
        <v>Não</v>
      </c>
      <c r="K437" s="47">
        <v>45153.0</v>
      </c>
      <c r="L437" s="45"/>
      <c r="M437" s="45" t="s">
        <v>79</v>
      </c>
      <c r="N437" s="48">
        <v>0.012</v>
      </c>
      <c r="O437" s="44" t="s">
        <v>48</v>
      </c>
      <c r="P437" s="49">
        <v>0.1</v>
      </c>
      <c r="Q437" s="50"/>
      <c r="R437" s="60" t="s">
        <v>1535</v>
      </c>
      <c r="S437" s="45" t="s">
        <v>108</v>
      </c>
      <c r="T437" s="24" t="s">
        <v>1536</v>
      </c>
      <c r="U437" s="9" t="s">
        <v>29</v>
      </c>
      <c r="V437" s="51" t="str">
        <f t="shared" si="3"/>
        <v>Ativo</v>
      </c>
      <c r="W437" s="45"/>
      <c r="X437" s="52" t="s">
        <v>110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>
        <v>86137.17</v>
      </c>
      <c r="AK437" s="54">
        <v>97309.47</v>
      </c>
      <c r="AL437" s="54">
        <v>97261.04</v>
      </c>
      <c r="AM437" s="54">
        <v>235706.8</v>
      </c>
      <c r="AN437" s="54">
        <v>239103.51</v>
      </c>
      <c r="AO437" s="54">
        <v>237931.99</v>
      </c>
      <c r="AP437" s="53">
        <v>260032.22</v>
      </c>
      <c r="AQ437" s="53">
        <v>262611.44</v>
      </c>
      <c r="AR437" s="53">
        <v>262847.63</v>
      </c>
      <c r="AS437" s="53">
        <v>263000.1</v>
      </c>
      <c r="AT437" s="53">
        <v>264928.5</v>
      </c>
      <c r="AU437" s="53">
        <f t="array" ref="AU437">XLOOKUP(C437,'PL TOTAL D0'!A:A,'PL TOTAL D0'!C:C,"")</f>
        <v>267439.3</v>
      </c>
    </row>
    <row r="438" ht="15.75" customHeight="1">
      <c r="A438" s="41" t="s">
        <v>43</v>
      </c>
      <c r="B438" s="42" t="s">
        <v>1537</v>
      </c>
      <c r="C438" s="43" t="s">
        <v>1538</v>
      </c>
      <c r="D438" s="44" t="s">
        <v>18</v>
      </c>
      <c r="E438" s="45" t="s">
        <v>29</v>
      </c>
      <c r="F438" s="45" t="s">
        <v>60</v>
      </c>
      <c r="G438" s="44" t="str">
        <f t="shared" si="1"/>
        <v>Augusto</v>
      </c>
      <c r="H438" s="46" t="s">
        <v>107</v>
      </c>
      <c r="I438" s="46" t="s">
        <v>24</v>
      </c>
      <c r="J438" s="44" t="str">
        <f t="shared" si="7"/>
        <v>Não</v>
      </c>
      <c r="K438" s="47">
        <v>45049.0</v>
      </c>
      <c r="L438" s="45"/>
      <c r="M438" s="45" t="s">
        <v>55</v>
      </c>
      <c r="N438" s="48">
        <v>0.012</v>
      </c>
      <c r="O438" s="44" t="s">
        <v>24</v>
      </c>
      <c r="P438" s="49">
        <v>0.0</v>
      </c>
      <c r="Q438" s="50"/>
      <c r="R438" s="50"/>
      <c r="S438" s="45" t="s">
        <v>108</v>
      </c>
      <c r="T438" s="24" t="s">
        <v>1539</v>
      </c>
      <c r="U438" s="9" t="s">
        <v>29</v>
      </c>
      <c r="V438" s="51" t="str">
        <f t="shared" si="3"/>
        <v>Ativo</v>
      </c>
      <c r="W438" s="45"/>
      <c r="X438" s="52" t="s">
        <v>119</v>
      </c>
      <c r="Y438" s="54"/>
      <c r="Z438" s="54"/>
      <c r="AA438" s="54"/>
      <c r="AB438" s="54"/>
      <c r="AC438" s="54"/>
      <c r="AD438" s="54"/>
      <c r="AE438" s="54">
        <v>0.0</v>
      </c>
      <c r="AF438" s="54">
        <v>0.0</v>
      </c>
      <c r="AG438" s="54">
        <v>250702.3</v>
      </c>
      <c r="AH438" s="54">
        <v>253116.48</v>
      </c>
      <c r="AI438" s="54">
        <v>251302.85</v>
      </c>
      <c r="AJ438" s="54">
        <v>253049.1</v>
      </c>
      <c r="AK438" s="54">
        <v>254242.64</v>
      </c>
      <c r="AL438" s="54">
        <v>255791.67</v>
      </c>
      <c r="AM438" s="54">
        <v>258385.2</v>
      </c>
      <c r="AN438" s="54">
        <v>259749.48</v>
      </c>
      <c r="AO438" s="54">
        <v>261888.86</v>
      </c>
      <c r="AP438" s="53">
        <v>263005.86</v>
      </c>
      <c r="AQ438" s="53">
        <v>265209.88</v>
      </c>
      <c r="AR438" s="53">
        <v>266678.8</v>
      </c>
      <c r="AS438" s="53">
        <v>268235.9</v>
      </c>
      <c r="AT438" s="53">
        <v>269943.9</v>
      </c>
      <c r="AU438" s="53">
        <f t="array" ref="AU438">XLOOKUP(C438,'PL TOTAL D0'!A:A,'PL TOTAL D0'!C:C,"")</f>
        <v>270527</v>
      </c>
    </row>
    <row r="439" ht="15.75" customHeight="1">
      <c r="A439" s="41" t="s">
        <v>43</v>
      </c>
      <c r="B439" s="97" t="s">
        <v>1540</v>
      </c>
      <c r="C439" s="71" t="s">
        <v>1541</v>
      </c>
      <c r="D439" s="44" t="s">
        <v>18</v>
      </c>
      <c r="E439" s="45" t="s">
        <v>29</v>
      </c>
      <c r="F439" s="45" t="s">
        <v>78</v>
      </c>
      <c r="G439" s="44" t="str">
        <f t="shared" si="1"/>
        <v>Augusto</v>
      </c>
      <c r="H439" s="46" t="s">
        <v>107</v>
      </c>
      <c r="I439" s="51" t="s">
        <v>24</v>
      </c>
      <c r="J439" s="44" t="str">
        <f t="shared" si="7"/>
        <v>Não</v>
      </c>
      <c r="K439" s="47">
        <v>45254.0</v>
      </c>
      <c r="L439" s="45"/>
      <c r="M439" s="93" t="s">
        <v>129</v>
      </c>
      <c r="N439" s="117">
        <v>0.0</v>
      </c>
      <c r="O439" s="95" t="s">
        <v>24</v>
      </c>
      <c r="P439" s="118">
        <v>0.0</v>
      </c>
      <c r="Q439" s="50"/>
      <c r="R439" s="50"/>
      <c r="S439" s="45" t="s">
        <v>108</v>
      </c>
      <c r="T439" s="24" t="s">
        <v>1542</v>
      </c>
      <c r="U439" s="9" t="s">
        <v>29</v>
      </c>
      <c r="V439" s="51" t="str">
        <f t="shared" si="3"/>
        <v>Ativo</v>
      </c>
      <c r="W439" s="45"/>
      <c r="X439" s="52" t="s">
        <v>119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>
        <v>0.0</v>
      </c>
      <c r="AN439" s="54">
        <v>10066.79</v>
      </c>
      <c r="AO439" s="54">
        <v>10162.2</v>
      </c>
      <c r="AP439" s="53">
        <v>10225.44</v>
      </c>
      <c r="AQ439" s="53">
        <v>29309.64</v>
      </c>
      <c r="AR439" s="53">
        <v>29442.93</v>
      </c>
      <c r="AS439" s="53">
        <v>29675.0</v>
      </c>
      <c r="AT439" s="53">
        <v>38333.25</v>
      </c>
      <c r="AU439" s="53">
        <f t="array" ref="AU439">XLOOKUP(C439,'PL TOTAL D0'!A:A,'PL TOTAL D0'!C:C,"")</f>
        <v>38519.09</v>
      </c>
    </row>
    <row r="440" ht="15.75" customHeight="1">
      <c r="A440" s="41" t="s">
        <v>43</v>
      </c>
      <c r="B440" s="15" t="s">
        <v>1543</v>
      </c>
      <c r="C440" s="137" t="s">
        <v>1544</v>
      </c>
      <c r="D440" s="9" t="s">
        <v>18</v>
      </c>
      <c r="E440" s="45" t="s">
        <v>29</v>
      </c>
      <c r="F440" s="45" t="s">
        <v>78</v>
      </c>
      <c r="G440" s="44" t="str">
        <f t="shared" si="1"/>
        <v>#N/A</v>
      </c>
      <c r="H440" s="51" t="s">
        <v>123</v>
      </c>
      <c r="I440" s="51" t="s">
        <v>219</v>
      </c>
      <c r="J440" s="44" t="str">
        <f t="shared" si="7"/>
        <v>Não</v>
      </c>
      <c r="K440" s="57">
        <v>45408.0</v>
      </c>
      <c r="L440" s="45"/>
      <c r="M440" s="11" t="s">
        <v>55</v>
      </c>
      <c r="N440" s="214">
        <v>0.012</v>
      </c>
      <c r="O440" s="13" t="s">
        <v>24</v>
      </c>
      <c r="P440" s="216">
        <v>0.0</v>
      </c>
      <c r="Q440" s="50"/>
      <c r="R440" s="50"/>
      <c r="S440" s="24" t="s">
        <v>108</v>
      </c>
      <c r="T440" s="24" t="s">
        <v>1542</v>
      </c>
      <c r="U440" s="9" t="s">
        <v>29</v>
      </c>
      <c r="V440" s="51" t="str">
        <f t="shared" si="3"/>
        <v>Ativo</v>
      </c>
      <c r="W440" s="45"/>
      <c r="X440" s="52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3"/>
      <c r="AQ440" s="53"/>
      <c r="AR440" s="53">
        <v>0.0</v>
      </c>
      <c r="AS440" s="53">
        <v>0.0</v>
      </c>
      <c r="AT440" s="53">
        <v>0.0</v>
      </c>
      <c r="AU440" s="53" t="str">
        <f t="array" ref="AU440">XLOOKUP(C440,'PL TOTAL D0'!A:A,'PL TOTAL D0'!C:C,"")</f>
        <v/>
      </c>
    </row>
    <row r="441" ht="15.75" customHeight="1">
      <c r="A441" s="6" t="s">
        <v>43</v>
      </c>
      <c r="B441" s="6" t="s">
        <v>1545</v>
      </c>
      <c r="C441" s="21" t="s">
        <v>1546</v>
      </c>
      <c r="D441" s="9" t="s">
        <v>70</v>
      </c>
      <c r="E441" s="24" t="s">
        <v>29</v>
      </c>
      <c r="F441" s="9" t="s">
        <v>309</v>
      </c>
      <c r="G441" s="44" t="str">
        <f t="shared" si="1"/>
        <v>Augusto</v>
      </c>
      <c r="H441" s="51" t="s">
        <v>107</v>
      </c>
      <c r="I441" s="51" t="s">
        <v>24</v>
      </c>
      <c r="J441" s="44" t="str">
        <f t="shared" si="7"/>
        <v>Sim</v>
      </c>
      <c r="K441" s="57">
        <v>45363.0</v>
      </c>
      <c r="L441" s="45"/>
      <c r="M441" s="11" t="s">
        <v>55</v>
      </c>
      <c r="N441" s="214">
        <v>0.012</v>
      </c>
      <c r="O441" s="13" t="s">
        <v>24</v>
      </c>
      <c r="P441" s="216">
        <v>0.0</v>
      </c>
      <c r="Q441" s="15" t="s">
        <v>1547</v>
      </c>
      <c r="R441" s="50"/>
      <c r="S441" s="24" t="s">
        <v>108</v>
      </c>
      <c r="T441" s="23" t="s">
        <v>1548</v>
      </c>
      <c r="U441" s="9" t="s">
        <v>29</v>
      </c>
      <c r="V441" s="51" t="str">
        <f t="shared" si="3"/>
        <v>Ativo</v>
      </c>
      <c r="W441" s="45"/>
      <c r="X441" s="52" t="s">
        <v>110</v>
      </c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3"/>
      <c r="AQ441" s="53">
        <v>105164.21</v>
      </c>
      <c r="AR441" s="53">
        <v>106021.93</v>
      </c>
      <c r="AS441" s="53">
        <v>106704.3</v>
      </c>
      <c r="AT441" s="53">
        <v>107572.3</v>
      </c>
      <c r="AU441" s="53">
        <f t="array" ref="AU441">XLOOKUP(C441,'PL TOTAL D0'!A:A,'PL TOTAL D0'!C:C,"")</f>
        <v>107901.7</v>
      </c>
    </row>
    <row r="442" ht="15.75" customHeight="1">
      <c r="A442" s="41" t="s">
        <v>43</v>
      </c>
      <c r="B442" s="42" t="s">
        <v>1549</v>
      </c>
      <c r="C442" s="43" t="s">
        <v>1550</v>
      </c>
      <c r="D442" s="44" t="s">
        <v>18</v>
      </c>
      <c r="E442" s="45" t="s">
        <v>176</v>
      </c>
      <c r="F442" s="44" t="s">
        <v>532</v>
      </c>
      <c r="G442" s="44" t="str">
        <f t="shared" si="1"/>
        <v>Bruno</v>
      </c>
      <c r="H442" s="46" t="s">
        <v>107</v>
      </c>
      <c r="I442" s="46" t="s">
        <v>24</v>
      </c>
      <c r="J442" s="44" t="str">
        <f t="shared" si="7"/>
        <v>Não</v>
      </c>
      <c r="K442" s="47">
        <v>45040.0</v>
      </c>
      <c r="L442" s="45"/>
      <c r="M442" s="45" t="s">
        <v>55</v>
      </c>
      <c r="N442" s="48">
        <v>0.007</v>
      </c>
      <c r="O442" s="44" t="s">
        <v>24</v>
      </c>
      <c r="P442" s="49">
        <v>0.0</v>
      </c>
      <c r="Q442" s="50"/>
      <c r="R442" s="50"/>
      <c r="S442" s="45" t="s">
        <v>108</v>
      </c>
      <c r="T442" s="24" t="s">
        <v>1551</v>
      </c>
      <c r="U442" s="9" t="s">
        <v>34</v>
      </c>
      <c r="V442" s="51" t="str">
        <f t="shared" si="3"/>
        <v>Ativo</v>
      </c>
      <c r="W442" s="45"/>
      <c r="X442" s="52" t="s">
        <v>110</v>
      </c>
      <c r="Y442" s="54"/>
      <c r="Z442" s="54"/>
      <c r="AA442" s="54"/>
      <c r="AB442" s="54"/>
      <c r="AC442" s="54"/>
      <c r="AD442" s="54"/>
      <c r="AE442" s="54">
        <v>0.0</v>
      </c>
      <c r="AF442" s="54">
        <v>511256.93</v>
      </c>
      <c r="AG442" s="54">
        <v>1157718.0</v>
      </c>
      <c r="AH442" s="54">
        <v>1167395.63</v>
      </c>
      <c r="AI442" s="54">
        <v>1176247.47</v>
      </c>
      <c r="AJ442" s="54">
        <v>1187563.07</v>
      </c>
      <c r="AK442" s="54">
        <v>1197374.01</v>
      </c>
      <c r="AL442" s="54">
        <v>1208309.75</v>
      </c>
      <c r="AM442" s="54">
        <v>1216659.08</v>
      </c>
      <c r="AN442" s="54">
        <v>1226329.6</v>
      </c>
      <c r="AO442" s="54">
        <v>1237407.43</v>
      </c>
      <c r="AP442" s="53">
        <v>1245888.74</v>
      </c>
      <c r="AQ442" s="53">
        <v>1255013.76</v>
      </c>
      <c r="AR442" s="53">
        <v>1265024.38</v>
      </c>
      <c r="AS442" s="53">
        <v>1272402.0</v>
      </c>
      <c r="AT442" s="53">
        <v>1283204.0</v>
      </c>
      <c r="AU442" s="53">
        <f t="array" ref="AU442">XLOOKUP(C442,'PL TOTAL D0'!A:A,'PL TOTAL D0'!C:C,"")</f>
        <v>1287911</v>
      </c>
    </row>
    <row r="443" ht="15.75" customHeight="1">
      <c r="A443" s="41" t="s">
        <v>43</v>
      </c>
      <c r="B443" s="61" t="s">
        <v>1552</v>
      </c>
      <c r="C443" s="43" t="s">
        <v>1553</v>
      </c>
      <c r="D443" s="44" t="s">
        <v>18</v>
      </c>
      <c r="E443" s="45" t="s">
        <v>29</v>
      </c>
      <c r="F443" s="45" t="s">
        <v>168</v>
      </c>
      <c r="G443" s="44" t="str">
        <f t="shared" si="1"/>
        <v>Augusto</v>
      </c>
      <c r="H443" s="51" t="s">
        <v>147</v>
      </c>
      <c r="I443" s="51" t="s">
        <v>219</v>
      </c>
      <c r="J443" s="44" t="str">
        <f t="shared" si="7"/>
        <v>Não</v>
      </c>
      <c r="K443" s="47">
        <v>44991.0</v>
      </c>
      <c r="L443" s="45"/>
      <c r="M443" s="45" t="s">
        <v>55</v>
      </c>
      <c r="N443" s="48">
        <v>0.012</v>
      </c>
      <c r="O443" s="44" t="s">
        <v>24</v>
      </c>
      <c r="P443" s="49">
        <v>0.0</v>
      </c>
      <c r="Q443" s="60"/>
      <c r="R443" s="50"/>
      <c r="S443" s="45" t="s">
        <v>108</v>
      </c>
      <c r="T443" s="24" t="s">
        <v>1554</v>
      </c>
      <c r="U443" s="9" t="s">
        <v>29</v>
      </c>
      <c r="V443" s="51" t="str">
        <f t="shared" si="3"/>
        <v>Ativo</v>
      </c>
      <c r="W443" s="45"/>
      <c r="X443" s="52" t="s">
        <v>119</v>
      </c>
      <c r="Y443" s="54"/>
      <c r="Z443" s="54"/>
      <c r="AA443" s="54"/>
      <c r="AB443" s="54"/>
      <c r="AC443" s="54"/>
      <c r="AD443" s="54"/>
      <c r="AE443" s="54">
        <v>368265.24</v>
      </c>
      <c r="AF443" s="54">
        <v>340562.58</v>
      </c>
      <c r="AG443" s="54">
        <v>312389.67</v>
      </c>
      <c r="AH443" s="54">
        <v>284890.51</v>
      </c>
      <c r="AI443" s="54">
        <v>226649.71</v>
      </c>
      <c r="AJ443" s="54">
        <v>198726.27</v>
      </c>
      <c r="AK443" s="54">
        <v>169987.25</v>
      </c>
      <c r="AL443" s="54">
        <v>141258.94</v>
      </c>
      <c r="AM443" s="54">
        <v>116854.35</v>
      </c>
      <c r="AN443" s="54">
        <v>87389.25</v>
      </c>
      <c r="AO443" s="54">
        <v>55777.95</v>
      </c>
      <c r="AP443" s="53">
        <v>25885.58</v>
      </c>
      <c r="AQ443" s="53">
        <v>0.0</v>
      </c>
      <c r="AR443" s="53">
        <v>0.0</v>
      </c>
      <c r="AS443" s="53">
        <v>0.0</v>
      </c>
      <c r="AT443" s="53">
        <v>0.17</v>
      </c>
      <c r="AU443" s="53">
        <f t="array" ref="AU443">XLOOKUP(C443,'PL TOTAL D0'!A:A,'PL TOTAL D0'!C:C,"")</f>
        <v>0.17</v>
      </c>
    </row>
    <row r="444" ht="15.75" customHeight="1">
      <c r="A444" s="41" t="s">
        <v>43</v>
      </c>
      <c r="B444" s="42" t="s">
        <v>1555</v>
      </c>
      <c r="C444" s="43" t="s">
        <v>1556</v>
      </c>
      <c r="D444" s="44" t="s">
        <v>18</v>
      </c>
      <c r="E444" s="45" t="s">
        <v>29</v>
      </c>
      <c r="F444" s="45" t="s">
        <v>168</v>
      </c>
      <c r="G444" s="44" t="str">
        <f t="shared" si="1"/>
        <v>Augusto</v>
      </c>
      <c r="H444" s="51" t="s">
        <v>107</v>
      </c>
      <c r="I444" s="46" t="s">
        <v>24</v>
      </c>
      <c r="J444" s="44" t="str">
        <f t="shared" si="7"/>
        <v>Não</v>
      </c>
      <c r="K444" s="47">
        <v>45100.0</v>
      </c>
      <c r="L444" s="45"/>
      <c r="M444" s="24" t="s">
        <v>278</v>
      </c>
      <c r="N444" s="58">
        <v>0.007</v>
      </c>
      <c r="O444" s="44" t="s">
        <v>24</v>
      </c>
      <c r="P444" s="49">
        <v>0.0</v>
      </c>
      <c r="Q444" s="74"/>
      <c r="R444" s="73" t="s">
        <v>1557</v>
      </c>
      <c r="S444" s="45" t="s">
        <v>108</v>
      </c>
      <c r="T444" s="24" t="s">
        <v>1558</v>
      </c>
      <c r="U444" s="9" t="s">
        <v>29</v>
      </c>
      <c r="V444" s="51" t="str">
        <f t="shared" si="3"/>
        <v>Ativo</v>
      </c>
      <c r="W444" s="45"/>
      <c r="X444" s="52" t="s">
        <v>119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>
        <v>120847.69</v>
      </c>
      <c r="AI444" s="54">
        <v>210779.7</v>
      </c>
      <c r="AJ444" s="54">
        <v>186414.72</v>
      </c>
      <c r="AK444" s="54">
        <v>188147.5</v>
      </c>
      <c r="AL444" s="54">
        <v>189897.63</v>
      </c>
      <c r="AM444" s="54">
        <v>190792.35</v>
      </c>
      <c r="AN444" s="54">
        <v>192341.63</v>
      </c>
      <c r="AO444" s="54">
        <v>193266.25</v>
      </c>
      <c r="AP444" s="53">
        <v>95403.65</v>
      </c>
      <c r="AQ444" s="53">
        <v>96234.46</v>
      </c>
      <c r="AR444" s="53">
        <v>97100.56</v>
      </c>
      <c r="AS444" s="53">
        <v>97912.56</v>
      </c>
      <c r="AT444" s="53">
        <v>98691.41</v>
      </c>
      <c r="AU444" s="53">
        <f t="array" ref="AU444">XLOOKUP(C444,'PL TOTAL D0'!A:A,'PL TOTAL D0'!C:C,"")</f>
        <v>99658.37</v>
      </c>
    </row>
    <row r="445" ht="15.75" customHeight="1">
      <c r="A445" s="41" t="s">
        <v>43</v>
      </c>
      <c r="B445" s="42" t="s">
        <v>1555</v>
      </c>
      <c r="C445" s="43" t="s">
        <v>1559</v>
      </c>
      <c r="D445" s="44" t="s">
        <v>18</v>
      </c>
      <c r="E445" s="45" t="s">
        <v>29</v>
      </c>
      <c r="F445" s="45" t="s">
        <v>168</v>
      </c>
      <c r="G445" s="44" t="str">
        <f t="shared" si="1"/>
        <v>Augusto</v>
      </c>
      <c r="H445" s="51" t="s">
        <v>107</v>
      </c>
      <c r="I445" s="46" t="s">
        <v>24</v>
      </c>
      <c r="J445" s="44" t="str">
        <f t="shared" si="7"/>
        <v>Sim</v>
      </c>
      <c r="K445" s="47">
        <v>45163.0</v>
      </c>
      <c r="L445" s="62"/>
      <c r="M445" s="24" t="s">
        <v>47</v>
      </c>
      <c r="N445" s="58">
        <v>0.015</v>
      </c>
      <c r="O445" s="9" t="s">
        <v>48</v>
      </c>
      <c r="P445" s="59">
        <v>0.1</v>
      </c>
      <c r="Q445" s="60" t="s">
        <v>1560</v>
      </c>
      <c r="R445" s="73" t="s">
        <v>1561</v>
      </c>
      <c r="S445" s="45" t="s">
        <v>108</v>
      </c>
      <c r="T445" s="24" t="s">
        <v>1558</v>
      </c>
      <c r="U445" s="9" t="s">
        <v>29</v>
      </c>
      <c r="V445" s="51" t="str">
        <f t="shared" si="3"/>
        <v>Ativo</v>
      </c>
      <c r="W445" s="45"/>
      <c r="X445" s="52" t="s">
        <v>119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>
        <v>0.0</v>
      </c>
      <c r="AI445" s="54">
        <v>0.0</v>
      </c>
      <c r="AJ445" s="54">
        <v>27085.37</v>
      </c>
      <c r="AK445" s="54">
        <v>29145.96</v>
      </c>
      <c r="AL445" s="54">
        <v>27767.72</v>
      </c>
      <c r="AM445" s="54">
        <v>28598.08</v>
      </c>
      <c r="AN445" s="54">
        <v>30015.27</v>
      </c>
      <c r="AO445" s="54">
        <v>27567.04</v>
      </c>
      <c r="AP445" s="53">
        <v>181530.14</v>
      </c>
      <c r="AQ445" s="53">
        <v>191029.53</v>
      </c>
      <c r="AR445" s="53">
        <v>189458.43</v>
      </c>
      <c r="AS445" s="53">
        <v>189275.8</v>
      </c>
      <c r="AT445" s="53">
        <v>194550.1</v>
      </c>
      <c r="AU445" s="53">
        <f t="array" ref="AU445">XLOOKUP(C445,'PL TOTAL D0'!A:A,'PL TOTAL D0'!C:C,"")</f>
        <v>196195.9</v>
      </c>
    </row>
    <row r="446" ht="15.75" customHeight="1">
      <c r="A446" s="41" t="s">
        <v>43</v>
      </c>
      <c r="B446" s="42" t="s">
        <v>1562</v>
      </c>
      <c r="C446" s="43" t="s">
        <v>1563</v>
      </c>
      <c r="D446" s="44" t="s">
        <v>18</v>
      </c>
      <c r="E446" s="45" t="s">
        <v>29</v>
      </c>
      <c r="F446" s="45" t="s">
        <v>78</v>
      </c>
      <c r="G446" s="44" t="str">
        <f t="shared" si="1"/>
        <v>#N/A</v>
      </c>
      <c r="H446" s="51" t="s">
        <v>186</v>
      </c>
      <c r="I446" s="51" t="s">
        <v>24</v>
      </c>
      <c r="J446" s="44" t="str">
        <f t="shared" si="7"/>
        <v>Não</v>
      </c>
      <c r="K446" s="47">
        <v>45107.0</v>
      </c>
      <c r="L446" s="82">
        <v>45449.0</v>
      </c>
      <c r="M446" s="45" t="s">
        <v>55</v>
      </c>
      <c r="N446" s="48">
        <v>0.012</v>
      </c>
      <c r="O446" s="44" t="s">
        <v>24</v>
      </c>
      <c r="P446" s="49">
        <v>0.0</v>
      </c>
      <c r="Q446" s="50"/>
      <c r="R446" s="60" t="s">
        <v>239</v>
      </c>
      <c r="S446" s="45" t="s">
        <v>108</v>
      </c>
      <c r="T446" s="24" t="s">
        <v>1564</v>
      </c>
      <c r="U446" s="9" t="s">
        <v>152</v>
      </c>
      <c r="V446" s="51" t="str">
        <f t="shared" si="3"/>
        <v>Encerrado</v>
      </c>
      <c r="W446" s="45"/>
      <c r="X446" s="52" t="s">
        <v>110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108827.97</v>
      </c>
      <c r="AI446" s="54">
        <v>0.0</v>
      </c>
      <c r="AJ446" s="54">
        <v>0.0</v>
      </c>
      <c r="AK446" s="54">
        <v>0.0</v>
      </c>
      <c r="AL446" s="54">
        <v>0.0</v>
      </c>
      <c r="AM446" s="54">
        <v>0.0</v>
      </c>
      <c r="AN446" s="54">
        <v>0.0</v>
      </c>
      <c r="AO446" s="54">
        <v>0.0</v>
      </c>
      <c r="AP446" s="53">
        <v>0.0</v>
      </c>
      <c r="AQ446" s="53">
        <v>0.0</v>
      </c>
      <c r="AR446" s="53">
        <v>0.0</v>
      </c>
      <c r="AS446" s="53">
        <v>0.0</v>
      </c>
      <c r="AT446" s="53">
        <v>0.0</v>
      </c>
      <c r="AU446" s="53" t="str">
        <f t="array" ref="AU446">XLOOKUP(C446,'PL TOTAL D0'!A:A,'PL TOTAL D0'!C:C,"")</f>
        <v/>
      </c>
    </row>
    <row r="447" ht="15.75" customHeight="1">
      <c r="A447" s="41" t="s">
        <v>43</v>
      </c>
      <c r="B447" s="66" t="s">
        <v>1565</v>
      </c>
      <c r="C447" s="71" t="s">
        <v>1566</v>
      </c>
      <c r="D447" s="44" t="s">
        <v>18</v>
      </c>
      <c r="E447" s="45" t="s">
        <v>176</v>
      </c>
      <c r="F447" s="45" t="s">
        <v>177</v>
      </c>
      <c r="G447" s="44" t="str">
        <f t="shared" si="1"/>
        <v>Augusto</v>
      </c>
      <c r="H447" s="46" t="s">
        <v>107</v>
      </c>
      <c r="I447" s="46" t="s">
        <v>24</v>
      </c>
      <c r="J447" s="44" t="str">
        <f t="shared" si="7"/>
        <v>Não</v>
      </c>
      <c r="K447" s="47">
        <v>45188.0</v>
      </c>
      <c r="L447" s="45"/>
      <c r="M447" s="45" t="s">
        <v>47</v>
      </c>
      <c r="N447" s="48">
        <v>0.015</v>
      </c>
      <c r="O447" s="44" t="s">
        <v>48</v>
      </c>
      <c r="P447" s="49">
        <v>0.1</v>
      </c>
      <c r="Q447" s="41"/>
      <c r="R447" s="60" t="s">
        <v>366</v>
      </c>
      <c r="S447" s="45" t="s">
        <v>108</v>
      </c>
      <c r="T447" s="24" t="s">
        <v>1567</v>
      </c>
      <c r="U447" s="9" t="s">
        <v>180</v>
      </c>
      <c r="V447" s="51" t="str">
        <f t="shared" si="3"/>
        <v>Ativo</v>
      </c>
      <c r="W447" s="45"/>
      <c r="X447" s="52" t="s">
        <v>110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>
        <v>208763.51</v>
      </c>
      <c r="AL447" s="54">
        <v>266900.28</v>
      </c>
      <c r="AM447" s="54">
        <v>272939.39</v>
      </c>
      <c r="AN447" s="54">
        <v>278256.37</v>
      </c>
      <c r="AO447" s="54">
        <v>273662.88</v>
      </c>
      <c r="AP447" s="53">
        <v>276015.91</v>
      </c>
      <c r="AQ447" s="53">
        <v>278391.66</v>
      </c>
      <c r="AR447" s="53">
        <v>276463.02</v>
      </c>
      <c r="AS447" s="53">
        <v>274973.3</v>
      </c>
      <c r="AT447" s="53">
        <v>276515.1</v>
      </c>
      <c r="AU447" s="53">
        <f t="array" ref="AU447">XLOOKUP(C447,'PL TOTAL D0'!A:A,'PL TOTAL D0'!C:C,"")</f>
        <v>280132.5</v>
      </c>
    </row>
    <row r="448" ht="15.75" customHeight="1">
      <c r="A448" s="41" t="s">
        <v>43</v>
      </c>
      <c r="B448" s="42" t="s">
        <v>1568</v>
      </c>
      <c r="C448" s="43" t="s">
        <v>1569</v>
      </c>
      <c r="D448" s="44" t="s">
        <v>18</v>
      </c>
      <c r="E448" s="45" t="s">
        <v>19</v>
      </c>
      <c r="F448" s="44" t="s">
        <v>256</v>
      </c>
      <c r="G448" s="44" t="str">
        <f t="shared" si="1"/>
        <v>Breno</v>
      </c>
      <c r="H448" s="46" t="s">
        <v>107</v>
      </c>
      <c r="I448" s="46" t="s">
        <v>24</v>
      </c>
      <c r="J448" s="44" t="str">
        <f t="shared" si="7"/>
        <v>Não</v>
      </c>
      <c r="K448" s="47">
        <v>44987.0</v>
      </c>
      <c r="L448" s="45"/>
      <c r="M448" s="45" t="s">
        <v>47</v>
      </c>
      <c r="N448" s="48">
        <v>0.015</v>
      </c>
      <c r="O448" s="44" t="s">
        <v>48</v>
      </c>
      <c r="P448" s="49">
        <v>0.1</v>
      </c>
      <c r="Q448" s="50"/>
      <c r="R448" s="50"/>
      <c r="S448" s="45" t="s">
        <v>108</v>
      </c>
      <c r="T448" s="24" t="s">
        <v>1570</v>
      </c>
      <c r="U448" s="9" t="s">
        <v>19</v>
      </c>
      <c r="V448" s="51" t="str">
        <f t="shared" si="3"/>
        <v>Ativo</v>
      </c>
      <c r="W448" s="45"/>
      <c r="X448" s="52" t="s">
        <v>119</v>
      </c>
      <c r="Y448" s="54"/>
      <c r="Z448" s="54"/>
      <c r="AA448" s="54"/>
      <c r="AB448" s="54"/>
      <c r="AC448" s="54">
        <v>0.0</v>
      </c>
      <c r="AD448" s="54">
        <v>284090.61</v>
      </c>
      <c r="AE448" s="54">
        <v>339363.55</v>
      </c>
      <c r="AF448" s="54">
        <v>341209.52</v>
      </c>
      <c r="AG448" s="54">
        <v>347483.42</v>
      </c>
      <c r="AH448" s="54">
        <v>353546.33</v>
      </c>
      <c r="AI448" s="54">
        <v>355920.24</v>
      </c>
      <c r="AJ448" s="54">
        <v>353649.99</v>
      </c>
      <c r="AK448" s="54">
        <v>354934.72</v>
      </c>
      <c r="AL448" s="54">
        <v>359135.21</v>
      </c>
      <c r="AM448" s="54">
        <v>366613.03</v>
      </c>
      <c r="AN448" s="54">
        <v>373740.33</v>
      </c>
      <c r="AO448" s="54">
        <v>367839.66</v>
      </c>
      <c r="AP448" s="53">
        <v>370831.17</v>
      </c>
      <c r="AQ448" s="53">
        <v>374712.09</v>
      </c>
      <c r="AR448" s="53">
        <v>370888.0</v>
      </c>
      <c r="AS448" s="53">
        <v>369170.6</v>
      </c>
      <c r="AT448" s="53">
        <v>396651.4</v>
      </c>
      <c r="AU448" s="53">
        <f t="array" ref="AU448">XLOOKUP(C448,'PL TOTAL D0'!A:A,'PL TOTAL D0'!C:C,"")</f>
        <v>401894.7</v>
      </c>
    </row>
    <row r="449" ht="15.75" customHeight="1">
      <c r="A449" s="6" t="s">
        <v>43</v>
      </c>
      <c r="B449" s="55" t="s">
        <v>1571</v>
      </c>
      <c r="C449" s="7" t="s">
        <v>1572</v>
      </c>
      <c r="D449" s="9" t="s">
        <v>18</v>
      </c>
      <c r="E449" s="24" t="s">
        <v>29</v>
      </c>
      <c r="F449" s="9" t="s">
        <v>836</v>
      </c>
      <c r="G449" s="44" t="str">
        <f t="shared" si="1"/>
        <v>#N/A</v>
      </c>
      <c r="H449" s="51" t="s">
        <v>147</v>
      </c>
      <c r="I449" s="51" t="s">
        <v>219</v>
      </c>
      <c r="J449" s="44" t="str">
        <f t="shared" si="7"/>
        <v>Não</v>
      </c>
      <c r="K449" s="57">
        <v>45356.0</v>
      </c>
      <c r="L449" s="45"/>
      <c r="M449" s="24" t="s">
        <v>55</v>
      </c>
      <c r="N449" s="58">
        <v>0.012</v>
      </c>
      <c r="O449" s="9" t="s">
        <v>24</v>
      </c>
      <c r="P449" s="59">
        <v>0.0</v>
      </c>
      <c r="Q449" s="50"/>
      <c r="R449" s="50"/>
      <c r="S449" s="24" t="s">
        <v>108</v>
      </c>
      <c r="T449" s="5" t="s">
        <v>1573</v>
      </c>
      <c r="U449" s="9" t="s">
        <v>29</v>
      </c>
      <c r="V449" s="51" t="str">
        <f t="shared" si="3"/>
        <v>Ativo</v>
      </c>
      <c r="W449" s="45"/>
      <c r="X449" s="52" t="s">
        <v>119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3">
        <v>0.0</v>
      </c>
      <c r="AQ449" s="53">
        <v>0.0</v>
      </c>
      <c r="AR449" s="53">
        <v>0.0</v>
      </c>
      <c r="AS449" s="53">
        <v>0.0</v>
      </c>
      <c r="AT449" s="53">
        <v>0.0</v>
      </c>
      <c r="AU449" s="53" t="str">
        <f t="array" ref="AU449">XLOOKUP(C449,'PL TOTAL D0'!A:A,'PL TOTAL D0'!C:C,"")</f>
        <v/>
      </c>
    </row>
    <row r="450" ht="15.75" customHeight="1">
      <c r="A450" s="41" t="s">
        <v>43</v>
      </c>
      <c r="B450" s="42" t="s">
        <v>1574</v>
      </c>
      <c r="C450" s="43" t="s">
        <v>1575</v>
      </c>
      <c r="D450" s="44" t="s">
        <v>18</v>
      </c>
      <c r="E450" s="45" t="s">
        <v>19</v>
      </c>
      <c r="F450" s="44" t="s">
        <v>122</v>
      </c>
      <c r="G450" s="44" t="str">
        <f t="shared" si="1"/>
        <v>Augusto</v>
      </c>
      <c r="H450" s="51" t="s">
        <v>147</v>
      </c>
      <c r="I450" s="51" t="s">
        <v>219</v>
      </c>
      <c r="J450" s="44" t="str">
        <f t="shared" si="7"/>
        <v>Não</v>
      </c>
      <c r="K450" s="47">
        <v>44951.0</v>
      </c>
      <c r="L450" s="45"/>
      <c r="M450" s="45" t="s">
        <v>190</v>
      </c>
      <c r="N450" s="48">
        <v>0.025</v>
      </c>
      <c r="O450" s="44" t="s">
        <v>191</v>
      </c>
      <c r="P450" s="49">
        <v>0.2</v>
      </c>
      <c r="Q450" s="60"/>
      <c r="R450" s="60" t="s">
        <v>1576</v>
      </c>
      <c r="S450" s="45" t="s">
        <v>108</v>
      </c>
      <c r="T450" s="24" t="s">
        <v>1577</v>
      </c>
      <c r="U450" s="9" t="s">
        <v>19</v>
      </c>
      <c r="V450" s="51" t="str">
        <f t="shared" si="3"/>
        <v>Ativo</v>
      </c>
      <c r="W450" s="45"/>
      <c r="X450" s="52" t="s">
        <v>119</v>
      </c>
      <c r="Y450" s="54"/>
      <c r="Z450" s="54"/>
      <c r="AA450" s="54"/>
      <c r="AB450" s="54"/>
      <c r="AC450" s="54">
        <v>31710.6</v>
      </c>
      <c r="AD450" s="54">
        <v>51930.03</v>
      </c>
      <c r="AE450" s="54">
        <v>51039.26</v>
      </c>
      <c r="AF450" s="54">
        <v>52412.85</v>
      </c>
      <c r="AG450" s="54">
        <v>54741.43</v>
      </c>
      <c r="AH450" s="54">
        <v>63009.59</v>
      </c>
      <c r="AI450" s="54">
        <v>78422.94</v>
      </c>
      <c r="AJ450" s="54">
        <v>79176.09</v>
      </c>
      <c r="AK450" s="54">
        <v>82436.51</v>
      </c>
      <c r="AL450" s="54">
        <v>81636.55</v>
      </c>
      <c r="AM450" s="54">
        <v>87652.87</v>
      </c>
      <c r="AN450" s="54">
        <v>91860.35</v>
      </c>
      <c r="AO450" s="54">
        <v>85488.26</v>
      </c>
      <c r="AP450" s="53">
        <v>86638.59</v>
      </c>
      <c r="AQ450" s="53">
        <v>353.0</v>
      </c>
      <c r="AR450" s="53">
        <v>310.18</v>
      </c>
      <c r="AS450" s="53">
        <v>263.44</v>
      </c>
      <c r="AT450" s="53">
        <v>263.83</v>
      </c>
      <c r="AU450" s="53">
        <f t="array" ref="AU450">XLOOKUP(C450,'PL TOTAL D0'!A:A,'PL TOTAL D0'!C:C,"")</f>
        <v>263.83</v>
      </c>
    </row>
    <row r="451" ht="15.75" customHeight="1">
      <c r="A451" s="41" t="s">
        <v>43</v>
      </c>
      <c r="B451" s="42" t="s">
        <v>1578</v>
      </c>
      <c r="C451" s="43" t="s">
        <v>1579</v>
      </c>
      <c r="D451" s="44" t="s">
        <v>18</v>
      </c>
      <c r="E451" s="45" t="s">
        <v>176</v>
      </c>
      <c r="F451" s="44" t="s">
        <v>177</v>
      </c>
      <c r="G451" s="44" t="str">
        <f t="shared" si="1"/>
        <v>Augusto</v>
      </c>
      <c r="H451" s="51" t="s">
        <v>147</v>
      </c>
      <c r="I451" s="51" t="s">
        <v>219</v>
      </c>
      <c r="J451" s="44" t="str">
        <f t="shared" si="7"/>
        <v>Não</v>
      </c>
      <c r="K451" s="47">
        <v>45113.0</v>
      </c>
      <c r="L451" s="62"/>
      <c r="M451" s="45" t="s">
        <v>190</v>
      </c>
      <c r="N451" s="48">
        <v>0.025</v>
      </c>
      <c r="O451" s="44" t="s">
        <v>191</v>
      </c>
      <c r="P451" s="49">
        <v>0.2</v>
      </c>
      <c r="Q451" s="60"/>
      <c r="R451" s="60" t="s">
        <v>1580</v>
      </c>
      <c r="S451" s="45" t="s">
        <v>108</v>
      </c>
      <c r="T451" s="24" t="s">
        <v>1581</v>
      </c>
      <c r="U451" s="9" t="s">
        <v>180</v>
      </c>
      <c r="V451" s="51" t="str">
        <f t="shared" si="3"/>
        <v>Ativo</v>
      </c>
      <c r="W451" s="45"/>
      <c r="X451" s="52" t="s">
        <v>110</v>
      </c>
      <c r="Y451" s="54"/>
      <c r="Z451" s="54"/>
      <c r="AA451" s="54"/>
      <c r="AB451" s="54"/>
      <c r="AC451" s="54"/>
      <c r="AD451" s="54"/>
      <c r="AE451" s="54"/>
      <c r="AF451" s="54"/>
      <c r="AG451" s="54"/>
      <c r="AH451" s="54">
        <v>4000.0</v>
      </c>
      <c r="AI451" s="54">
        <v>58760.66</v>
      </c>
      <c r="AJ451" s="54">
        <v>100797.46</v>
      </c>
      <c r="AK451" s="54">
        <v>100548.79</v>
      </c>
      <c r="AL451" s="54">
        <v>105060.3</v>
      </c>
      <c r="AM451" s="54">
        <v>112931.1</v>
      </c>
      <c r="AN451" s="54">
        <v>148344.7</v>
      </c>
      <c r="AO451" s="54">
        <v>139817.22</v>
      </c>
      <c r="AP451" s="53">
        <v>141680.03</v>
      </c>
      <c r="AQ451" s="53">
        <v>567.7</v>
      </c>
      <c r="AR451" s="53">
        <v>414.56</v>
      </c>
      <c r="AS451" s="53">
        <v>414.56</v>
      </c>
      <c r="AT451" s="53">
        <v>417.19</v>
      </c>
      <c r="AU451" s="53">
        <f t="array" ref="AU451">XLOOKUP(C451,'PL TOTAL D0'!A:A,'PL TOTAL D0'!C:C,"")</f>
        <v>417.64</v>
      </c>
    </row>
    <row r="452" ht="18.75" customHeight="1">
      <c r="A452" s="41" t="s">
        <v>43</v>
      </c>
      <c r="B452" s="42" t="s">
        <v>1582</v>
      </c>
      <c r="C452" s="43" t="s">
        <v>1583</v>
      </c>
      <c r="D452" s="44" t="s">
        <v>18</v>
      </c>
      <c r="E452" s="45" t="s">
        <v>176</v>
      </c>
      <c r="F452" s="44" t="s">
        <v>177</v>
      </c>
      <c r="G452" s="44" t="str">
        <f t="shared" si="1"/>
        <v>Breno</v>
      </c>
      <c r="H452" s="46" t="s">
        <v>107</v>
      </c>
      <c r="I452" s="46" t="s">
        <v>24</v>
      </c>
      <c r="J452" s="44" t="str">
        <f t="shared" si="7"/>
        <v>Não</v>
      </c>
      <c r="K452" s="47">
        <v>45035.0</v>
      </c>
      <c r="L452" s="45"/>
      <c r="M452" s="45" t="s">
        <v>55</v>
      </c>
      <c r="N452" s="48">
        <v>0.012</v>
      </c>
      <c r="O452" s="44" t="s">
        <v>24</v>
      </c>
      <c r="P452" s="49">
        <v>0.0</v>
      </c>
      <c r="Q452" s="50"/>
      <c r="R452" s="50"/>
      <c r="S452" s="45" t="s">
        <v>108</v>
      </c>
      <c r="T452" s="24" t="s">
        <v>1581</v>
      </c>
      <c r="U452" s="9" t="s">
        <v>180</v>
      </c>
      <c r="V452" s="51" t="str">
        <f t="shared" si="3"/>
        <v>Ativo</v>
      </c>
      <c r="W452" s="45"/>
      <c r="X452" s="52" t="s">
        <v>110</v>
      </c>
      <c r="Y452" s="54"/>
      <c r="Z452" s="54"/>
      <c r="AA452" s="54"/>
      <c r="AB452" s="54"/>
      <c r="AC452" s="54"/>
      <c r="AD452" s="54"/>
      <c r="AE452" s="54">
        <v>0.0</v>
      </c>
      <c r="AF452" s="54">
        <v>459936.64</v>
      </c>
      <c r="AG452" s="54">
        <v>510336.77</v>
      </c>
      <c r="AH452" s="54">
        <v>515447.49</v>
      </c>
      <c r="AI452" s="54">
        <v>469355.86</v>
      </c>
      <c r="AJ452" s="54">
        <v>432768.81</v>
      </c>
      <c r="AK452" s="54">
        <v>436245.95</v>
      </c>
      <c r="AL452" s="54">
        <v>440042.95</v>
      </c>
      <c r="AM452" s="54">
        <v>443494.03</v>
      </c>
      <c r="AN452" s="54">
        <v>416227.51</v>
      </c>
      <c r="AO452" s="54">
        <v>419873.9</v>
      </c>
      <c r="AP452" s="53">
        <v>423182.0</v>
      </c>
      <c r="AQ452" s="53">
        <v>426797.43</v>
      </c>
      <c r="AR452" s="53">
        <v>426021.0</v>
      </c>
      <c r="AS452" s="53">
        <v>427807.8</v>
      </c>
      <c r="AT452" s="53">
        <v>431224.4</v>
      </c>
      <c r="AU452" s="53">
        <f t="array" ref="AU452">XLOOKUP(C452,'PL TOTAL D0'!A:A,'PL TOTAL D0'!C:C,"")</f>
        <v>432616.7</v>
      </c>
    </row>
    <row r="453" ht="15.75" customHeight="1">
      <c r="A453" s="41" t="s">
        <v>43</v>
      </c>
      <c r="B453" s="42" t="s">
        <v>1584</v>
      </c>
      <c r="C453" s="43" t="s">
        <v>1585</v>
      </c>
      <c r="D453" s="44" t="s">
        <v>18</v>
      </c>
      <c r="E453" s="45" t="s">
        <v>29</v>
      </c>
      <c r="F453" s="45" t="s">
        <v>294</v>
      </c>
      <c r="G453" s="44" t="str">
        <f t="shared" si="1"/>
        <v>#N/A</v>
      </c>
      <c r="H453" s="46" t="s">
        <v>147</v>
      </c>
      <c r="I453" s="46" t="s">
        <v>219</v>
      </c>
      <c r="J453" s="44" t="str">
        <f t="shared" si="7"/>
        <v>Não</v>
      </c>
      <c r="K453" s="47">
        <v>45163.0</v>
      </c>
      <c r="L453" s="215"/>
      <c r="M453" s="45" t="s">
        <v>55</v>
      </c>
      <c r="N453" s="48">
        <v>0.012</v>
      </c>
      <c r="O453" s="44" t="s">
        <v>24</v>
      </c>
      <c r="P453" s="49">
        <v>0.0</v>
      </c>
      <c r="Q453" s="74"/>
      <c r="R453" s="217" t="s">
        <v>1586</v>
      </c>
      <c r="S453" s="45" t="s">
        <v>108</v>
      </c>
      <c r="T453" s="24" t="s">
        <v>1587</v>
      </c>
      <c r="U453" s="24" t="s">
        <v>29</v>
      </c>
      <c r="V453" s="51" t="str">
        <f t="shared" si="3"/>
        <v>Ativo</v>
      </c>
      <c r="W453" s="45"/>
      <c r="X453" s="24" t="s">
        <v>119</v>
      </c>
      <c r="Y453" s="41"/>
      <c r="Z453" s="41"/>
      <c r="AA453" s="41"/>
      <c r="AB453" s="41"/>
      <c r="AC453" s="41"/>
      <c r="AD453" s="41"/>
      <c r="AE453" s="41"/>
      <c r="AF453" s="41">
        <v>0.0</v>
      </c>
      <c r="AG453" s="54">
        <v>0.0</v>
      </c>
      <c r="AH453" s="54">
        <v>0.0</v>
      </c>
      <c r="AI453" s="54">
        <v>0.0</v>
      </c>
      <c r="AJ453" s="54">
        <v>0.0</v>
      </c>
      <c r="AK453" s="54">
        <v>0.0</v>
      </c>
      <c r="AL453" s="54">
        <v>0.0</v>
      </c>
      <c r="AM453" s="54">
        <v>0.0</v>
      </c>
      <c r="AN453" s="54">
        <v>0.0</v>
      </c>
      <c r="AO453" s="54">
        <v>0.0</v>
      </c>
      <c r="AP453" s="53">
        <v>0.0</v>
      </c>
      <c r="AQ453" s="53">
        <v>0.0</v>
      </c>
      <c r="AR453" s="53">
        <v>0.0</v>
      </c>
      <c r="AS453" s="53">
        <v>0.0</v>
      </c>
      <c r="AT453" s="53">
        <v>20000.0</v>
      </c>
      <c r="AU453" s="53" t="str">
        <f t="array" ref="AU453">XLOOKUP(C453,'PL TOTAL D0'!A:A,'PL TOTAL D0'!C:C,"")</f>
        <v/>
      </c>
    </row>
    <row r="454" ht="15.75" customHeight="1">
      <c r="A454" s="41" t="s">
        <v>43</v>
      </c>
      <c r="B454" s="42" t="s">
        <v>1584</v>
      </c>
      <c r="C454" s="43" t="s">
        <v>1588</v>
      </c>
      <c r="D454" s="44" t="s">
        <v>18</v>
      </c>
      <c r="E454" s="45" t="s">
        <v>29</v>
      </c>
      <c r="F454" s="45" t="s">
        <v>294</v>
      </c>
      <c r="G454" s="44" t="str">
        <f t="shared" si="1"/>
        <v>Augusto</v>
      </c>
      <c r="H454" s="46" t="s">
        <v>147</v>
      </c>
      <c r="I454" s="46" t="s">
        <v>219</v>
      </c>
      <c r="J454" s="44" t="str">
        <f t="shared" si="7"/>
        <v>Não</v>
      </c>
      <c r="K454" s="47">
        <v>45163.0</v>
      </c>
      <c r="L454" s="215"/>
      <c r="M454" s="45" t="s">
        <v>47</v>
      </c>
      <c r="N454" s="48">
        <v>0.015</v>
      </c>
      <c r="O454" s="44" t="s">
        <v>48</v>
      </c>
      <c r="P454" s="49">
        <v>0.1</v>
      </c>
      <c r="Q454" s="74"/>
      <c r="R454" s="217" t="s">
        <v>1586</v>
      </c>
      <c r="S454" s="45" t="s">
        <v>108</v>
      </c>
      <c r="T454" s="24" t="s">
        <v>1587</v>
      </c>
      <c r="U454" s="24" t="s">
        <v>29</v>
      </c>
      <c r="V454" s="51" t="str">
        <f t="shared" si="3"/>
        <v>Ativo</v>
      </c>
      <c r="W454" s="45"/>
      <c r="X454" s="24" t="s">
        <v>119</v>
      </c>
      <c r="Y454" s="41"/>
      <c r="Z454" s="41"/>
      <c r="AA454" s="41"/>
      <c r="AB454" s="41"/>
      <c r="AC454" s="41"/>
      <c r="AD454" s="41"/>
      <c r="AE454" s="41"/>
      <c r="AF454" s="41">
        <v>0.0</v>
      </c>
      <c r="AG454" s="54">
        <v>0.0</v>
      </c>
      <c r="AH454" s="54">
        <v>0.0</v>
      </c>
      <c r="AI454" s="54">
        <v>0.0</v>
      </c>
      <c r="AJ454" s="54">
        <v>0.0</v>
      </c>
      <c r="AK454" s="54">
        <v>0.0</v>
      </c>
      <c r="AL454" s="54">
        <v>0.0</v>
      </c>
      <c r="AM454" s="54">
        <v>0.0</v>
      </c>
      <c r="AN454" s="54">
        <v>0.0</v>
      </c>
      <c r="AO454" s="54">
        <v>0.0</v>
      </c>
      <c r="AP454" s="53">
        <v>0.0</v>
      </c>
      <c r="AQ454" s="53">
        <v>0.0</v>
      </c>
      <c r="AR454" s="53">
        <v>0.0</v>
      </c>
      <c r="AS454" s="53">
        <v>0.0</v>
      </c>
      <c r="AT454" s="53">
        <v>0.0</v>
      </c>
      <c r="AU454" s="53">
        <f t="array" ref="AU454">XLOOKUP(C454,'PL TOTAL D0'!A:A,'PL TOTAL D0'!C:C,"")</f>
        <v>20028.56</v>
      </c>
    </row>
    <row r="455" ht="15.75" customHeight="1">
      <c r="A455" s="41" t="s">
        <v>43</v>
      </c>
      <c r="B455" s="42" t="s">
        <v>1589</v>
      </c>
      <c r="C455" s="43" t="s">
        <v>1590</v>
      </c>
      <c r="D455" s="44" t="s">
        <v>18</v>
      </c>
      <c r="E455" s="45" t="s">
        <v>29</v>
      </c>
      <c r="F455" s="44" t="s">
        <v>294</v>
      </c>
      <c r="G455" s="44" t="str">
        <f t="shared" si="1"/>
        <v>Augusto</v>
      </c>
      <c r="H455" s="51" t="s">
        <v>107</v>
      </c>
      <c r="I455" s="51" t="s">
        <v>24</v>
      </c>
      <c r="J455" s="44" t="str">
        <f t="shared" si="7"/>
        <v>Não</v>
      </c>
      <c r="K455" s="47">
        <v>44973.0</v>
      </c>
      <c r="L455" s="45"/>
      <c r="M455" s="45" t="s">
        <v>129</v>
      </c>
      <c r="N455" s="48">
        <v>0.0</v>
      </c>
      <c r="O455" s="44" t="s">
        <v>24</v>
      </c>
      <c r="P455" s="49">
        <v>0.0</v>
      </c>
      <c r="Q455" s="41"/>
      <c r="R455" s="60" t="s">
        <v>1591</v>
      </c>
      <c r="S455" s="45" t="s">
        <v>108</v>
      </c>
      <c r="T455" s="24" t="s">
        <v>1592</v>
      </c>
      <c r="U455" s="9" t="s">
        <v>29</v>
      </c>
      <c r="V455" s="51" t="str">
        <f t="shared" si="3"/>
        <v>Ativo</v>
      </c>
      <c r="W455" s="45"/>
      <c r="X455" s="52" t="s">
        <v>119</v>
      </c>
      <c r="Y455" s="54"/>
      <c r="Z455" s="54"/>
      <c r="AA455" s="54"/>
      <c r="AB455" s="54"/>
      <c r="AC455" s="54"/>
      <c r="AD455" s="54">
        <v>5790.98</v>
      </c>
      <c r="AE455" s="54">
        <v>5852.75</v>
      </c>
      <c r="AF455" s="54">
        <v>5888.04</v>
      </c>
      <c r="AG455" s="54">
        <v>6317.77</v>
      </c>
      <c r="AH455" s="54">
        <v>6868.15</v>
      </c>
      <c r="AI455" s="54">
        <v>6927.27</v>
      </c>
      <c r="AJ455" s="54">
        <v>7834.09</v>
      </c>
      <c r="AK455" s="54">
        <v>8020.29</v>
      </c>
      <c r="AL455" s="54">
        <v>8086.59</v>
      </c>
      <c r="AM455" s="54">
        <v>8649.01</v>
      </c>
      <c r="AN455" s="54">
        <v>9191.0</v>
      </c>
      <c r="AO455" s="54">
        <v>9279.92</v>
      </c>
      <c r="AP455" s="53">
        <v>10352.1</v>
      </c>
      <c r="AQ455" s="53">
        <v>11431.85</v>
      </c>
      <c r="AR455" s="53">
        <v>11508.63</v>
      </c>
      <c r="AS455" s="53">
        <v>11520.95</v>
      </c>
      <c r="AT455" s="53">
        <v>11581.53</v>
      </c>
      <c r="AU455" s="53">
        <f t="array" ref="AU455">XLOOKUP(C455,'PL TOTAL D0'!A:A,'PL TOTAL D0'!C:C,"")</f>
        <v>11637.22</v>
      </c>
    </row>
    <row r="456" ht="15.75" customHeight="1">
      <c r="A456" s="41" t="s">
        <v>43</v>
      </c>
      <c r="B456" s="42" t="s">
        <v>1593</v>
      </c>
      <c r="C456" s="43" t="s">
        <v>1594</v>
      </c>
      <c r="D456" s="44" t="s">
        <v>18</v>
      </c>
      <c r="E456" s="45" t="s">
        <v>29</v>
      </c>
      <c r="F456" s="44" t="s">
        <v>294</v>
      </c>
      <c r="G456" s="44" t="str">
        <f t="shared" si="1"/>
        <v>Bruno</v>
      </c>
      <c r="H456" s="46" t="s">
        <v>107</v>
      </c>
      <c r="I456" s="46" t="s">
        <v>24</v>
      </c>
      <c r="J456" s="44" t="str">
        <f t="shared" si="7"/>
        <v>Não</v>
      </c>
      <c r="K456" s="47">
        <v>44965.0</v>
      </c>
      <c r="L456" s="45"/>
      <c r="M456" s="45" t="s">
        <v>47</v>
      </c>
      <c r="N456" s="48">
        <v>0.015</v>
      </c>
      <c r="O456" s="44" t="s">
        <v>48</v>
      </c>
      <c r="P456" s="49">
        <v>0.1</v>
      </c>
      <c r="Q456" s="60"/>
      <c r="R456" s="50"/>
      <c r="S456" s="45" t="s">
        <v>108</v>
      </c>
      <c r="T456" s="24" t="s">
        <v>1595</v>
      </c>
      <c r="U456" s="9" t="s">
        <v>29</v>
      </c>
      <c r="V456" s="51" t="str">
        <f t="shared" si="3"/>
        <v>Ativo</v>
      </c>
      <c r="W456" s="45"/>
      <c r="X456" s="52" t="s">
        <v>119</v>
      </c>
      <c r="Y456" s="54"/>
      <c r="Z456" s="54"/>
      <c r="AA456" s="54"/>
      <c r="AB456" s="54"/>
      <c r="AC456" s="54">
        <v>0.0</v>
      </c>
      <c r="AD456" s="54">
        <v>71695.11</v>
      </c>
      <c r="AE456" s="54">
        <v>72215.39</v>
      </c>
      <c r="AF456" s="54">
        <v>72488.98</v>
      </c>
      <c r="AG456" s="54">
        <v>73058.1</v>
      </c>
      <c r="AH456" s="54">
        <v>44016.3</v>
      </c>
      <c r="AI456" s="54">
        <v>44694.58</v>
      </c>
      <c r="AJ456" s="54">
        <v>44440.77</v>
      </c>
      <c r="AK456" s="54">
        <v>44594.44</v>
      </c>
      <c r="AL456" s="54">
        <v>44838.89</v>
      </c>
      <c r="AM456" s="54">
        <v>44457.26</v>
      </c>
      <c r="AN456" s="54">
        <v>44766.9</v>
      </c>
      <c r="AO456" s="54">
        <v>59625.17</v>
      </c>
      <c r="AP456" s="53">
        <v>1052792.26</v>
      </c>
      <c r="AQ456" s="53">
        <v>1064896.89</v>
      </c>
      <c r="AR456" s="53">
        <v>1059869.39</v>
      </c>
      <c r="AS456" s="53">
        <v>1054261.0</v>
      </c>
      <c r="AT456" s="53">
        <v>1060786.0</v>
      </c>
      <c r="AU456" s="53">
        <f t="array" ref="AU456">XLOOKUP(C456,'PL TOTAL D0'!A:A,'PL TOTAL D0'!C:C,"")</f>
        <v>1076690</v>
      </c>
    </row>
    <row r="457" ht="15.75" customHeight="1">
      <c r="A457" s="41" t="s">
        <v>43</v>
      </c>
      <c r="B457" s="42" t="s">
        <v>1596</v>
      </c>
      <c r="C457" s="43" t="s">
        <v>1597</v>
      </c>
      <c r="D457" s="44" t="s">
        <v>18</v>
      </c>
      <c r="E457" s="45" t="s">
        <v>29</v>
      </c>
      <c r="F457" s="44" t="s">
        <v>78</v>
      </c>
      <c r="G457" s="44" t="str">
        <f t="shared" si="1"/>
        <v>Augusto</v>
      </c>
      <c r="H457" s="46" t="s">
        <v>107</v>
      </c>
      <c r="I457" s="46" t="s">
        <v>24</v>
      </c>
      <c r="J457" s="44" t="str">
        <f t="shared" si="7"/>
        <v>Não</v>
      </c>
      <c r="K457" s="47">
        <v>45041.0</v>
      </c>
      <c r="L457" s="45"/>
      <c r="M457" s="45" t="s">
        <v>47</v>
      </c>
      <c r="N457" s="48">
        <v>0.015</v>
      </c>
      <c r="O457" s="44" t="s">
        <v>48</v>
      </c>
      <c r="P457" s="49">
        <v>0.1</v>
      </c>
      <c r="Q457" s="50"/>
      <c r="R457" s="50"/>
      <c r="S457" s="45" t="s">
        <v>108</v>
      </c>
      <c r="T457" s="24" t="s">
        <v>1598</v>
      </c>
      <c r="U457" s="9" t="s">
        <v>29</v>
      </c>
      <c r="V457" s="51" t="str">
        <f t="shared" si="3"/>
        <v>Ativo</v>
      </c>
      <c r="W457" s="45"/>
      <c r="X457" s="52" t="s">
        <v>119</v>
      </c>
      <c r="Y457" s="54"/>
      <c r="Z457" s="54"/>
      <c r="AA457" s="54"/>
      <c r="AB457" s="54"/>
      <c r="AC457" s="54"/>
      <c r="AD457" s="54"/>
      <c r="AE457" s="54"/>
      <c r="AF457" s="54">
        <v>20624.5</v>
      </c>
      <c r="AG457" s="54">
        <v>13707.4</v>
      </c>
      <c r="AH457" s="54">
        <v>13791.31</v>
      </c>
      <c r="AI457" s="54">
        <v>13905.96</v>
      </c>
      <c r="AJ457" s="54">
        <v>14043.02</v>
      </c>
      <c r="AK457" s="54">
        <v>14113.01</v>
      </c>
      <c r="AL457" s="54">
        <v>7111.33</v>
      </c>
      <c r="AM457" s="54">
        <v>6039.64</v>
      </c>
      <c r="AN457" s="54">
        <v>0.0</v>
      </c>
      <c r="AO457" s="54">
        <v>0.0</v>
      </c>
      <c r="AP457" s="53">
        <v>15068.39</v>
      </c>
      <c r="AQ457" s="53">
        <v>5612.56</v>
      </c>
      <c r="AR457" s="53">
        <v>3633.75</v>
      </c>
      <c r="AS457" s="53">
        <v>3641.35</v>
      </c>
      <c r="AT457" s="53">
        <v>3670.17</v>
      </c>
      <c r="AU457" s="53">
        <f t="array" ref="AU457">XLOOKUP(C457,'PL TOTAL D0'!A:A,'PL TOTAL D0'!C:C,"")</f>
        <v>3684.22</v>
      </c>
    </row>
    <row r="458" ht="15.75" customHeight="1">
      <c r="A458" s="41" t="s">
        <v>43</v>
      </c>
      <c r="B458" s="61" t="s">
        <v>1599</v>
      </c>
      <c r="C458" s="43" t="s">
        <v>1600</v>
      </c>
      <c r="D458" s="44" t="s">
        <v>18</v>
      </c>
      <c r="E458" s="45" t="s">
        <v>19</v>
      </c>
      <c r="F458" s="44" t="s">
        <v>20</v>
      </c>
      <c r="G458" s="44" t="str">
        <f t="shared" si="1"/>
        <v>Breno</v>
      </c>
      <c r="H458" s="46" t="s">
        <v>107</v>
      </c>
      <c r="I458" s="46" t="s">
        <v>24</v>
      </c>
      <c r="J458" s="44" t="str">
        <f t="shared" si="7"/>
        <v>Não</v>
      </c>
      <c r="K458" s="47">
        <v>45005.0</v>
      </c>
      <c r="L458" s="45"/>
      <c r="M458" s="45" t="s">
        <v>55</v>
      </c>
      <c r="N458" s="48">
        <v>0.012</v>
      </c>
      <c r="O458" s="44" t="s">
        <v>24</v>
      </c>
      <c r="P458" s="49">
        <v>0.0</v>
      </c>
      <c r="Q458" s="50"/>
      <c r="R458" s="50"/>
      <c r="S458" s="45" t="s">
        <v>108</v>
      </c>
      <c r="T458" s="24" t="s">
        <v>1601</v>
      </c>
      <c r="U458" s="9" t="s">
        <v>19</v>
      </c>
      <c r="V458" s="51" t="str">
        <f t="shared" si="3"/>
        <v>Ativo</v>
      </c>
      <c r="W458" s="45"/>
      <c r="X458" s="52" t="s">
        <v>119</v>
      </c>
      <c r="Y458" s="54"/>
      <c r="Z458" s="54"/>
      <c r="AA458" s="54"/>
      <c r="AB458" s="54"/>
      <c r="AC458" s="54"/>
      <c r="AD458" s="54"/>
      <c r="AE458" s="54">
        <v>490650.14</v>
      </c>
      <c r="AF458" s="54">
        <v>494510.23</v>
      </c>
      <c r="AG458" s="54">
        <v>499291.51</v>
      </c>
      <c r="AH458" s="54">
        <v>503579.04</v>
      </c>
      <c r="AI458" s="54">
        <v>507721.03</v>
      </c>
      <c r="AJ458" s="54">
        <v>512302.95</v>
      </c>
      <c r="AK458" s="54">
        <v>516326.05</v>
      </c>
      <c r="AL458" s="54">
        <v>520849.72</v>
      </c>
      <c r="AM458" s="54">
        <v>524615.85</v>
      </c>
      <c r="AN458" s="54">
        <v>528655.79</v>
      </c>
      <c r="AO458" s="54">
        <v>533438.11</v>
      </c>
      <c r="AP458" s="53">
        <v>537680.14</v>
      </c>
      <c r="AQ458" s="53">
        <v>530776.49</v>
      </c>
      <c r="AR458" s="53">
        <v>533939.9</v>
      </c>
      <c r="AS458" s="53">
        <v>537799.6</v>
      </c>
      <c r="AT458" s="53">
        <v>541596.9</v>
      </c>
      <c r="AU458" s="53">
        <f t="array" ref="AU458">XLOOKUP(C458,'PL TOTAL D0'!A:A,'PL TOTAL D0'!C:C,"")</f>
        <v>543323.3</v>
      </c>
    </row>
    <row r="459" ht="15.75" customHeight="1">
      <c r="A459" s="41" t="s">
        <v>43</v>
      </c>
      <c r="B459" s="42" t="s">
        <v>1602</v>
      </c>
      <c r="C459" s="43" t="s">
        <v>1603</v>
      </c>
      <c r="D459" s="44" t="s">
        <v>105</v>
      </c>
      <c r="E459" s="45" t="s">
        <v>29</v>
      </c>
      <c r="F459" s="44" t="s">
        <v>816</v>
      </c>
      <c r="G459" s="44" t="str">
        <f t="shared" si="1"/>
        <v>#N/A</v>
      </c>
      <c r="H459" s="46" t="s">
        <v>186</v>
      </c>
      <c r="I459" s="46" t="s">
        <v>24</v>
      </c>
      <c r="J459" s="44" t="str">
        <f t="shared" si="7"/>
        <v>Não</v>
      </c>
      <c r="K459" s="47">
        <v>45070.0</v>
      </c>
      <c r="L459" s="72">
        <v>45126.0</v>
      </c>
      <c r="M459" s="45" t="s">
        <v>47</v>
      </c>
      <c r="N459" s="48">
        <v>0.016</v>
      </c>
      <c r="O459" s="44" t="s">
        <v>48</v>
      </c>
      <c r="P459" s="49">
        <v>0.1</v>
      </c>
      <c r="Q459" s="74"/>
      <c r="R459" s="50"/>
      <c r="S459" s="45" t="s">
        <v>108</v>
      </c>
      <c r="T459" s="24" t="s">
        <v>1604</v>
      </c>
      <c r="U459" s="9" t="s">
        <v>29</v>
      </c>
      <c r="V459" s="51" t="str">
        <f t="shared" si="3"/>
        <v>Encerrado</v>
      </c>
      <c r="W459" s="45"/>
      <c r="X459" s="52"/>
      <c r="Y459" s="54"/>
      <c r="Z459" s="54"/>
      <c r="AA459" s="54"/>
      <c r="AB459" s="54"/>
      <c r="AC459" s="54"/>
      <c r="AD459" s="54"/>
      <c r="AE459" s="54"/>
      <c r="AF459" s="54">
        <v>0.0</v>
      </c>
      <c r="AG459" s="54">
        <v>2497905.811</v>
      </c>
      <c r="AH459" s="54">
        <v>2498485.38</v>
      </c>
      <c r="AI459" s="54">
        <v>0.0</v>
      </c>
      <c r="AJ459" s="54">
        <v>0.0</v>
      </c>
      <c r="AK459" s="54">
        <v>0.0</v>
      </c>
      <c r="AL459" s="54">
        <v>0.0</v>
      </c>
      <c r="AM459" s="54">
        <v>0.0</v>
      </c>
      <c r="AN459" s="54">
        <v>0.0</v>
      </c>
      <c r="AO459" s="54">
        <v>0.0</v>
      </c>
      <c r="AP459" s="53">
        <v>0.0</v>
      </c>
      <c r="AQ459" s="53">
        <v>0.0</v>
      </c>
      <c r="AR459" s="53">
        <v>0.0</v>
      </c>
      <c r="AS459" s="53">
        <v>0.0</v>
      </c>
      <c r="AT459" s="53">
        <v>0.0</v>
      </c>
      <c r="AU459" s="53" t="str">
        <f t="array" ref="AU459">XLOOKUP(C459,'PL TOTAL D0'!A:A,'PL TOTAL D0'!C:C,"")</f>
        <v/>
      </c>
    </row>
    <row r="460" ht="15.75" customHeight="1">
      <c r="A460" s="41" t="s">
        <v>43</v>
      </c>
      <c r="B460" s="42" t="s">
        <v>1605</v>
      </c>
      <c r="C460" s="43" t="s">
        <v>1606</v>
      </c>
      <c r="D460" s="44" t="s">
        <v>105</v>
      </c>
      <c r="E460" s="45" t="s">
        <v>29</v>
      </c>
      <c r="F460" s="44" t="s">
        <v>106</v>
      </c>
      <c r="G460" s="44" t="str">
        <f t="shared" si="1"/>
        <v>Augusto</v>
      </c>
      <c r="H460" s="46" t="s">
        <v>107</v>
      </c>
      <c r="I460" s="46" t="s">
        <v>24</v>
      </c>
      <c r="J460" s="44" t="str">
        <f t="shared" si="7"/>
        <v>Não</v>
      </c>
      <c r="K460" s="47">
        <v>45168.0</v>
      </c>
      <c r="L460" s="72"/>
      <c r="M460" s="45" t="s">
        <v>47</v>
      </c>
      <c r="N460" s="48">
        <v>0.016</v>
      </c>
      <c r="O460" s="44" t="s">
        <v>48</v>
      </c>
      <c r="P460" s="49">
        <v>0.2</v>
      </c>
      <c r="Q460" s="74"/>
      <c r="R460" s="50"/>
      <c r="S460" s="45" t="s">
        <v>108</v>
      </c>
      <c r="T460" s="24" t="s">
        <v>1607</v>
      </c>
      <c r="U460" s="9" t="s">
        <v>29</v>
      </c>
      <c r="V460" s="51" t="str">
        <f t="shared" si="3"/>
        <v>Ativo</v>
      </c>
      <c r="W460" s="45"/>
      <c r="X460" s="52" t="s">
        <v>119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>
        <v>86640.52</v>
      </c>
      <c r="AK460" s="54">
        <v>87103.29</v>
      </c>
      <c r="AL460" s="54">
        <v>87579.02</v>
      </c>
      <c r="AM460" s="54">
        <v>87910.08</v>
      </c>
      <c r="AN460" s="54">
        <v>81281.6</v>
      </c>
      <c r="AO460" s="54">
        <v>58806.46</v>
      </c>
      <c r="AP460" s="53">
        <v>59229.76</v>
      </c>
      <c r="AQ460" s="53">
        <v>59694.45</v>
      </c>
      <c r="AR460" s="53">
        <v>59084.54</v>
      </c>
      <c r="AS460" s="53">
        <v>58900.06</v>
      </c>
      <c r="AT460" s="53">
        <v>10609.15</v>
      </c>
      <c r="AU460" s="53">
        <f t="array" ref="AU460">XLOOKUP(C460,'PL TOTAL D0'!A:A,'PL TOTAL D0'!C:C,"")</f>
        <v>10563.05</v>
      </c>
    </row>
    <row r="461" ht="15.75" customHeight="1">
      <c r="A461" s="41" t="s">
        <v>43</v>
      </c>
      <c r="B461" s="42" t="s">
        <v>1608</v>
      </c>
      <c r="C461" s="43" t="s">
        <v>1609</v>
      </c>
      <c r="D461" s="44" t="s">
        <v>105</v>
      </c>
      <c r="E461" s="45" t="s">
        <v>29</v>
      </c>
      <c r="F461" s="44" t="s">
        <v>106</v>
      </c>
      <c r="G461" s="44" t="str">
        <f t="shared" si="1"/>
        <v>Breno</v>
      </c>
      <c r="H461" s="46" t="s">
        <v>107</v>
      </c>
      <c r="I461" s="46" t="s">
        <v>24</v>
      </c>
      <c r="J461" s="44" t="str">
        <f t="shared" si="7"/>
        <v>Não</v>
      </c>
      <c r="K461" s="47">
        <v>45158.0</v>
      </c>
      <c r="L461" s="45"/>
      <c r="M461" s="45" t="s">
        <v>47</v>
      </c>
      <c r="N461" s="48">
        <v>0.009</v>
      </c>
      <c r="O461" s="44" t="s">
        <v>48</v>
      </c>
      <c r="P461" s="49">
        <v>0.2</v>
      </c>
      <c r="Q461" s="50"/>
      <c r="R461" s="50"/>
      <c r="S461" s="45" t="s">
        <v>108</v>
      </c>
      <c r="T461" s="24" t="s">
        <v>1610</v>
      </c>
      <c r="U461" s="9" t="s">
        <v>29</v>
      </c>
      <c r="V461" s="51" t="str">
        <f t="shared" si="3"/>
        <v>Ativo</v>
      </c>
      <c r="W461" s="45"/>
      <c r="X461" s="52" t="s">
        <v>119</v>
      </c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>
        <v>0.0</v>
      </c>
      <c r="AJ461" s="54">
        <v>598103.92</v>
      </c>
      <c r="AK461" s="54">
        <v>594234.29</v>
      </c>
      <c r="AL461" s="54">
        <v>594911.39</v>
      </c>
      <c r="AM461" s="54">
        <v>615008.45</v>
      </c>
      <c r="AN461" s="54">
        <v>649546.84</v>
      </c>
      <c r="AO461" s="54">
        <v>648672.86</v>
      </c>
      <c r="AP461" s="53">
        <v>652869.66</v>
      </c>
      <c r="AQ461" s="53">
        <v>655720.22</v>
      </c>
      <c r="AR461" s="53">
        <v>650035.26</v>
      </c>
      <c r="AS461" s="53">
        <v>651486.1</v>
      </c>
      <c r="AT461" s="53">
        <v>651018.6</v>
      </c>
      <c r="AU461" s="53">
        <f t="array" ref="AU461">XLOOKUP(C461,'PL TOTAL D0'!A:A,'PL TOTAL D0'!C:C,"")</f>
        <v>660922.8</v>
      </c>
    </row>
    <row r="462" ht="15.75" customHeight="1">
      <c r="A462" s="6" t="s">
        <v>43</v>
      </c>
      <c r="B462" s="55" t="s">
        <v>1611</v>
      </c>
      <c r="C462" s="21" t="s">
        <v>1612</v>
      </c>
      <c r="D462" s="9" t="s">
        <v>105</v>
      </c>
      <c r="E462" s="24" t="s">
        <v>29</v>
      </c>
      <c r="F462" s="9" t="s">
        <v>356</v>
      </c>
      <c r="G462" s="44" t="str">
        <f t="shared" si="1"/>
        <v>Augusto</v>
      </c>
      <c r="H462" s="51" t="s">
        <v>107</v>
      </c>
      <c r="I462" s="51" t="s">
        <v>24</v>
      </c>
      <c r="J462" s="44" t="str">
        <f t="shared" si="7"/>
        <v>Não</v>
      </c>
      <c r="K462" s="57">
        <v>45348.0</v>
      </c>
      <c r="L462" s="45"/>
      <c r="M462" s="24" t="s">
        <v>79</v>
      </c>
      <c r="N462" s="58">
        <v>0.014</v>
      </c>
      <c r="O462" s="9" t="s">
        <v>48</v>
      </c>
      <c r="P462" s="59">
        <v>0.1</v>
      </c>
      <c r="Q462" s="50"/>
      <c r="R462" s="50"/>
      <c r="S462" s="24" t="s">
        <v>108</v>
      </c>
      <c r="T462" s="23" t="s">
        <v>1613</v>
      </c>
      <c r="U462" s="9" t="s">
        <v>29</v>
      </c>
      <c r="V462" s="51" t="str">
        <f t="shared" si="3"/>
        <v>Ativo</v>
      </c>
      <c r="W462" s="45"/>
      <c r="X462" s="52" t="s">
        <v>110</v>
      </c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3">
        <v>100044.69</v>
      </c>
      <c r="AQ462" s="53">
        <v>101250.66</v>
      </c>
      <c r="AR462" s="53">
        <v>101304.98</v>
      </c>
      <c r="AS462" s="53">
        <v>101692.8</v>
      </c>
      <c r="AT462" s="53">
        <v>102424.3</v>
      </c>
      <c r="AU462" s="53">
        <f t="array" ref="AU462">XLOOKUP(C462,'PL TOTAL D0'!A:A,'PL TOTAL D0'!C:C,"")</f>
        <v>103215.6</v>
      </c>
    </row>
    <row r="463" ht="15.75" customHeight="1">
      <c r="A463" s="41" t="s">
        <v>43</v>
      </c>
      <c r="B463" s="42" t="s">
        <v>1614</v>
      </c>
      <c r="C463" s="43" t="s">
        <v>1615</v>
      </c>
      <c r="D463" s="44" t="s">
        <v>18</v>
      </c>
      <c r="E463" s="45" t="s">
        <v>29</v>
      </c>
      <c r="F463" s="44" t="s">
        <v>294</v>
      </c>
      <c r="G463" s="44" t="str">
        <f t="shared" si="1"/>
        <v>Augusto</v>
      </c>
      <c r="H463" s="51" t="s">
        <v>107</v>
      </c>
      <c r="I463" s="51" t="s">
        <v>24</v>
      </c>
      <c r="J463" s="44" t="str">
        <f t="shared" si="7"/>
        <v>Não</v>
      </c>
      <c r="K463" s="47">
        <v>45043.0</v>
      </c>
      <c r="L463" s="45"/>
      <c r="M463" s="24" t="s">
        <v>789</v>
      </c>
      <c r="N463" s="58">
        <v>0.007</v>
      </c>
      <c r="O463" s="44" t="s">
        <v>24</v>
      </c>
      <c r="P463" s="49">
        <v>0.0</v>
      </c>
      <c r="Q463" s="50"/>
      <c r="R463" s="60" t="s">
        <v>1616</v>
      </c>
      <c r="S463" s="45" t="s">
        <v>108</v>
      </c>
      <c r="T463" s="24" t="s">
        <v>1617</v>
      </c>
      <c r="U463" s="9" t="s">
        <v>29</v>
      </c>
      <c r="V463" s="51" t="str">
        <f t="shared" si="3"/>
        <v>Ativo</v>
      </c>
      <c r="W463" s="45"/>
      <c r="X463" s="52" t="s">
        <v>119</v>
      </c>
      <c r="Y463" s="54"/>
      <c r="Z463" s="54"/>
      <c r="AA463" s="54"/>
      <c r="AB463" s="54"/>
      <c r="AC463" s="54"/>
      <c r="AD463" s="54"/>
      <c r="AE463" s="54"/>
      <c r="AF463" s="54">
        <v>23000.0</v>
      </c>
      <c r="AG463" s="54">
        <v>15154.39</v>
      </c>
      <c r="AH463" s="54">
        <v>15296.76</v>
      </c>
      <c r="AI463" s="54">
        <v>15420.75</v>
      </c>
      <c r="AJ463" s="54">
        <v>15586.14</v>
      </c>
      <c r="AK463" s="54">
        <v>15725.28</v>
      </c>
      <c r="AL463" s="54">
        <v>15878.29</v>
      </c>
      <c r="AM463" s="54">
        <v>16003.69</v>
      </c>
      <c r="AN463" s="54">
        <v>16135.27</v>
      </c>
      <c r="AO463" s="54">
        <v>16089.04</v>
      </c>
      <c r="AP463" s="53">
        <v>16200.64</v>
      </c>
      <c r="AQ463" s="53">
        <v>51666.39</v>
      </c>
      <c r="AR463" s="53">
        <v>51419.29</v>
      </c>
      <c r="AS463" s="53">
        <v>51541.81</v>
      </c>
      <c r="AT463" s="53">
        <v>51707.88</v>
      </c>
      <c r="AU463" s="53">
        <f t="array" ref="AU463">XLOOKUP(C463,'PL TOTAL D0'!A:A,'PL TOTAL D0'!C:C,"")</f>
        <v>52069.64</v>
      </c>
    </row>
    <row r="464" ht="15.75" customHeight="1">
      <c r="A464" s="41" t="s">
        <v>43</v>
      </c>
      <c r="B464" s="42" t="s">
        <v>1618</v>
      </c>
      <c r="C464" s="43" t="s">
        <v>1619</v>
      </c>
      <c r="D464" s="44" t="s">
        <v>18</v>
      </c>
      <c r="E464" s="45" t="s">
        <v>34</v>
      </c>
      <c r="F464" s="44" t="s">
        <v>574</v>
      </c>
      <c r="G464" s="44" t="str">
        <f t="shared" si="1"/>
        <v>Augusto</v>
      </c>
      <c r="H464" s="46" t="s">
        <v>107</v>
      </c>
      <c r="I464" s="46" t="s">
        <v>24</v>
      </c>
      <c r="J464" s="44" t="str">
        <f t="shared" si="7"/>
        <v>Não</v>
      </c>
      <c r="K464" s="47">
        <v>44973.0</v>
      </c>
      <c r="L464" s="45"/>
      <c r="M464" s="45" t="s">
        <v>47</v>
      </c>
      <c r="N464" s="48">
        <v>0.015</v>
      </c>
      <c r="O464" s="44" t="s">
        <v>48</v>
      </c>
      <c r="P464" s="49">
        <v>0.1</v>
      </c>
      <c r="Q464" s="50"/>
      <c r="R464" s="50"/>
      <c r="S464" s="45" t="s">
        <v>108</v>
      </c>
      <c r="T464" s="24" t="s">
        <v>1620</v>
      </c>
      <c r="U464" s="9" t="s">
        <v>34</v>
      </c>
      <c r="V464" s="51" t="str">
        <f t="shared" si="3"/>
        <v>Ativo</v>
      </c>
      <c r="W464" s="45"/>
      <c r="X464" s="52" t="s">
        <v>119</v>
      </c>
      <c r="Y464" s="54"/>
      <c r="Z464" s="54"/>
      <c r="AA464" s="54"/>
      <c r="AB464" s="54"/>
      <c r="AC464" s="54">
        <v>0.0</v>
      </c>
      <c r="AD464" s="54">
        <v>30166.52</v>
      </c>
      <c r="AE464" s="54">
        <v>32411.69</v>
      </c>
      <c r="AF464" s="54">
        <v>34582.67</v>
      </c>
      <c r="AG464" s="54">
        <v>37421.92</v>
      </c>
      <c r="AH464" s="54">
        <v>40114.94</v>
      </c>
      <c r="AI464" s="54">
        <v>40553.65</v>
      </c>
      <c r="AJ464" s="54">
        <v>40571.92</v>
      </c>
      <c r="AK464" s="54">
        <v>40649.3</v>
      </c>
      <c r="AL464" s="54">
        <v>40627.37</v>
      </c>
      <c r="AM464" s="54">
        <v>41061.6</v>
      </c>
      <c r="AN464" s="54">
        <v>41826.03</v>
      </c>
      <c r="AO464" s="54">
        <v>41287.2</v>
      </c>
      <c r="AP464" s="53">
        <v>41549.16</v>
      </c>
      <c r="AQ464" s="53">
        <v>41967.58</v>
      </c>
      <c r="AR464" s="53">
        <v>41272.03</v>
      </c>
      <c r="AS464" s="53">
        <v>41221.46</v>
      </c>
      <c r="AT464" s="53">
        <v>41425.75</v>
      </c>
      <c r="AU464" s="53">
        <f t="array" ref="AU464">XLOOKUP(C464,'PL TOTAL D0'!A:A,'PL TOTAL D0'!C:C,"")</f>
        <v>41938.18</v>
      </c>
    </row>
    <row r="465" ht="15.75" customHeight="1">
      <c r="A465" s="41" t="s">
        <v>43</v>
      </c>
      <c r="B465" s="97" t="s">
        <v>1621</v>
      </c>
      <c r="C465" s="157" t="s">
        <v>1622</v>
      </c>
      <c r="D465" s="44" t="s">
        <v>18</v>
      </c>
      <c r="E465" s="45" t="s">
        <v>19</v>
      </c>
      <c r="F465" s="44" t="s">
        <v>20</v>
      </c>
      <c r="G465" s="44" t="str">
        <f t="shared" si="1"/>
        <v>Augusto</v>
      </c>
      <c r="H465" s="51" t="s">
        <v>107</v>
      </c>
      <c r="I465" s="51" t="s">
        <v>24</v>
      </c>
      <c r="J465" s="44" t="str">
        <f t="shared" si="7"/>
        <v>Não</v>
      </c>
      <c r="K465" s="47">
        <v>45253.0</v>
      </c>
      <c r="L465" s="45"/>
      <c r="M465" s="45" t="s">
        <v>55</v>
      </c>
      <c r="N465" s="94">
        <v>0.012</v>
      </c>
      <c r="O465" s="95" t="s">
        <v>24</v>
      </c>
      <c r="P465" s="96">
        <v>0.0</v>
      </c>
      <c r="Q465" s="50"/>
      <c r="R465" s="50"/>
      <c r="S465" s="45" t="s">
        <v>108</v>
      </c>
      <c r="T465" s="24" t="s">
        <v>1623</v>
      </c>
      <c r="U465" s="9" t="s">
        <v>19</v>
      </c>
      <c r="V465" s="51" t="str">
        <f t="shared" si="3"/>
        <v>Ativo</v>
      </c>
      <c r="W465" s="45"/>
      <c r="X465" s="52" t="s">
        <v>119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>
        <v>0.0</v>
      </c>
      <c r="AN465" s="54">
        <v>2300.0</v>
      </c>
      <c r="AO465" s="54">
        <v>2300.0</v>
      </c>
      <c r="AP465" s="53">
        <v>2311.38</v>
      </c>
      <c r="AQ465" s="53">
        <v>2325.06</v>
      </c>
      <c r="AR465" s="53">
        <v>2335.63</v>
      </c>
      <c r="AS465" s="53">
        <v>2354.04</v>
      </c>
      <c r="AT465" s="53">
        <v>2364.72</v>
      </c>
      <c r="AU465" s="53">
        <f t="array" ref="AU465">XLOOKUP(C465,'PL TOTAL D0'!A:A,'PL TOTAL D0'!C:C,"")</f>
        <v>2376.18</v>
      </c>
    </row>
    <row r="466" ht="15.75" customHeight="1">
      <c r="A466" s="41" t="s">
        <v>43</v>
      </c>
      <c r="B466" s="112" t="s">
        <v>1624</v>
      </c>
      <c r="C466" s="43" t="s">
        <v>1625</v>
      </c>
      <c r="D466" s="44" t="s">
        <v>18</v>
      </c>
      <c r="E466" s="45" t="s">
        <v>19</v>
      </c>
      <c r="F466" s="44" t="s">
        <v>20</v>
      </c>
      <c r="G466" s="44" t="str">
        <f t="shared" si="1"/>
        <v>Augusto</v>
      </c>
      <c r="H466" s="46" t="s">
        <v>107</v>
      </c>
      <c r="I466" s="46" t="s">
        <v>24</v>
      </c>
      <c r="J466" s="44" t="str">
        <f t="shared" si="7"/>
        <v>Não</v>
      </c>
      <c r="K466" s="47">
        <v>45149.0</v>
      </c>
      <c r="L466" s="62"/>
      <c r="M466" s="45" t="s">
        <v>55</v>
      </c>
      <c r="N466" s="48">
        <v>0.012</v>
      </c>
      <c r="O466" s="44" t="s">
        <v>24</v>
      </c>
      <c r="P466" s="49">
        <v>0.0</v>
      </c>
      <c r="Q466" s="50"/>
      <c r="R466" s="50"/>
      <c r="S466" s="45" t="s">
        <v>108</v>
      </c>
      <c r="T466" s="24" t="s">
        <v>1626</v>
      </c>
      <c r="U466" s="9" t="s">
        <v>19</v>
      </c>
      <c r="V466" s="51" t="str">
        <f t="shared" si="3"/>
        <v>Ativo</v>
      </c>
      <c r="W466" s="45"/>
      <c r="X466" s="52" t="s">
        <v>119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>
        <v>0.0</v>
      </c>
      <c r="AI466" s="54">
        <v>0.0</v>
      </c>
      <c r="AJ466" s="54">
        <v>12077.1</v>
      </c>
      <c r="AK466" s="54">
        <v>12189.66</v>
      </c>
      <c r="AL466" s="54">
        <v>13818.94</v>
      </c>
      <c r="AM466" s="54">
        <v>13925.05</v>
      </c>
      <c r="AN466" s="54">
        <v>14038.81</v>
      </c>
      <c r="AO466" s="54">
        <v>14162.82</v>
      </c>
      <c r="AP466" s="53">
        <v>14265.7</v>
      </c>
      <c r="AQ466" s="53">
        <v>15351.73</v>
      </c>
      <c r="AR466" s="53">
        <v>34293.2</v>
      </c>
      <c r="AS466" s="53">
        <v>34878.2</v>
      </c>
      <c r="AT466" s="53">
        <v>50468.13</v>
      </c>
      <c r="AU466" s="53">
        <f t="array" ref="AU466">XLOOKUP(C466,'PL TOTAL D0'!A:A,'PL TOTAL D0'!C:C,"")</f>
        <v>51117.57</v>
      </c>
    </row>
    <row r="467" ht="15.75" customHeight="1">
      <c r="A467" s="41" t="s">
        <v>43</v>
      </c>
      <c r="B467" s="42" t="s">
        <v>1627</v>
      </c>
      <c r="C467" s="43" t="s">
        <v>1628</v>
      </c>
      <c r="D467" s="44" t="s">
        <v>105</v>
      </c>
      <c r="E467" s="45" t="s">
        <v>29</v>
      </c>
      <c r="F467" s="44" t="s">
        <v>1629</v>
      </c>
      <c r="G467" s="44" t="str">
        <f t="shared" si="1"/>
        <v>Breno</v>
      </c>
      <c r="H467" s="46" t="s">
        <v>107</v>
      </c>
      <c r="I467" s="46" t="s">
        <v>24</v>
      </c>
      <c r="J467" s="44" t="str">
        <f t="shared" si="7"/>
        <v>Sim</v>
      </c>
      <c r="K467" s="47">
        <v>44973.0</v>
      </c>
      <c r="L467" s="45"/>
      <c r="M467" s="24" t="s">
        <v>723</v>
      </c>
      <c r="N467" s="48">
        <v>0.012</v>
      </c>
      <c r="O467" s="44" t="s">
        <v>24</v>
      </c>
      <c r="P467" s="49">
        <v>0.0</v>
      </c>
      <c r="Q467" s="60" t="s">
        <v>1630</v>
      </c>
      <c r="R467" s="50"/>
      <c r="S467" s="45" t="s">
        <v>108</v>
      </c>
      <c r="T467" s="24" t="s">
        <v>1631</v>
      </c>
      <c r="U467" s="9" t="s">
        <v>29</v>
      </c>
      <c r="V467" s="51" t="str">
        <f t="shared" si="3"/>
        <v>Ativo</v>
      </c>
      <c r="W467" s="45"/>
      <c r="X467" s="52" t="s">
        <v>110</v>
      </c>
      <c r="Y467" s="54"/>
      <c r="Z467" s="54"/>
      <c r="AA467" s="54"/>
      <c r="AB467" s="54"/>
      <c r="AC467" s="54">
        <v>0.0</v>
      </c>
      <c r="AD467" s="54">
        <v>0.0</v>
      </c>
      <c r="AE467" s="54">
        <v>0.0</v>
      </c>
      <c r="AF467" s="54">
        <v>347988.69</v>
      </c>
      <c r="AG467" s="54">
        <v>357710.52</v>
      </c>
      <c r="AH467" s="54">
        <v>364672.27</v>
      </c>
      <c r="AI467" s="54">
        <v>370568.08</v>
      </c>
      <c r="AJ467" s="54">
        <v>374390.39</v>
      </c>
      <c r="AK467" s="54">
        <v>376886.21</v>
      </c>
      <c r="AL467" s="54">
        <v>376422.29</v>
      </c>
      <c r="AM467" s="54">
        <v>380757.32</v>
      </c>
      <c r="AN467" s="54">
        <v>386224.65</v>
      </c>
      <c r="AO467" s="54">
        <v>388515.52</v>
      </c>
      <c r="AP467" s="53">
        <v>393413.58</v>
      </c>
      <c r="AQ467" s="53">
        <v>396652.54</v>
      </c>
      <c r="AR467" s="53">
        <v>396242.02</v>
      </c>
      <c r="AS467" s="53">
        <v>397246.1</v>
      </c>
      <c r="AT467" s="53">
        <v>397970.7</v>
      </c>
      <c r="AU467" s="53">
        <f t="array" ref="AU467">XLOOKUP(C467,'PL TOTAL D0'!A:A,'PL TOTAL D0'!C:C,"")</f>
        <v>400614</v>
      </c>
    </row>
    <row r="468" ht="15.75" customHeight="1">
      <c r="A468" s="41" t="s">
        <v>43</v>
      </c>
      <c r="B468" s="42" t="s">
        <v>1632</v>
      </c>
      <c r="C468" s="43" t="s">
        <v>1633</v>
      </c>
      <c r="D468" s="9" t="s">
        <v>70</v>
      </c>
      <c r="E468" s="24" t="s">
        <v>29</v>
      </c>
      <c r="F468" s="9" t="s">
        <v>71</v>
      </c>
      <c r="G468" s="44" t="str">
        <f t="shared" si="1"/>
        <v>Augusto</v>
      </c>
      <c r="H468" s="51" t="s">
        <v>107</v>
      </c>
      <c r="I468" s="51" t="s">
        <v>24</v>
      </c>
      <c r="J468" s="44" t="str">
        <f t="shared" si="7"/>
        <v>Não</v>
      </c>
      <c r="K468" s="57">
        <v>45449.0</v>
      </c>
      <c r="L468" s="45"/>
      <c r="M468" s="24" t="s">
        <v>79</v>
      </c>
      <c r="N468" s="58">
        <v>0.012</v>
      </c>
      <c r="O468" s="9" t="s">
        <v>48</v>
      </c>
      <c r="P468" s="59">
        <v>0.1</v>
      </c>
      <c r="Q468" s="60"/>
      <c r="R468" s="50"/>
      <c r="S468" s="24" t="s">
        <v>108</v>
      </c>
      <c r="T468" s="24" t="s">
        <v>1634</v>
      </c>
      <c r="U468" s="9" t="s">
        <v>29</v>
      </c>
      <c r="V468" s="51" t="str">
        <f t="shared" si="3"/>
        <v>Ativo</v>
      </c>
      <c r="W468" s="24" t="s">
        <v>75</v>
      </c>
      <c r="X468" s="52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3"/>
      <c r="AQ468" s="53"/>
      <c r="AR468" s="53"/>
      <c r="AS468" s="53"/>
      <c r="AT468" s="53">
        <v>389887.7</v>
      </c>
      <c r="AU468" s="53">
        <f t="array" ref="AU468">XLOOKUP(C468,'PL TOTAL D0'!A:A,'PL TOTAL D0'!C:C,"")</f>
        <v>392167.2</v>
      </c>
    </row>
    <row r="469" ht="15.75" customHeight="1">
      <c r="A469" s="6" t="s">
        <v>43</v>
      </c>
      <c r="B469" s="55" t="s">
        <v>1635</v>
      </c>
      <c r="C469" s="7" t="s">
        <v>1636</v>
      </c>
      <c r="D469" s="9" t="s">
        <v>18</v>
      </c>
      <c r="E469" s="24" t="s">
        <v>29</v>
      </c>
      <c r="F469" s="9" t="s">
        <v>168</v>
      </c>
      <c r="G469" s="44" t="str">
        <f t="shared" si="1"/>
        <v>Breno</v>
      </c>
      <c r="H469" s="51" t="s">
        <v>107</v>
      </c>
      <c r="I469" s="51" t="s">
        <v>24</v>
      </c>
      <c r="J469" s="44" t="str">
        <f t="shared" si="7"/>
        <v>Não</v>
      </c>
      <c r="K469" s="57">
        <v>45359.0</v>
      </c>
      <c r="L469" s="62"/>
      <c r="M469" s="24" t="s">
        <v>55</v>
      </c>
      <c r="N469" s="58">
        <v>0.012</v>
      </c>
      <c r="O469" s="9" t="s">
        <v>24</v>
      </c>
      <c r="P469" s="59">
        <v>0.0</v>
      </c>
      <c r="Q469" s="60"/>
      <c r="R469" s="60" t="s">
        <v>1637</v>
      </c>
      <c r="S469" s="24" t="s">
        <v>108</v>
      </c>
      <c r="T469" s="5" t="s">
        <v>1638</v>
      </c>
      <c r="U469" s="9" t="s">
        <v>29</v>
      </c>
      <c r="V469" s="51" t="str">
        <f t="shared" si="3"/>
        <v>Ativo</v>
      </c>
      <c r="W469" s="45"/>
      <c r="X469" s="52" t="s">
        <v>119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3"/>
      <c r="AQ469" s="53">
        <v>350725.59</v>
      </c>
      <c r="AR469" s="53">
        <v>351793.23</v>
      </c>
      <c r="AS469" s="53">
        <v>354369.2</v>
      </c>
      <c r="AT469" s="53">
        <v>424859.3</v>
      </c>
      <c r="AU469" s="53">
        <f t="array" ref="AU469">XLOOKUP(C469,'PL TOTAL D0'!A:A,'PL TOTAL D0'!C:C,"")</f>
        <v>426240.8</v>
      </c>
    </row>
    <row r="470" ht="15.75" customHeight="1">
      <c r="A470" s="41" t="s">
        <v>43</v>
      </c>
      <c r="B470" s="42" t="s">
        <v>1639</v>
      </c>
      <c r="C470" s="43" t="s">
        <v>1640</v>
      </c>
      <c r="D470" s="44" t="s">
        <v>18</v>
      </c>
      <c r="E470" s="45" t="s">
        <v>19</v>
      </c>
      <c r="F470" s="44" t="s">
        <v>20</v>
      </c>
      <c r="G470" s="44" t="str">
        <f t="shared" si="1"/>
        <v>Augusto</v>
      </c>
      <c r="H470" s="46" t="s">
        <v>107</v>
      </c>
      <c r="I470" s="46" t="s">
        <v>24</v>
      </c>
      <c r="J470" s="44" t="str">
        <f t="shared" si="7"/>
        <v>Não</v>
      </c>
      <c r="K470" s="47">
        <v>45034.0</v>
      </c>
      <c r="L470" s="45"/>
      <c r="M470" s="45" t="s">
        <v>55</v>
      </c>
      <c r="N470" s="48">
        <v>0.012</v>
      </c>
      <c r="O470" s="44" t="s">
        <v>24</v>
      </c>
      <c r="P470" s="49">
        <v>0.0</v>
      </c>
      <c r="Q470" s="50"/>
      <c r="R470" s="50"/>
      <c r="S470" s="45" t="s">
        <v>108</v>
      </c>
      <c r="T470" s="24" t="s">
        <v>1641</v>
      </c>
      <c r="U470" s="9" t="s">
        <v>29</v>
      </c>
      <c r="V470" s="51" t="str">
        <f t="shared" si="3"/>
        <v>Ativo</v>
      </c>
      <c r="W470" s="45"/>
      <c r="X470" s="52" t="s">
        <v>119</v>
      </c>
      <c r="Y470" s="54"/>
      <c r="Z470" s="54"/>
      <c r="AA470" s="54"/>
      <c r="AB470" s="54"/>
      <c r="AC470" s="54"/>
      <c r="AD470" s="54"/>
      <c r="AE470" s="54">
        <v>0.0</v>
      </c>
      <c r="AF470" s="54">
        <v>114482.14</v>
      </c>
      <c r="AG470" s="54">
        <v>116324.12</v>
      </c>
      <c r="AH470" s="54">
        <v>117665.37</v>
      </c>
      <c r="AI470" s="54">
        <v>158063.24</v>
      </c>
      <c r="AJ470" s="54">
        <v>158805.14</v>
      </c>
      <c r="AK470" s="54">
        <v>159033.28</v>
      </c>
      <c r="AL470" s="54">
        <v>160346.51</v>
      </c>
      <c r="AM470" s="54">
        <v>162382.9</v>
      </c>
      <c r="AN470" s="54">
        <v>163655.53</v>
      </c>
      <c r="AO470" s="54">
        <v>164859.7</v>
      </c>
      <c r="AP470" s="53">
        <v>166549.19</v>
      </c>
      <c r="AQ470" s="53">
        <v>167903.82</v>
      </c>
      <c r="AR470" s="53">
        <v>167832.6</v>
      </c>
      <c r="AS470" s="53">
        <v>170532.3</v>
      </c>
      <c r="AT470" s="53">
        <v>120218.6</v>
      </c>
      <c r="AU470" s="53">
        <f t="array" ref="AU470">XLOOKUP(C470,'PL TOTAL D0'!A:A,'PL TOTAL D0'!C:C,"")</f>
        <v>121114</v>
      </c>
    </row>
    <row r="471" ht="15.75" customHeight="1">
      <c r="A471" s="41" t="s">
        <v>43</v>
      </c>
      <c r="B471" s="42" t="s">
        <v>1642</v>
      </c>
      <c r="C471" s="43" t="s">
        <v>1643</v>
      </c>
      <c r="D471" s="44" t="s">
        <v>18</v>
      </c>
      <c r="E471" s="45" t="s">
        <v>176</v>
      </c>
      <c r="F471" s="44" t="s">
        <v>197</v>
      </c>
      <c r="G471" s="44" t="str">
        <f t="shared" si="1"/>
        <v>Breno</v>
      </c>
      <c r="H471" s="46" t="s">
        <v>107</v>
      </c>
      <c r="I471" s="46" t="s">
        <v>24</v>
      </c>
      <c r="J471" s="44" t="str">
        <f t="shared" si="7"/>
        <v>Sim</v>
      </c>
      <c r="K471" s="47">
        <v>45070.0</v>
      </c>
      <c r="L471" s="62"/>
      <c r="M471" s="45" t="s">
        <v>780</v>
      </c>
      <c r="N471" s="48">
        <v>0.02</v>
      </c>
      <c r="O471" s="44" t="s">
        <v>191</v>
      </c>
      <c r="P471" s="49">
        <v>0.2</v>
      </c>
      <c r="Q471" s="60" t="s">
        <v>1644</v>
      </c>
      <c r="R471" s="50"/>
      <c r="S471" s="45" t="s">
        <v>108</v>
      </c>
      <c r="T471" s="24" t="s">
        <v>1645</v>
      </c>
      <c r="U471" s="9" t="s">
        <v>180</v>
      </c>
      <c r="V471" s="51" t="str">
        <f t="shared" si="3"/>
        <v>Ativo</v>
      </c>
      <c r="W471" s="45"/>
      <c r="X471" s="52" t="s">
        <v>110</v>
      </c>
      <c r="Y471" s="54"/>
      <c r="Z471" s="54"/>
      <c r="AA471" s="54"/>
      <c r="AB471" s="54"/>
      <c r="AC471" s="54"/>
      <c r="AD471" s="54"/>
      <c r="AE471" s="54"/>
      <c r="AF471" s="54">
        <v>0.0</v>
      </c>
      <c r="AG471" s="54">
        <v>0.0</v>
      </c>
      <c r="AH471" s="54">
        <v>481579.68</v>
      </c>
      <c r="AI471" s="54">
        <v>479112.38</v>
      </c>
      <c r="AJ471" s="54">
        <v>482826.85</v>
      </c>
      <c r="AK471" s="54">
        <v>494486.85</v>
      </c>
      <c r="AL471" s="54">
        <v>491878.69</v>
      </c>
      <c r="AM471" s="54">
        <v>533565.37</v>
      </c>
      <c r="AN471" s="54">
        <v>585023.88</v>
      </c>
      <c r="AO471" s="54">
        <v>573373.79</v>
      </c>
      <c r="AP471" s="53">
        <v>575238.78</v>
      </c>
      <c r="AQ471" s="53">
        <v>574607.37</v>
      </c>
      <c r="AR471" s="53">
        <v>559333.6</v>
      </c>
      <c r="AS471" s="53">
        <v>560456.7</v>
      </c>
      <c r="AT471" s="53">
        <v>566993.1</v>
      </c>
      <c r="AU471" s="53">
        <f t="array" ref="AU471">XLOOKUP(C471,'PL TOTAL D0'!A:A,'PL TOTAL D0'!C:C,"")</f>
        <v>593933.6</v>
      </c>
    </row>
    <row r="472" ht="15.75" customHeight="1">
      <c r="A472" s="41" t="s">
        <v>43</v>
      </c>
      <c r="B472" s="66" t="s">
        <v>1646</v>
      </c>
      <c r="C472" s="218" t="s">
        <v>1647</v>
      </c>
      <c r="D472" s="44" t="s">
        <v>18</v>
      </c>
      <c r="E472" s="45" t="s">
        <v>176</v>
      </c>
      <c r="F472" s="44" t="s">
        <v>197</v>
      </c>
      <c r="G472" s="44" t="str">
        <f t="shared" si="1"/>
        <v>#N/A</v>
      </c>
      <c r="H472" s="51" t="s">
        <v>147</v>
      </c>
      <c r="I472" s="51" t="s">
        <v>219</v>
      </c>
      <c r="J472" s="44" t="str">
        <f t="shared" si="7"/>
        <v>Não</v>
      </c>
      <c r="K472" s="47">
        <v>45209.0</v>
      </c>
      <c r="L472" s="45"/>
      <c r="M472" s="45" t="s">
        <v>55</v>
      </c>
      <c r="N472" s="48">
        <v>0.012</v>
      </c>
      <c r="O472" s="44" t="s">
        <v>24</v>
      </c>
      <c r="P472" s="49">
        <v>0.0</v>
      </c>
      <c r="Q472" s="60"/>
      <c r="R472" s="139"/>
      <c r="S472" s="45" t="s">
        <v>108</v>
      </c>
      <c r="T472" s="24" t="s">
        <v>1648</v>
      </c>
      <c r="U472" s="9" t="s">
        <v>180</v>
      </c>
      <c r="V472" s="51" t="str">
        <f t="shared" si="3"/>
        <v>Ativo</v>
      </c>
      <c r="W472" s="45"/>
      <c r="X472" s="52" t="s">
        <v>110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>
        <v>0.0</v>
      </c>
      <c r="AL472" s="54">
        <v>0.0</v>
      </c>
      <c r="AM472" s="54">
        <v>0.0</v>
      </c>
      <c r="AN472" s="54">
        <v>0.0</v>
      </c>
      <c r="AO472" s="54">
        <v>0.0</v>
      </c>
      <c r="AP472" s="53">
        <v>0.0</v>
      </c>
      <c r="AQ472" s="53">
        <v>0.0</v>
      </c>
      <c r="AR472" s="53">
        <v>0.0</v>
      </c>
      <c r="AS472" s="53">
        <v>0.0</v>
      </c>
      <c r="AT472" s="53">
        <v>0.0</v>
      </c>
      <c r="AU472" s="53" t="str">
        <f t="array" ref="AU472">XLOOKUP(C472,'PL TOTAL D0'!A:A,'PL TOTAL D0'!C:C,"")</f>
        <v/>
      </c>
    </row>
    <row r="473" ht="15.75" customHeight="1">
      <c r="A473" s="41" t="s">
        <v>43</v>
      </c>
      <c r="B473" s="42" t="s">
        <v>1649</v>
      </c>
      <c r="C473" s="43" t="s">
        <v>1650</v>
      </c>
      <c r="D473" s="44" t="s">
        <v>18</v>
      </c>
      <c r="E473" s="45" t="s">
        <v>29</v>
      </c>
      <c r="F473" s="44" t="s">
        <v>294</v>
      </c>
      <c r="G473" s="44" t="str">
        <f t="shared" si="1"/>
        <v>Augusto</v>
      </c>
      <c r="H473" s="51" t="s">
        <v>147</v>
      </c>
      <c r="I473" s="51" t="s">
        <v>219</v>
      </c>
      <c r="J473" s="44" t="str">
        <f t="shared" si="7"/>
        <v>Não</v>
      </c>
      <c r="K473" s="47">
        <v>44911.0</v>
      </c>
      <c r="L473" s="45"/>
      <c r="M473" s="45" t="s">
        <v>190</v>
      </c>
      <c r="N473" s="48">
        <v>0.025</v>
      </c>
      <c r="O473" s="44" t="s">
        <v>191</v>
      </c>
      <c r="P473" s="49">
        <v>0.2</v>
      </c>
      <c r="Q473" s="63"/>
      <c r="R473" s="60" t="s">
        <v>1651</v>
      </c>
      <c r="S473" s="45" t="s">
        <v>108</v>
      </c>
      <c r="T473" s="24" t="s">
        <v>1652</v>
      </c>
      <c r="U473" s="9" t="s">
        <v>29</v>
      </c>
      <c r="V473" s="51" t="str">
        <f t="shared" si="3"/>
        <v>Ativo</v>
      </c>
      <c r="W473" s="45"/>
      <c r="X473" s="52" t="s">
        <v>119</v>
      </c>
      <c r="Y473" s="54"/>
      <c r="Z473" s="54"/>
      <c r="AA473" s="54"/>
      <c r="AB473" s="54">
        <v>14721.08</v>
      </c>
      <c r="AC473" s="54">
        <v>14932.95</v>
      </c>
      <c r="AD473" s="54">
        <v>15016.78</v>
      </c>
      <c r="AE473" s="54">
        <v>15092.34</v>
      </c>
      <c r="AF473" s="54">
        <v>15185.7</v>
      </c>
      <c r="AG473" s="54">
        <v>5316.89</v>
      </c>
      <c r="AH473" s="54">
        <v>5698.8</v>
      </c>
      <c r="AI473" s="54">
        <v>5852.36</v>
      </c>
      <c r="AJ473" s="54">
        <v>5390.36</v>
      </c>
      <c r="AK473" s="54">
        <v>5272.2</v>
      </c>
      <c r="AL473" s="54">
        <v>5006.41</v>
      </c>
      <c r="AM473" s="54">
        <v>5366.84</v>
      </c>
      <c r="AN473" s="54">
        <v>5643.12</v>
      </c>
      <c r="AO473" s="54">
        <v>35.34</v>
      </c>
      <c r="AP473" s="53">
        <v>35.29</v>
      </c>
      <c r="AQ473" s="53">
        <v>35.29</v>
      </c>
      <c r="AR473" s="53">
        <v>35.29</v>
      </c>
      <c r="AS473" s="53">
        <v>35.29</v>
      </c>
      <c r="AT473" s="53">
        <v>35.29</v>
      </c>
      <c r="AU473" s="53">
        <f t="array" ref="AU473">XLOOKUP(C473,'PL TOTAL D0'!A:A,'PL TOTAL D0'!C:C,"")</f>
        <v>35.29</v>
      </c>
    </row>
    <row r="474" ht="15.75" customHeight="1">
      <c r="A474" s="41" t="s">
        <v>43</v>
      </c>
      <c r="B474" s="42" t="s">
        <v>1649</v>
      </c>
      <c r="C474" s="43" t="s">
        <v>1653</v>
      </c>
      <c r="D474" s="44" t="s">
        <v>18</v>
      </c>
      <c r="E474" s="45" t="s">
        <v>29</v>
      </c>
      <c r="F474" s="44" t="s">
        <v>294</v>
      </c>
      <c r="G474" s="44" t="str">
        <f t="shared" si="1"/>
        <v>Augusto</v>
      </c>
      <c r="H474" s="51" t="s">
        <v>107</v>
      </c>
      <c r="I474" s="46" t="s">
        <v>24</v>
      </c>
      <c r="J474" s="44" t="str">
        <f t="shared" si="7"/>
        <v>Não</v>
      </c>
      <c r="K474" s="47">
        <v>44893.0</v>
      </c>
      <c r="L474" s="45"/>
      <c r="M474" s="24" t="s">
        <v>47</v>
      </c>
      <c r="N474" s="58">
        <v>0.015</v>
      </c>
      <c r="O474" s="9" t="s">
        <v>48</v>
      </c>
      <c r="P474" s="59">
        <v>0.1</v>
      </c>
      <c r="Q474" s="60"/>
      <c r="R474" s="50"/>
      <c r="S474" s="45" t="s">
        <v>108</v>
      </c>
      <c r="T474" s="24" t="s">
        <v>1652</v>
      </c>
      <c r="U474" s="9" t="s">
        <v>29</v>
      </c>
      <c r="V474" s="51" t="str">
        <f t="shared" si="3"/>
        <v>Ativo</v>
      </c>
      <c r="W474" s="45"/>
      <c r="X474" s="52" t="s">
        <v>119</v>
      </c>
      <c r="Y474" s="54"/>
      <c r="Z474" s="54"/>
      <c r="AA474" s="54"/>
      <c r="AB474" s="54">
        <v>64596.85</v>
      </c>
      <c r="AC474" s="54">
        <v>65271.12</v>
      </c>
      <c r="AD474" s="54">
        <v>65927.09</v>
      </c>
      <c r="AE474" s="54">
        <v>66639.29</v>
      </c>
      <c r="AF474" s="54">
        <v>67134.96</v>
      </c>
      <c r="AG474" s="54">
        <v>67680.42</v>
      </c>
      <c r="AH474" s="54">
        <v>68277.54</v>
      </c>
      <c r="AI474" s="54">
        <v>68884.14</v>
      </c>
      <c r="AJ474" s="54">
        <v>79671.28</v>
      </c>
      <c r="AK474" s="54">
        <v>80142.49</v>
      </c>
      <c r="AL474" s="54">
        <v>80771.11</v>
      </c>
      <c r="AM474" s="54">
        <v>76230.72</v>
      </c>
      <c r="AN474" s="54">
        <v>76436.55</v>
      </c>
      <c r="AO474" s="54">
        <v>77264.27</v>
      </c>
      <c r="AP474" s="53">
        <v>77705.23</v>
      </c>
      <c r="AQ474" s="53">
        <v>98754.33</v>
      </c>
      <c r="AR474" s="53">
        <v>101220.8</v>
      </c>
      <c r="AS474" s="53">
        <v>115801.3</v>
      </c>
      <c r="AT474" s="53">
        <v>113405.7</v>
      </c>
      <c r="AU474" s="53">
        <f t="array" ref="AU474">XLOOKUP(C474,'PL TOTAL D0'!A:A,'PL TOTAL D0'!C:C,"")</f>
        <v>130204.4</v>
      </c>
    </row>
    <row r="475" ht="15.75" customHeight="1">
      <c r="A475" s="41" t="s">
        <v>43</v>
      </c>
      <c r="B475" s="66" t="s">
        <v>1654</v>
      </c>
      <c r="C475" s="219" t="s">
        <v>1655</v>
      </c>
      <c r="D475" s="44" t="s">
        <v>18</v>
      </c>
      <c r="E475" s="45" t="s">
        <v>29</v>
      </c>
      <c r="F475" s="44" t="s">
        <v>704</v>
      </c>
      <c r="G475" s="44" t="str">
        <f t="shared" si="1"/>
        <v>Breno</v>
      </c>
      <c r="H475" s="51" t="s">
        <v>107</v>
      </c>
      <c r="I475" s="51" t="s">
        <v>24</v>
      </c>
      <c r="J475" s="44" t="str">
        <f t="shared" si="7"/>
        <v>Não</v>
      </c>
      <c r="K475" s="47">
        <v>45180.0</v>
      </c>
      <c r="L475" s="45"/>
      <c r="M475" s="45" t="s">
        <v>190</v>
      </c>
      <c r="N475" s="48">
        <v>0.015</v>
      </c>
      <c r="O475" s="44" t="s">
        <v>24</v>
      </c>
      <c r="P475" s="49">
        <v>0.0</v>
      </c>
      <c r="Q475" s="50"/>
      <c r="R475" s="139"/>
      <c r="S475" s="45" t="s">
        <v>108</v>
      </c>
      <c r="T475" s="24" t="s">
        <v>1656</v>
      </c>
      <c r="U475" s="9" t="s">
        <v>29</v>
      </c>
      <c r="V475" s="51" t="str">
        <f t="shared" si="3"/>
        <v>Ativo</v>
      </c>
      <c r="W475" s="45"/>
      <c r="X475" s="52" t="s">
        <v>119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>
        <v>0.0</v>
      </c>
      <c r="AK475" s="54">
        <v>0.0</v>
      </c>
      <c r="AL475" s="54">
        <v>0.0</v>
      </c>
      <c r="AM475" s="54">
        <v>0.0</v>
      </c>
      <c r="AN475" s="54">
        <v>0.0</v>
      </c>
      <c r="AO475" s="54">
        <v>0.0</v>
      </c>
      <c r="AP475" s="53">
        <v>4216123.96</v>
      </c>
      <c r="AQ475" s="53">
        <v>4295934.78</v>
      </c>
      <c r="AR475" s="53">
        <v>2815971.09</v>
      </c>
      <c r="AS475" s="53">
        <v>1780224.0</v>
      </c>
      <c r="AT475" s="53">
        <v>1162155.0</v>
      </c>
      <c r="AU475" s="53">
        <f t="array" ref="AU475">XLOOKUP(C475,'PL TOTAL D0'!A:A,'PL TOTAL D0'!C:C,"")</f>
        <v>593301.3</v>
      </c>
    </row>
    <row r="476" ht="15.75" customHeight="1">
      <c r="A476" s="41" t="s">
        <v>43</v>
      </c>
      <c r="B476" s="66" t="s">
        <v>1654</v>
      </c>
      <c r="C476" s="219" t="s">
        <v>1657</v>
      </c>
      <c r="D476" s="44" t="s">
        <v>18</v>
      </c>
      <c r="E476" s="45" t="s">
        <v>29</v>
      </c>
      <c r="F476" s="44" t="s">
        <v>704</v>
      </c>
      <c r="G476" s="44" t="str">
        <f t="shared" si="1"/>
        <v>Bruno</v>
      </c>
      <c r="H476" s="51" t="s">
        <v>107</v>
      </c>
      <c r="I476" s="51" t="s">
        <v>24</v>
      </c>
      <c r="J476" s="44" t="str">
        <f t="shared" si="7"/>
        <v>Não</v>
      </c>
      <c r="K476" s="47">
        <v>45177.0</v>
      </c>
      <c r="L476" s="45"/>
      <c r="M476" s="45" t="s">
        <v>55</v>
      </c>
      <c r="N476" s="48">
        <v>0.007</v>
      </c>
      <c r="O476" s="44" t="s">
        <v>24</v>
      </c>
      <c r="P476" s="49">
        <v>0.0</v>
      </c>
      <c r="Q476" s="50"/>
      <c r="R476" s="139"/>
      <c r="S476" s="45" t="s">
        <v>108</v>
      </c>
      <c r="T476" s="24" t="s">
        <v>1656</v>
      </c>
      <c r="U476" s="9" t="s">
        <v>29</v>
      </c>
      <c r="V476" s="51" t="str">
        <f t="shared" si="3"/>
        <v>Ativo</v>
      </c>
      <c r="W476" s="45"/>
      <c r="X476" s="52" t="s">
        <v>119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>
        <v>0.0</v>
      </c>
      <c r="AK476" s="54">
        <v>0.0</v>
      </c>
      <c r="AL476" s="54">
        <v>0.0</v>
      </c>
      <c r="AM476" s="54">
        <v>0.0</v>
      </c>
      <c r="AN476" s="54">
        <v>0.0</v>
      </c>
      <c r="AO476" s="54">
        <v>0.0</v>
      </c>
      <c r="AP476" s="53">
        <v>827196.2</v>
      </c>
      <c r="AQ476" s="53">
        <v>829370.48</v>
      </c>
      <c r="AR476" s="53">
        <v>2180207.6</v>
      </c>
      <c r="AS476" s="53">
        <v>2377484.0</v>
      </c>
      <c r="AT476" s="53">
        <v>2717400.0</v>
      </c>
      <c r="AU476" s="53">
        <f t="array" ref="AU476">XLOOKUP(C476,'PL TOTAL D0'!A:A,'PL TOTAL D0'!C:C,"")</f>
        <v>2728194</v>
      </c>
    </row>
    <row r="477" ht="15.75" customHeight="1">
      <c r="A477" s="41" t="s">
        <v>43</v>
      </c>
      <c r="B477" s="61" t="s">
        <v>1658</v>
      </c>
      <c r="C477" s="43" t="s">
        <v>1659</v>
      </c>
      <c r="D477" s="44" t="s">
        <v>18</v>
      </c>
      <c r="E477" s="45" t="s">
        <v>29</v>
      </c>
      <c r="F477" s="44" t="s">
        <v>168</v>
      </c>
      <c r="G477" s="44" t="str">
        <f t="shared" si="1"/>
        <v>Augusto</v>
      </c>
      <c r="H477" s="46" t="s">
        <v>107</v>
      </c>
      <c r="I477" s="46" t="s">
        <v>24</v>
      </c>
      <c r="J477" s="44" t="str">
        <f t="shared" si="7"/>
        <v>Não</v>
      </c>
      <c r="K477" s="47">
        <v>45042.0</v>
      </c>
      <c r="L477" s="45"/>
      <c r="M477" s="45" t="s">
        <v>190</v>
      </c>
      <c r="N477" s="48">
        <v>0.025</v>
      </c>
      <c r="O477" s="44" t="s">
        <v>191</v>
      </c>
      <c r="P477" s="49">
        <v>0.2</v>
      </c>
      <c r="Q477" s="139"/>
      <c r="R477" s="139"/>
      <c r="S477" s="45" t="s">
        <v>108</v>
      </c>
      <c r="T477" s="24" t="s">
        <v>1660</v>
      </c>
      <c r="U477" s="9" t="s">
        <v>29</v>
      </c>
      <c r="V477" s="51" t="str">
        <f t="shared" si="3"/>
        <v>Ativo</v>
      </c>
      <c r="W477" s="45"/>
      <c r="X477" s="52" t="s">
        <v>119</v>
      </c>
      <c r="Y477" s="54"/>
      <c r="Z477" s="54"/>
      <c r="AA477" s="54"/>
      <c r="AB477" s="54"/>
      <c r="AC477" s="54"/>
      <c r="AD477" s="54"/>
      <c r="AE477" s="54">
        <v>0.0</v>
      </c>
      <c r="AF477" s="54">
        <v>53520.35</v>
      </c>
      <c r="AG477" s="54">
        <v>54661.25</v>
      </c>
      <c r="AH477" s="54">
        <v>58707.84</v>
      </c>
      <c r="AI477" s="54">
        <v>60765.6</v>
      </c>
      <c r="AJ477" s="54">
        <v>58978.07</v>
      </c>
      <c r="AK477" s="54">
        <v>58569.48</v>
      </c>
      <c r="AL477" s="54">
        <v>55998.07</v>
      </c>
      <c r="AM477" s="54">
        <v>60194.16</v>
      </c>
      <c r="AN477" s="54">
        <v>63255.04</v>
      </c>
      <c r="AO477" s="54">
        <v>58666.86</v>
      </c>
      <c r="AP477" s="53">
        <v>160547.06</v>
      </c>
      <c r="AQ477" s="53">
        <v>163478.71</v>
      </c>
      <c r="AR477" s="53">
        <v>157336.19</v>
      </c>
      <c r="AS477" s="53">
        <v>153007.7</v>
      </c>
      <c r="AT477" s="53">
        <v>153242.6</v>
      </c>
      <c r="AU477" s="53">
        <f t="array" ref="AU477">XLOOKUP(C477,'PL TOTAL D0'!A:A,'PL TOTAL D0'!C:C,"")</f>
        <v>160009.4</v>
      </c>
    </row>
    <row r="478" ht="15.75" customHeight="1">
      <c r="A478" s="41" t="s">
        <v>43</v>
      </c>
      <c r="B478" s="42" t="s">
        <v>1658</v>
      </c>
      <c r="C478" s="43" t="s">
        <v>1661</v>
      </c>
      <c r="D478" s="44" t="s">
        <v>18</v>
      </c>
      <c r="E478" s="45" t="s">
        <v>29</v>
      </c>
      <c r="F478" s="44" t="s">
        <v>168</v>
      </c>
      <c r="G478" s="44" t="str">
        <f t="shared" si="1"/>
        <v>Bruno</v>
      </c>
      <c r="H478" s="46" t="s">
        <v>107</v>
      </c>
      <c r="I478" s="46" t="s">
        <v>24</v>
      </c>
      <c r="J478" s="44" t="str">
        <f t="shared" si="7"/>
        <v>Não</v>
      </c>
      <c r="K478" s="47">
        <v>45006.0</v>
      </c>
      <c r="L478" s="45"/>
      <c r="M478" s="45" t="s">
        <v>55</v>
      </c>
      <c r="N478" s="48">
        <v>0.012</v>
      </c>
      <c r="O478" s="44" t="s">
        <v>24</v>
      </c>
      <c r="P478" s="49">
        <v>0.0</v>
      </c>
      <c r="Q478" s="139"/>
      <c r="R478" s="139"/>
      <c r="S478" s="45" t="s">
        <v>108</v>
      </c>
      <c r="T478" s="24" t="s">
        <v>1660</v>
      </c>
      <c r="U478" s="9" t="s">
        <v>29</v>
      </c>
      <c r="V478" s="51" t="str">
        <f t="shared" si="3"/>
        <v>Ativo</v>
      </c>
      <c r="W478" s="45"/>
      <c r="X478" s="52" t="s">
        <v>119</v>
      </c>
      <c r="Y478" s="54"/>
      <c r="Z478" s="54"/>
      <c r="AA478" s="54"/>
      <c r="AB478" s="54"/>
      <c r="AC478" s="54"/>
      <c r="AD478" s="54"/>
      <c r="AE478" s="54">
        <v>711474.6</v>
      </c>
      <c r="AF478" s="54">
        <v>664128.98</v>
      </c>
      <c r="AG478" s="54">
        <v>671497.32</v>
      </c>
      <c r="AH478" s="54">
        <v>675072.26</v>
      </c>
      <c r="AI478" s="54">
        <v>680203.78</v>
      </c>
      <c r="AJ478" s="54">
        <v>684676.14</v>
      </c>
      <c r="AK478" s="54">
        <v>686452.52</v>
      </c>
      <c r="AL478" s="54">
        <v>690160.78</v>
      </c>
      <c r="AM478" s="54">
        <v>697458.11</v>
      </c>
      <c r="AN478" s="54">
        <v>704478.61</v>
      </c>
      <c r="AO478" s="54">
        <v>705505.43</v>
      </c>
      <c r="AP478" s="53">
        <v>1111761.26</v>
      </c>
      <c r="AQ478" s="53">
        <v>1120231.44</v>
      </c>
      <c r="AR478" s="53">
        <v>1127213.29</v>
      </c>
      <c r="AS478" s="53">
        <v>1134918.0</v>
      </c>
      <c r="AT478" s="53">
        <v>1140503.0</v>
      </c>
      <c r="AU478" s="53">
        <f t="array" ref="AU478">XLOOKUP(C478,'PL TOTAL D0'!A:A,'PL TOTAL D0'!C:C,"")</f>
        <v>1144400</v>
      </c>
    </row>
    <row r="479" ht="15.75" customHeight="1">
      <c r="A479" s="41" t="s">
        <v>43</v>
      </c>
      <c r="B479" s="42" t="s">
        <v>1662</v>
      </c>
      <c r="C479" s="43" t="s">
        <v>1663</v>
      </c>
      <c r="D479" s="44" t="s">
        <v>105</v>
      </c>
      <c r="E479" s="45" t="s">
        <v>29</v>
      </c>
      <c r="F479" s="44" t="s">
        <v>106</v>
      </c>
      <c r="G479" s="44" t="str">
        <f t="shared" si="1"/>
        <v>Breno</v>
      </c>
      <c r="H479" s="46" t="s">
        <v>107</v>
      </c>
      <c r="I479" s="46" t="s">
        <v>24</v>
      </c>
      <c r="J479" s="44" t="str">
        <f t="shared" si="7"/>
        <v>Não</v>
      </c>
      <c r="K479" s="47">
        <v>45104.0</v>
      </c>
      <c r="L479" s="62"/>
      <c r="M479" s="45" t="s">
        <v>1378</v>
      </c>
      <c r="N479" s="48">
        <v>0.012</v>
      </c>
      <c r="O479" s="44" t="s">
        <v>48</v>
      </c>
      <c r="P479" s="49">
        <v>0.1</v>
      </c>
      <c r="Q479" s="50"/>
      <c r="R479" s="50"/>
      <c r="S479" s="45" t="s">
        <v>108</v>
      </c>
      <c r="T479" s="24" t="s">
        <v>1664</v>
      </c>
      <c r="U479" s="9" t="s">
        <v>791</v>
      </c>
      <c r="V479" s="51" t="str">
        <f t="shared" si="3"/>
        <v>Ativo</v>
      </c>
      <c r="W479" s="45"/>
      <c r="X479" s="52" t="s">
        <v>119</v>
      </c>
      <c r="Y479" s="54"/>
      <c r="Z479" s="54"/>
      <c r="AA479" s="54"/>
      <c r="AB479" s="54"/>
      <c r="AC479" s="54"/>
      <c r="AD479" s="54"/>
      <c r="AE479" s="54"/>
      <c r="AF479" s="54"/>
      <c r="AG479" s="54"/>
      <c r="AH479" s="54">
        <v>155770.65</v>
      </c>
      <c r="AI479" s="54">
        <v>286860.28</v>
      </c>
      <c r="AJ479" s="54">
        <v>406228.53</v>
      </c>
      <c r="AK479" s="54">
        <v>408929.28</v>
      </c>
      <c r="AL479" s="54">
        <v>410236.8</v>
      </c>
      <c r="AM479" s="54">
        <v>415850.21</v>
      </c>
      <c r="AN479" s="54">
        <v>420654.55</v>
      </c>
      <c r="AO479" s="54">
        <v>421571.79</v>
      </c>
      <c r="AP479" s="53">
        <v>424971.39</v>
      </c>
      <c r="AQ479" s="53">
        <v>428542.58</v>
      </c>
      <c r="AR479" s="53">
        <v>428300.89</v>
      </c>
      <c r="AS479" s="53">
        <v>472427.2</v>
      </c>
      <c r="AT479" s="53">
        <v>483335.0</v>
      </c>
      <c r="AU479" s="53">
        <f t="array" ref="AU479">XLOOKUP(C479,'PL TOTAL D0'!A:A,'PL TOTAL D0'!C:C,"")</f>
        <v>487421.5</v>
      </c>
    </row>
    <row r="480" ht="15.75" customHeight="1">
      <c r="A480" s="41" t="s">
        <v>43</v>
      </c>
      <c r="B480" s="42" t="s">
        <v>1665</v>
      </c>
      <c r="C480" s="43" t="s">
        <v>1666</v>
      </c>
      <c r="D480" s="44" t="s">
        <v>18</v>
      </c>
      <c r="E480" s="45" t="s">
        <v>176</v>
      </c>
      <c r="F480" s="44" t="s">
        <v>197</v>
      </c>
      <c r="G480" s="44" t="str">
        <f t="shared" si="1"/>
        <v>#N/A</v>
      </c>
      <c r="H480" s="46" t="s">
        <v>147</v>
      </c>
      <c r="I480" s="46" t="s">
        <v>219</v>
      </c>
      <c r="J480" s="44" t="str">
        <f t="shared" si="7"/>
        <v>Não</v>
      </c>
      <c r="K480" s="47">
        <v>45163.0</v>
      </c>
      <c r="L480" s="62"/>
      <c r="M480" s="45" t="s">
        <v>47</v>
      </c>
      <c r="N480" s="48">
        <v>0.015</v>
      </c>
      <c r="O480" s="44" t="s">
        <v>48</v>
      </c>
      <c r="P480" s="49">
        <v>0.1</v>
      </c>
      <c r="Q480" s="139"/>
      <c r="R480" s="50" t="s">
        <v>1667</v>
      </c>
      <c r="S480" s="45" t="s">
        <v>108</v>
      </c>
      <c r="T480" s="24" t="s">
        <v>1668</v>
      </c>
      <c r="U480" s="9" t="s">
        <v>180</v>
      </c>
      <c r="V480" s="51" t="str">
        <f t="shared" si="3"/>
        <v>Ativo</v>
      </c>
      <c r="W480" s="45"/>
      <c r="X480" s="52" t="s">
        <v>110</v>
      </c>
      <c r="Y480" s="54"/>
      <c r="Z480" s="54"/>
      <c r="AA480" s="54"/>
      <c r="AB480" s="54"/>
      <c r="AC480" s="54"/>
      <c r="AD480" s="54"/>
      <c r="AE480" s="54"/>
      <c r="AF480" s="54">
        <v>0.0</v>
      </c>
      <c r="AG480" s="54">
        <v>0.0</v>
      </c>
      <c r="AH480" s="54">
        <v>0.0</v>
      </c>
      <c r="AI480" s="54">
        <v>0.0</v>
      </c>
      <c r="AJ480" s="54">
        <v>0.0</v>
      </c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0.0</v>
      </c>
      <c r="AQ480" s="53">
        <v>0.0</v>
      </c>
      <c r="AR480" s="53">
        <v>0.0</v>
      </c>
      <c r="AS480" s="53">
        <v>0.0</v>
      </c>
      <c r="AT480" s="53">
        <v>0.0</v>
      </c>
      <c r="AU480" s="53" t="str">
        <f t="array" ref="AU480">XLOOKUP(C480,'PL TOTAL D0'!A:A,'PL TOTAL D0'!C:C,"")</f>
        <v/>
      </c>
    </row>
    <row r="481" ht="15.75" customHeight="1">
      <c r="A481" s="41" t="s">
        <v>43</v>
      </c>
      <c r="B481" s="61" t="s">
        <v>1669</v>
      </c>
      <c r="C481" s="43" t="s">
        <v>1670</v>
      </c>
      <c r="D481" s="44" t="s">
        <v>18</v>
      </c>
      <c r="E481" s="45" t="s">
        <v>19</v>
      </c>
      <c r="F481" s="44" t="s">
        <v>256</v>
      </c>
      <c r="G481" s="44" t="str">
        <f t="shared" si="1"/>
        <v>#N/A</v>
      </c>
      <c r="H481" s="51" t="s">
        <v>147</v>
      </c>
      <c r="I481" s="46" t="s">
        <v>219</v>
      </c>
      <c r="J481" s="44" t="str">
        <f t="shared" si="7"/>
        <v>Não</v>
      </c>
      <c r="K481" s="47">
        <v>45163.0</v>
      </c>
      <c r="L481" s="62"/>
      <c r="M481" s="45" t="s">
        <v>269</v>
      </c>
      <c r="N481" s="48">
        <v>0.02</v>
      </c>
      <c r="O481" s="44" t="s">
        <v>48</v>
      </c>
      <c r="P481" s="49">
        <v>0.2</v>
      </c>
      <c r="Q481" s="139"/>
      <c r="R481" s="139"/>
      <c r="S481" s="45" t="s">
        <v>108</v>
      </c>
      <c r="T481" s="24" t="s">
        <v>1671</v>
      </c>
      <c r="U481" s="9" t="s">
        <v>152</v>
      </c>
      <c r="V481" s="51" t="str">
        <f t="shared" si="3"/>
        <v>Ativo</v>
      </c>
      <c r="W481" s="45"/>
      <c r="X481" s="52" t="s">
        <v>119</v>
      </c>
      <c r="Y481" s="54"/>
      <c r="Z481" s="54"/>
      <c r="AA481" s="54"/>
      <c r="AB481" s="54"/>
      <c r="AC481" s="54"/>
      <c r="AD481" s="54"/>
      <c r="AE481" s="54">
        <v>0.0</v>
      </c>
      <c r="AF481" s="54">
        <v>0.0</v>
      </c>
      <c r="AG481" s="54">
        <v>0.0</v>
      </c>
      <c r="AH481" s="54">
        <v>0.0</v>
      </c>
      <c r="AI481" s="54">
        <v>0.0</v>
      </c>
      <c r="AJ481" s="54">
        <v>0.0</v>
      </c>
      <c r="AK481" s="54">
        <v>0.0</v>
      </c>
      <c r="AL481" s="54">
        <v>0.0</v>
      </c>
      <c r="AM481" s="54">
        <v>0.0</v>
      </c>
      <c r="AN481" s="54">
        <v>0.0</v>
      </c>
      <c r="AO481" s="54">
        <v>0.0</v>
      </c>
      <c r="AP481" s="53">
        <v>0.0</v>
      </c>
      <c r="AQ481" s="53">
        <v>0.0</v>
      </c>
      <c r="AR481" s="53">
        <v>0.0</v>
      </c>
      <c r="AS481" s="53">
        <v>0.0</v>
      </c>
      <c r="AT481" s="53">
        <v>0.0</v>
      </c>
      <c r="AU481" s="53" t="str">
        <f t="array" ref="AU481">XLOOKUP(C481,'PL TOTAL D0'!A:A,'PL TOTAL D0'!C:C,"")</f>
        <v/>
      </c>
    </row>
    <row r="482" ht="15.75" customHeight="1">
      <c r="A482" s="41" t="s">
        <v>43</v>
      </c>
      <c r="B482" s="42" t="s">
        <v>1672</v>
      </c>
      <c r="C482" s="43" t="s">
        <v>1673</v>
      </c>
      <c r="D482" s="44" t="s">
        <v>105</v>
      </c>
      <c r="E482" s="45" t="s">
        <v>29</v>
      </c>
      <c r="F482" s="44" t="s">
        <v>106</v>
      </c>
      <c r="G482" s="44" t="str">
        <f t="shared" si="1"/>
        <v>Augusto</v>
      </c>
      <c r="H482" s="46" t="s">
        <v>107</v>
      </c>
      <c r="I482" s="46" t="s">
        <v>24</v>
      </c>
      <c r="J482" s="44" t="str">
        <f t="shared" si="7"/>
        <v>Não</v>
      </c>
      <c r="K482" s="47">
        <v>45142.0</v>
      </c>
      <c r="L482" s="62"/>
      <c r="M482" s="45" t="s">
        <v>79</v>
      </c>
      <c r="N482" s="48">
        <v>0.012</v>
      </c>
      <c r="O482" s="44" t="s">
        <v>48</v>
      </c>
      <c r="P482" s="49">
        <v>0.1</v>
      </c>
      <c r="Q482" s="139"/>
      <c r="R482" s="139"/>
      <c r="S482" s="45" t="s">
        <v>108</v>
      </c>
      <c r="T482" s="24" t="s">
        <v>1674</v>
      </c>
      <c r="U482" s="9" t="s">
        <v>29</v>
      </c>
      <c r="V482" s="51" t="str">
        <f t="shared" si="3"/>
        <v>Ativo</v>
      </c>
      <c r="W482" s="45"/>
      <c r="X482" s="52" t="s">
        <v>119</v>
      </c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>
        <v>113710.95</v>
      </c>
      <c r="AK482" s="54">
        <v>140590.94</v>
      </c>
      <c r="AL482" s="54">
        <v>140857.09</v>
      </c>
      <c r="AM482" s="54">
        <v>143109.31</v>
      </c>
      <c r="AN482" s="54">
        <v>145201.68</v>
      </c>
      <c r="AO482" s="54">
        <v>103439.6</v>
      </c>
      <c r="AP482" s="53">
        <v>104207.06</v>
      </c>
      <c r="AQ482" s="53">
        <v>104868.18</v>
      </c>
      <c r="AR482" s="53">
        <v>104717.38</v>
      </c>
      <c r="AS482" s="53">
        <v>53741.27</v>
      </c>
      <c r="AT482" s="53">
        <v>54026.77</v>
      </c>
      <c r="AU482" s="53">
        <f t="array" ref="AU482">XLOOKUP(C482,'PL TOTAL D0'!A:A,'PL TOTAL D0'!C:C,"")</f>
        <v>54709.84</v>
      </c>
    </row>
    <row r="483" ht="15.75" customHeight="1">
      <c r="A483" s="41" t="s">
        <v>43</v>
      </c>
      <c r="B483" s="42" t="s">
        <v>1675</v>
      </c>
      <c r="C483" s="43" t="s">
        <v>1676</v>
      </c>
      <c r="D483" s="44" t="s">
        <v>18</v>
      </c>
      <c r="E483" s="45" t="s">
        <v>19</v>
      </c>
      <c r="F483" s="44" t="s">
        <v>256</v>
      </c>
      <c r="G483" s="44" t="str">
        <f t="shared" si="1"/>
        <v>Augusto</v>
      </c>
      <c r="H483" s="46" t="s">
        <v>107</v>
      </c>
      <c r="I483" s="46" t="s">
        <v>24</v>
      </c>
      <c r="J483" s="44" t="str">
        <f t="shared" si="7"/>
        <v>Não</v>
      </c>
      <c r="K483" s="47">
        <v>45061.0</v>
      </c>
      <c r="L483" s="45"/>
      <c r="M483" s="45" t="s">
        <v>55</v>
      </c>
      <c r="N483" s="48">
        <v>0.012</v>
      </c>
      <c r="O483" s="44" t="s">
        <v>24</v>
      </c>
      <c r="P483" s="49">
        <v>0.0</v>
      </c>
      <c r="Q483" s="15"/>
      <c r="R483" s="74"/>
      <c r="S483" s="45" t="s">
        <v>108</v>
      </c>
      <c r="T483" s="24" t="s">
        <v>1677</v>
      </c>
      <c r="U483" s="9" t="s">
        <v>19</v>
      </c>
      <c r="V483" s="51" t="str">
        <f t="shared" si="3"/>
        <v>Ativo</v>
      </c>
      <c r="W483" s="45"/>
      <c r="X483" s="52" t="s">
        <v>119</v>
      </c>
      <c r="Y483" s="54"/>
      <c r="Z483" s="54"/>
      <c r="AA483" s="54"/>
      <c r="AB483" s="54"/>
      <c r="AC483" s="54"/>
      <c r="AD483" s="54"/>
      <c r="AE483" s="54"/>
      <c r="AF483" s="54">
        <v>0.0</v>
      </c>
      <c r="AG483" s="54">
        <v>100563.06</v>
      </c>
      <c r="AH483" s="54">
        <v>101482.84</v>
      </c>
      <c r="AI483" s="54">
        <v>98285.69</v>
      </c>
      <c r="AJ483" s="54">
        <v>99818.75</v>
      </c>
      <c r="AK483" s="54">
        <v>101218.18</v>
      </c>
      <c r="AL483" s="54">
        <v>102112.14</v>
      </c>
      <c r="AM483" s="54">
        <v>107887.84</v>
      </c>
      <c r="AN483" s="54">
        <v>112538.41</v>
      </c>
      <c r="AO483" s="54">
        <v>115488.71</v>
      </c>
      <c r="AP483" s="53">
        <v>117061.56</v>
      </c>
      <c r="AQ483" s="53">
        <v>124791.66</v>
      </c>
      <c r="AR483" s="53">
        <v>129535.66</v>
      </c>
      <c r="AS483" s="53">
        <v>130442.0</v>
      </c>
      <c r="AT483" s="53">
        <v>131948.4</v>
      </c>
      <c r="AU483" s="53">
        <f t="array" ref="AU483">XLOOKUP(C483,'PL TOTAL D0'!A:A,'PL TOTAL D0'!C:C,"")</f>
        <v>132415.5</v>
      </c>
    </row>
    <row r="484" ht="15.75" customHeight="1">
      <c r="A484" s="41" t="s">
        <v>43</v>
      </c>
      <c r="B484" s="42" t="s">
        <v>1678</v>
      </c>
      <c r="C484" s="43" t="s">
        <v>1679</v>
      </c>
      <c r="D484" s="44" t="s">
        <v>18</v>
      </c>
      <c r="E484" s="45" t="s">
        <v>29</v>
      </c>
      <c r="F484" s="44" t="s">
        <v>168</v>
      </c>
      <c r="G484" s="44" t="str">
        <f t="shared" si="1"/>
        <v>Augusto</v>
      </c>
      <c r="H484" s="46" t="s">
        <v>107</v>
      </c>
      <c r="I484" s="46" t="s">
        <v>24</v>
      </c>
      <c r="J484" s="44" t="str">
        <f t="shared" si="7"/>
        <v>Sim</v>
      </c>
      <c r="K484" s="47">
        <v>45163.0</v>
      </c>
      <c r="L484" s="62"/>
      <c r="M484" s="45" t="s">
        <v>55</v>
      </c>
      <c r="N484" s="48">
        <v>0.012</v>
      </c>
      <c r="O484" s="44" t="s">
        <v>24</v>
      </c>
      <c r="P484" s="49">
        <v>0.0</v>
      </c>
      <c r="Q484" s="76" t="s">
        <v>1680</v>
      </c>
      <c r="R484" s="139"/>
      <c r="S484" s="45" t="s">
        <v>108</v>
      </c>
      <c r="T484" s="56" t="s">
        <v>1681</v>
      </c>
      <c r="U484" s="9" t="s">
        <v>29</v>
      </c>
      <c r="V484" s="51" t="str">
        <f t="shared" si="3"/>
        <v>Ativo</v>
      </c>
      <c r="W484" s="45"/>
      <c r="X484" s="52" t="s">
        <v>119</v>
      </c>
      <c r="Y484" s="54"/>
      <c r="Z484" s="54"/>
      <c r="AA484" s="54"/>
      <c r="AB484" s="54"/>
      <c r="AC484" s="54"/>
      <c r="AD484" s="54"/>
      <c r="AE484" s="54"/>
      <c r="AF484" s="54">
        <v>0.0</v>
      </c>
      <c r="AG484" s="54">
        <v>0.0</v>
      </c>
      <c r="AH484" s="54">
        <v>0.0</v>
      </c>
      <c r="AI484" s="54">
        <v>0.0</v>
      </c>
      <c r="AJ484" s="54">
        <v>0.0</v>
      </c>
      <c r="AK484" s="54">
        <v>69433.98</v>
      </c>
      <c r="AL484" s="54">
        <v>119309.69</v>
      </c>
      <c r="AM484" s="54">
        <v>120232.86</v>
      </c>
      <c r="AN484" s="54">
        <v>121160.89</v>
      </c>
      <c r="AO484" s="54">
        <v>111265.43</v>
      </c>
      <c r="AP484" s="53">
        <v>101675.26</v>
      </c>
      <c r="AQ484" s="53">
        <v>94987.15</v>
      </c>
      <c r="AR484" s="53">
        <v>88119.86</v>
      </c>
      <c r="AS484" s="53">
        <v>81028.38</v>
      </c>
      <c r="AT484" s="53">
        <v>73568.12</v>
      </c>
      <c r="AU484" s="53">
        <f t="array" ref="AU484">XLOOKUP(C484,'PL TOTAL D0'!A:A,'PL TOTAL D0'!C:C,"")</f>
        <v>65746.39</v>
      </c>
    </row>
    <row r="485" ht="15.75" customHeight="1">
      <c r="A485" s="41" t="s">
        <v>43</v>
      </c>
      <c r="B485" s="42" t="s">
        <v>1682</v>
      </c>
      <c r="C485" s="43" t="s">
        <v>1683</v>
      </c>
      <c r="D485" s="44" t="s">
        <v>18</v>
      </c>
      <c r="E485" s="45" t="s">
        <v>19</v>
      </c>
      <c r="F485" s="44" t="s">
        <v>20</v>
      </c>
      <c r="G485" s="44" t="str">
        <f t="shared" si="1"/>
        <v>#N/A</v>
      </c>
      <c r="H485" s="51" t="s">
        <v>147</v>
      </c>
      <c r="I485" s="46" t="s">
        <v>219</v>
      </c>
      <c r="J485" s="44" t="str">
        <f t="shared" si="7"/>
        <v>Não</v>
      </c>
      <c r="K485" s="47">
        <v>45163.0</v>
      </c>
      <c r="L485" s="62"/>
      <c r="M485" s="45" t="s">
        <v>55</v>
      </c>
      <c r="N485" s="48">
        <v>0.01</v>
      </c>
      <c r="O485" s="44" t="s">
        <v>24</v>
      </c>
      <c r="P485" s="49">
        <v>0.0</v>
      </c>
      <c r="Q485" s="139"/>
      <c r="R485" s="184"/>
      <c r="S485" s="45" t="s">
        <v>108</v>
      </c>
      <c r="T485" s="24" t="s">
        <v>1684</v>
      </c>
      <c r="U485" s="9" t="s">
        <v>19</v>
      </c>
      <c r="V485" s="51" t="str">
        <f t="shared" si="3"/>
        <v>Inativo</v>
      </c>
      <c r="W485" s="45"/>
      <c r="X485" s="52" t="s">
        <v>119</v>
      </c>
      <c r="Y485" s="54"/>
      <c r="Z485" s="54"/>
      <c r="AA485" s="54"/>
      <c r="AB485" s="54"/>
      <c r="AC485" s="54"/>
      <c r="AD485" s="54">
        <v>0.0</v>
      </c>
      <c r="AE485" s="54">
        <v>0.0</v>
      </c>
      <c r="AF485" s="54">
        <v>0.0</v>
      </c>
      <c r="AG485" s="54">
        <v>0.0</v>
      </c>
      <c r="AH485" s="54">
        <v>0.0</v>
      </c>
      <c r="AI485" s="54">
        <v>0.0</v>
      </c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0.0</v>
      </c>
      <c r="AQ485" s="53">
        <v>0.0</v>
      </c>
      <c r="AR485" s="53">
        <v>0.0</v>
      </c>
      <c r="AS485" s="53">
        <v>0.0</v>
      </c>
      <c r="AT485" s="53">
        <v>0.0</v>
      </c>
      <c r="AU485" s="53" t="str">
        <f t="array" ref="AU485">XLOOKUP(C485,'PL TOTAL D0'!A:A,'PL TOTAL D0'!C:C,"")</f>
        <v/>
      </c>
    </row>
    <row r="486" ht="15.75" customHeight="1">
      <c r="A486" s="41" t="s">
        <v>43</v>
      </c>
      <c r="B486" s="42" t="s">
        <v>1685</v>
      </c>
      <c r="C486" s="43" t="s">
        <v>1686</v>
      </c>
      <c r="D486" s="44" t="s">
        <v>18</v>
      </c>
      <c r="E486" s="45" t="s">
        <v>29</v>
      </c>
      <c r="F486" s="45" t="s">
        <v>60</v>
      </c>
      <c r="G486" s="44" t="str">
        <f t="shared" si="1"/>
        <v>Augusto</v>
      </c>
      <c r="H486" s="46" t="s">
        <v>107</v>
      </c>
      <c r="I486" s="46" t="s">
        <v>24</v>
      </c>
      <c r="J486" s="44" t="str">
        <f t="shared" si="7"/>
        <v>Não</v>
      </c>
      <c r="K486" s="47">
        <v>45048.0</v>
      </c>
      <c r="L486" s="45"/>
      <c r="M486" s="45" t="s">
        <v>55</v>
      </c>
      <c r="N486" s="48">
        <v>0.012</v>
      </c>
      <c r="O486" s="44" t="s">
        <v>24</v>
      </c>
      <c r="P486" s="49">
        <v>0.0</v>
      </c>
      <c r="Q486" s="139"/>
      <c r="R486" s="139"/>
      <c r="S486" s="45" t="s">
        <v>108</v>
      </c>
      <c r="T486" s="24" t="s">
        <v>1687</v>
      </c>
      <c r="U486" s="9" t="s">
        <v>29</v>
      </c>
      <c r="V486" s="51" t="str">
        <f t="shared" si="3"/>
        <v>Ativo</v>
      </c>
      <c r="W486" s="45"/>
      <c r="X486" s="52" t="s">
        <v>119</v>
      </c>
      <c r="Y486" s="54"/>
      <c r="Z486" s="54"/>
      <c r="AA486" s="54"/>
      <c r="AB486" s="54"/>
      <c r="AC486" s="54"/>
      <c r="AD486" s="54"/>
      <c r="AE486" s="54">
        <v>0.0</v>
      </c>
      <c r="AF486" s="54">
        <v>0.0</v>
      </c>
      <c r="AG486" s="54">
        <v>230828.89</v>
      </c>
      <c r="AH486" s="54">
        <v>233457.5</v>
      </c>
      <c r="AI486" s="54">
        <v>235284.62</v>
      </c>
      <c r="AJ486" s="54">
        <v>236929.21</v>
      </c>
      <c r="AK486" s="54">
        <v>236309.68</v>
      </c>
      <c r="AL486" s="54">
        <v>237754.02</v>
      </c>
      <c r="AM486" s="54">
        <v>240176.41</v>
      </c>
      <c r="AN486" s="54">
        <v>242739.59</v>
      </c>
      <c r="AO486" s="54">
        <v>241480.57</v>
      </c>
      <c r="AP486" s="53">
        <v>243002.64</v>
      </c>
      <c r="AQ486" s="53">
        <v>244225.82</v>
      </c>
      <c r="AR486" s="53">
        <v>244913.65</v>
      </c>
      <c r="AS486" s="53">
        <v>246827.4</v>
      </c>
      <c r="AT486" s="53">
        <v>247926.1</v>
      </c>
      <c r="AU486" s="53">
        <f t="array" ref="AU486">XLOOKUP(C486,'PL TOTAL D0'!A:A,'PL TOTAL D0'!C:C,"")</f>
        <v>248300.9</v>
      </c>
    </row>
    <row r="487" ht="15.75" customHeight="1">
      <c r="A487" s="41" t="s">
        <v>43</v>
      </c>
      <c r="B487" s="42" t="s">
        <v>1688</v>
      </c>
      <c r="C487" s="43" t="s">
        <v>1689</v>
      </c>
      <c r="D487" s="44" t="s">
        <v>18</v>
      </c>
      <c r="E487" s="45" t="s">
        <v>19</v>
      </c>
      <c r="F487" s="44" t="s">
        <v>213</v>
      </c>
      <c r="G487" s="44" t="str">
        <f t="shared" si="1"/>
        <v>Augusto</v>
      </c>
      <c r="H487" s="51" t="s">
        <v>147</v>
      </c>
      <c r="I487" s="51" t="s">
        <v>219</v>
      </c>
      <c r="J487" s="44" t="str">
        <f t="shared" si="7"/>
        <v>Não</v>
      </c>
      <c r="K487" s="47">
        <v>45029.0</v>
      </c>
      <c r="L487" s="45"/>
      <c r="M487" s="24" t="s">
        <v>190</v>
      </c>
      <c r="N487" s="58">
        <v>0.025</v>
      </c>
      <c r="O487" s="9" t="s">
        <v>191</v>
      </c>
      <c r="P487" s="59">
        <v>0.2</v>
      </c>
      <c r="Q487" s="139"/>
      <c r="R487" s="138" t="s">
        <v>1690</v>
      </c>
      <c r="S487" s="45" t="s">
        <v>108</v>
      </c>
      <c r="T487" s="24" t="s">
        <v>1691</v>
      </c>
      <c r="U487" s="9" t="s">
        <v>19</v>
      </c>
      <c r="V487" s="51" t="str">
        <f t="shared" si="3"/>
        <v>Ativo</v>
      </c>
      <c r="W487" s="45"/>
      <c r="X487" s="52" t="s">
        <v>119</v>
      </c>
      <c r="Y487" s="54"/>
      <c r="Z487" s="54"/>
      <c r="AA487" s="54"/>
      <c r="AB487" s="54"/>
      <c r="AC487" s="54">
        <v>0.0</v>
      </c>
      <c r="AD487" s="54">
        <v>0.0</v>
      </c>
      <c r="AE487" s="54">
        <v>0.0</v>
      </c>
      <c r="AF487" s="54">
        <v>286046.33</v>
      </c>
      <c r="AG487" s="54">
        <v>289366.31</v>
      </c>
      <c r="AH487" s="54">
        <v>292898.11</v>
      </c>
      <c r="AI487" s="54">
        <v>295833.26</v>
      </c>
      <c r="AJ487" s="54">
        <v>297702.8</v>
      </c>
      <c r="AK487" s="54">
        <v>300124.35</v>
      </c>
      <c r="AL487" s="54">
        <v>302212.93</v>
      </c>
      <c r="AM487" s="54">
        <v>305456.62</v>
      </c>
      <c r="AN487" s="54">
        <v>308888.3</v>
      </c>
      <c r="AO487" s="54">
        <v>309347.39</v>
      </c>
      <c r="AP487" s="53">
        <v>225.73</v>
      </c>
      <c r="AQ487" s="53">
        <v>68.39</v>
      </c>
      <c r="AR487" s="53">
        <v>68.39</v>
      </c>
      <c r="AS487" s="53">
        <v>68.39</v>
      </c>
      <c r="AT487" s="53">
        <v>68.43</v>
      </c>
      <c r="AU487" s="53">
        <f t="array" ref="AU487">XLOOKUP(C487,'PL TOTAL D0'!A:A,'PL TOTAL D0'!C:C,"")</f>
        <v>68.43</v>
      </c>
    </row>
    <row r="488" ht="15.75" customHeight="1">
      <c r="A488" s="41" t="s">
        <v>43</v>
      </c>
      <c r="B488" s="61" t="s">
        <v>1692</v>
      </c>
      <c r="C488" s="43" t="s">
        <v>1693</v>
      </c>
      <c r="D488" s="44" t="s">
        <v>18</v>
      </c>
      <c r="E488" s="45" t="s">
        <v>29</v>
      </c>
      <c r="F488" s="9" t="s">
        <v>60</v>
      </c>
      <c r="G488" s="44" t="str">
        <f t="shared" si="1"/>
        <v>Augusto</v>
      </c>
      <c r="H488" s="46" t="s">
        <v>107</v>
      </c>
      <c r="I488" s="46" t="s">
        <v>24</v>
      </c>
      <c r="J488" s="44" t="str">
        <f t="shared" si="7"/>
        <v>Não</v>
      </c>
      <c r="K488" s="47">
        <v>44995.0</v>
      </c>
      <c r="L488" s="45"/>
      <c r="M488" s="45" t="s">
        <v>190</v>
      </c>
      <c r="N488" s="48">
        <v>0.025</v>
      </c>
      <c r="O488" s="44" t="s">
        <v>191</v>
      </c>
      <c r="P488" s="49">
        <v>0.2</v>
      </c>
      <c r="Q488" s="50"/>
      <c r="R488" s="50"/>
      <c r="S488" s="45" t="s">
        <v>108</v>
      </c>
      <c r="T488" s="24" t="s">
        <v>1694</v>
      </c>
      <c r="U488" s="9" t="s">
        <v>152</v>
      </c>
      <c r="V488" s="51" t="str">
        <f t="shared" si="3"/>
        <v>Ativo</v>
      </c>
      <c r="W488" s="45"/>
      <c r="X488" s="52" t="s">
        <v>110</v>
      </c>
      <c r="Y488" s="54"/>
      <c r="Z488" s="54"/>
      <c r="AA488" s="54"/>
      <c r="AB488" s="54"/>
      <c r="AC488" s="54"/>
      <c r="AD488" s="54"/>
      <c r="AE488" s="54">
        <v>367764.99</v>
      </c>
      <c r="AF488" s="54">
        <v>367686.19</v>
      </c>
      <c r="AG488" s="54">
        <v>406919.01</v>
      </c>
      <c r="AH488" s="54">
        <v>438425.42</v>
      </c>
      <c r="AI488" s="54">
        <v>436082.42</v>
      </c>
      <c r="AJ488" s="54">
        <v>416674.53</v>
      </c>
      <c r="AK488" s="54">
        <v>366586.03</v>
      </c>
      <c r="AL488" s="54">
        <v>348048.83</v>
      </c>
      <c r="AM488" s="54">
        <v>374041.62</v>
      </c>
      <c r="AN488" s="54">
        <v>391888.29</v>
      </c>
      <c r="AO488" s="54">
        <v>364856.23</v>
      </c>
      <c r="AP488" s="53">
        <v>369881.45</v>
      </c>
      <c r="AQ488" s="53">
        <v>376620.2</v>
      </c>
      <c r="AR488" s="53">
        <v>362153.74</v>
      </c>
      <c r="AS488" s="53">
        <v>350348.5</v>
      </c>
      <c r="AT488" s="53">
        <v>350873.1</v>
      </c>
      <c r="AU488" s="53">
        <f t="array" ref="AU488">XLOOKUP(C488,'PL TOTAL D0'!A:A,'PL TOTAL D0'!C:C,"")</f>
        <v>333210.1</v>
      </c>
    </row>
    <row r="489" ht="15.75" customHeight="1">
      <c r="A489" s="41" t="s">
        <v>43</v>
      </c>
      <c r="B489" s="61" t="s">
        <v>1692</v>
      </c>
      <c r="C489" s="43" t="s">
        <v>1695</v>
      </c>
      <c r="D489" s="44" t="s">
        <v>18</v>
      </c>
      <c r="E489" s="45" t="s">
        <v>29</v>
      </c>
      <c r="F489" s="9" t="s">
        <v>60</v>
      </c>
      <c r="G489" s="44" t="str">
        <f t="shared" si="1"/>
        <v>Augusto</v>
      </c>
      <c r="H489" s="46" t="s">
        <v>107</v>
      </c>
      <c r="I489" s="46" t="s">
        <v>24</v>
      </c>
      <c r="J489" s="44" t="str">
        <f t="shared" si="7"/>
        <v>Não</v>
      </c>
      <c r="K489" s="47">
        <v>44995.0</v>
      </c>
      <c r="L489" s="45"/>
      <c r="M489" s="45" t="s">
        <v>419</v>
      </c>
      <c r="N489" s="48">
        <v>0.02</v>
      </c>
      <c r="O489" s="44" t="s">
        <v>191</v>
      </c>
      <c r="P489" s="49">
        <v>0.2</v>
      </c>
      <c r="Q489" s="50"/>
      <c r="R489" s="50"/>
      <c r="S489" s="45" t="s">
        <v>108</v>
      </c>
      <c r="T489" s="24" t="s">
        <v>1694</v>
      </c>
      <c r="U489" s="9" t="s">
        <v>152</v>
      </c>
      <c r="V489" s="51" t="str">
        <f t="shared" si="3"/>
        <v>Ativo</v>
      </c>
      <c r="W489" s="45"/>
      <c r="X489" s="52" t="s">
        <v>110</v>
      </c>
      <c r="Y489" s="54"/>
      <c r="Z489" s="54"/>
      <c r="AA489" s="54"/>
      <c r="AB489" s="54"/>
      <c r="AC489" s="54"/>
      <c r="AD489" s="54"/>
      <c r="AE489" s="54">
        <v>156498.64</v>
      </c>
      <c r="AF489" s="54">
        <v>159700.37</v>
      </c>
      <c r="AG489" s="54">
        <v>174038.01</v>
      </c>
      <c r="AH489" s="54">
        <v>187209.86</v>
      </c>
      <c r="AI489" s="54">
        <v>201894.44</v>
      </c>
      <c r="AJ489" s="54">
        <v>203267.32</v>
      </c>
      <c r="AK489" s="54">
        <v>200471.45</v>
      </c>
      <c r="AL489" s="54">
        <v>183105.1</v>
      </c>
      <c r="AM489" s="54">
        <v>196445.33</v>
      </c>
      <c r="AN489" s="54">
        <v>207938.86</v>
      </c>
      <c r="AO489" s="54">
        <v>191185.99</v>
      </c>
      <c r="AP489" s="53">
        <v>189479.82</v>
      </c>
      <c r="AQ489" s="53">
        <v>196353.37</v>
      </c>
      <c r="AR489" s="53">
        <v>180285.43</v>
      </c>
      <c r="AS489" s="53">
        <v>166397.3</v>
      </c>
      <c r="AT489" s="53">
        <v>165460.1</v>
      </c>
      <c r="AU489" s="53">
        <f t="array" ref="AU489">XLOOKUP(C489,'PL TOTAL D0'!A:A,'PL TOTAL D0'!C:C,"")</f>
        <v>157134.8</v>
      </c>
    </row>
    <row r="490" ht="15.75" customHeight="1">
      <c r="A490" s="41" t="s">
        <v>43</v>
      </c>
      <c r="B490" s="61" t="s">
        <v>1696</v>
      </c>
      <c r="C490" s="43" t="s">
        <v>1697</v>
      </c>
      <c r="D490" s="44" t="s">
        <v>18</v>
      </c>
      <c r="E490" s="45" t="s">
        <v>176</v>
      </c>
      <c r="F490" s="44" t="s">
        <v>197</v>
      </c>
      <c r="G490" s="44" t="str">
        <f t="shared" si="1"/>
        <v>Bruno</v>
      </c>
      <c r="H490" s="46" t="s">
        <v>107</v>
      </c>
      <c r="I490" s="46" t="s">
        <v>24</v>
      </c>
      <c r="J490" s="44" t="str">
        <f t="shared" si="7"/>
        <v>Não</v>
      </c>
      <c r="K490" s="47">
        <v>45002.0</v>
      </c>
      <c r="L490" s="45"/>
      <c r="M490" s="45" t="s">
        <v>79</v>
      </c>
      <c r="N490" s="48">
        <v>0.01</v>
      </c>
      <c r="O490" s="44" t="s">
        <v>24</v>
      </c>
      <c r="P490" s="49">
        <v>0.0</v>
      </c>
      <c r="Q490" s="139"/>
      <c r="R490" s="139"/>
      <c r="S490" s="45" t="s">
        <v>108</v>
      </c>
      <c r="T490" s="24" t="s">
        <v>1698</v>
      </c>
      <c r="U490" s="9" t="s">
        <v>34</v>
      </c>
      <c r="V490" s="51" t="str">
        <f t="shared" si="3"/>
        <v>Ativo</v>
      </c>
      <c r="W490" s="45"/>
      <c r="X490" s="52" t="s">
        <v>119</v>
      </c>
      <c r="Y490" s="54"/>
      <c r="Z490" s="54"/>
      <c r="AA490" s="54"/>
      <c r="AB490" s="54"/>
      <c r="AC490" s="54"/>
      <c r="AD490" s="54"/>
      <c r="AE490" s="54">
        <v>943347.36</v>
      </c>
      <c r="AF490" s="54">
        <v>950389.54</v>
      </c>
      <c r="AG490" s="54">
        <v>1089087.97</v>
      </c>
      <c r="AH490" s="54">
        <v>1096279.87</v>
      </c>
      <c r="AI490" s="54">
        <v>1104974.04</v>
      </c>
      <c r="AJ490" s="54">
        <v>1113323.77</v>
      </c>
      <c r="AK490" s="54">
        <v>1400497.04</v>
      </c>
      <c r="AL490" s="54">
        <v>1401599.23</v>
      </c>
      <c r="AM490" s="54">
        <v>1425706.0</v>
      </c>
      <c r="AN490" s="54">
        <v>1441206.32</v>
      </c>
      <c r="AO490" s="54">
        <v>1439806.42</v>
      </c>
      <c r="AP490" s="53">
        <v>1446953.94</v>
      </c>
      <c r="AQ490" s="53">
        <v>1459910.2</v>
      </c>
      <c r="AR490" s="53">
        <v>1449446.83</v>
      </c>
      <c r="AS490" s="53">
        <v>1453175.0</v>
      </c>
      <c r="AT490" s="53">
        <v>1464827.0</v>
      </c>
      <c r="AU490" s="53">
        <f t="array" ref="AU490">XLOOKUP(C490,'PL TOTAL D0'!A:A,'PL TOTAL D0'!C:C,"")</f>
        <v>1477688</v>
      </c>
    </row>
    <row r="491" ht="15.75" customHeight="1">
      <c r="A491" s="41" t="s">
        <v>43</v>
      </c>
      <c r="B491" s="64" t="s">
        <v>1699</v>
      </c>
      <c r="C491" s="65" t="s">
        <v>1700</v>
      </c>
      <c r="D491" s="9" t="s">
        <v>18</v>
      </c>
      <c r="E491" s="24" t="s">
        <v>19</v>
      </c>
      <c r="F491" s="9" t="s">
        <v>213</v>
      </c>
      <c r="G491" s="44" t="str">
        <f t="shared" si="1"/>
        <v>Augusto</v>
      </c>
      <c r="H491" s="51" t="s">
        <v>147</v>
      </c>
      <c r="I491" s="51" t="s">
        <v>219</v>
      </c>
      <c r="J491" s="44" t="str">
        <f t="shared" si="7"/>
        <v>Não</v>
      </c>
      <c r="K491" s="57">
        <v>45390.0</v>
      </c>
      <c r="L491" s="45"/>
      <c r="M491" s="24" t="s">
        <v>1701</v>
      </c>
      <c r="N491" s="58">
        <v>0.02</v>
      </c>
      <c r="O491" s="9" t="s">
        <v>24</v>
      </c>
      <c r="P491" s="59">
        <v>0.0</v>
      </c>
      <c r="Q491" s="60"/>
      <c r="R491" s="139"/>
      <c r="S491" s="24" t="s">
        <v>108</v>
      </c>
      <c r="T491" s="5" t="s">
        <v>1702</v>
      </c>
      <c r="U491" s="9" t="s">
        <v>19</v>
      </c>
      <c r="V491" s="51" t="str">
        <f t="shared" si="3"/>
        <v>Ativo</v>
      </c>
      <c r="W491" s="45"/>
      <c r="X491" s="52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3"/>
      <c r="AQ491" s="53"/>
      <c r="AR491" s="53">
        <v>1314611.13</v>
      </c>
      <c r="AS491" s="53">
        <v>0.0</v>
      </c>
      <c r="AT491" s="53">
        <v>10.89</v>
      </c>
      <c r="AU491" s="53">
        <f t="array" ref="AU491">XLOOKUP(C491,'PL TOTAL D0'!A:A,'PL TOTAL D0'!C:C,"")</f>
        <v>10.89</v>
      </c>
    </row>
    <row r="492" ht="15.75" customHeight="1">
      <c r="A492" s="41" t="s">
        <v>43</v>
      </c>
      <c r="B492" s="42" t="s">
        <v>1703</v>
      </c>
      <c r="C492" s="43" t="s">
        <v>1704</v>
      </c>
      <c r="D492" s="44" t="s">
        <v>18</v>
      </c>
      <c r="E492" s="45" t="s">
        <v>29</v>
      </c>
      <c r="F492" s="44" t="s">
        <v>294</v>
      </c>
      <c r="G492" s="44" t="str">
        <f t="shared" si="1"/>
        <v>Breno</v>
      </c>
      <c r="H492" s="51" t="s">
        <v>107</v>
      </c>
      <c r="I492" s="51" t="s">
        <v>24</v>
      </c>
      <c r="J492" s="44" t="str">
        <f t="shared" si="7"/>
        <v>Sim</v>
      </c>
      <c r="K492" s="47">
        <v>44908.0</v>
      </c>
      <c r="L492" s="45"/>
      <c r="M492" s="24" t="s">
        <v>190</v>
      </c>
      <c r="N492" s="58">
        <v>0.02</v>
      </c>
      <c r="O492" s="9" t="s">
        <v>191</v>
      </c>
      <c r="P492" s="49">
        <v>0.2</v>
      </c>
      <c r="Q492" s="220" t="s">
        <v>1705</v>
      </c>
      <c r="R492" s="60" t="s">
        <v>1706</v>
      </c>
      <c r="S492" s="45" t="s">
        <v>108</v>
      </c>
      <c r="T492" s="24" t="s">
        <v>1707</v>
      </c>
      <c r="U492" s="9" t="s">
        <v>29</v>
      </c>
      <c r="V492" s="51" t="str">
        <f t="shared" si="3"/>
        <v>Ativo</v>
      </c>
      <c r="W492" s="45"/>
      <c r="X492" s="52" t="s">
        <v>119</v>
      </c>
      <c r="Y492" s="54"/>
      <c r="Z492" s="54"/>
      <c r="AA492" s="54"/>
      <c r="AB492" s="54">
        <v>818196.58</v>
      </c>
      <c r="AC492" s="54">
        <v>828082.58</v>
      </c>
      <c r="AD492" s="54">
        <v>990968.05</v>
      </c>
      <c r="AE492" s="54">
        <v>1038419.02</v>
      </c>
      <c r="AF492" s="54">
        <v>1044490.68</v>
      </c>
      <c r="AG492" s="54">
        <v>1140148.39</v>
      </c>
      <c r="AH492" s="54">
        <v>1175009.74</v>
      </c>
      <c r="AI492" s="54">
        <v>1266407.64</v>
      </c>
      <c r="AJ492" s="54">
        <v>1248695.89</v>
      </c>
      <c r="AK492" s="54">
        <v>1251801.63</v>
      </c>
      <c r="AL492" s="54">
        <v>1230464.75</v>
      </c>
      <c r="AM492" s="54">
        <v>1260351.36</v>
      </c>
      <c r="AN492" s="54">
        <v>1280008.15</v>
      </c>
      <c r="AO492" s="54">
        <v>1284055.75</v>
      </c>
      <c r="AP492" s="53">
        <v>1307211.23</v>
      </c>
      <c r="AQ492" s="53">
        <v>802110.67</v>
      </c>
      <c r="AR492" s="53">
        <v>586142.46</v>
      </c>
      <c r="AS492" s="53">
        <v>564140.4</v>
      </c>
      <c r="AT492" s="53">
        <v>594395.2</v>
      </c>
      <c r="AU492" s="53">
        <f t="array" ref="AU492">XLOOKUP(C492,'PL TOTAL D0'!A:A,'PL TOTAL D0'!C:C,"")</f>
        <v>624250.1</v>
      </c>
    </row>
    <row r="493" ht="15.75" customHeight="1">
      <c r="A493" s="6" t="s">
        <v>43</v>
      </c>
      <c r="B493" s="55" t="s">
        <v>1703</v>
      </c>
      <c r="C493" s="56" t="s">
        <v>1708</v>
      </c>
      <c r="D493" s="9" t="s">
        <v>18</v>
      </c>
      <c r="E493" s="24" t="s">
        <v>29</v>
      </c>
      <c r="F493" s="9" t="s">
        <v>294</v>
      </c>
      <c r="G493" s="44" t="str">
        <f t="shared" si="1"/>
        <v>Breno</v>
      </c>
      <c r="H493" s="51" t="s">
        <v>107</v>
      </c>
      <c r="I493" s="51" t="s">
        <v>24</v>
      </c>
      <c r="J493" s="44" t="str">
        <f t="shared" si="7"/>
        <v>Sim</v>
      </c>
      <c r="K493" s="57">
        <v>45330.0</v>
      </c>
      <c r="L493" s="45"/>
      <c r="M493" s="24" t="s">
        <v>55</v>
      </c>
      <c r="N493" s="58">
        <v>0.012</v>
      </c>
      <c r="O493" s="9" t="s">
        <v>24</v>
      </c>
      <c r="P493" s="59">
        <v>0.0</v>
      </c>
      <c r="Q493" s="60" t="s">
        <v>1709</v>
      </c>
      <c r="R493" s="70" t="s">
        <v>1710</v>
      </c>
      <c r="S493" s="24" t="s">
        <v>108</v>
      </c>
      <c r="T493" s="24" t="s">
        <v>1707</v>
      </c>
      <c r="U493" s="9" t="s">
        <v>29</v>
      </c>
      <c r="V493" s="51" t="str">
        <f t="shared" si="3"/>
        <v>Ativo</v>
      </c>
      <c r="W493" s="45"/>
      <c r="X493" s="52" t="s">
        <v>119</v>
      </c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3">
        <v>0.0</v>
      </c>
      <c r="AQ493" s="53">
        <v>527081.27</v>
      </c>
      <c r="AR493" s="53">
        <v>715155.64</v>
      </c>
      <c r="AS493" s="53">
        <v>718123.2</v>
      </c>
      <c r="AT493" s="53">
        <v>724373.3</v>
      </c>
      <c r="AU493" s="53">
        <f t="array" ref="AU493">XLOOKUP(C493,'PL TOTAL D0'!A:A,'PL TOTAL D0'!C:C,"")</f>
        <v>827214</v>
      </c>
    </row>
    <row r="494" ht="15.75" customHeight="1">
      <c r="A494" s="41" t="s">
        <v>43</v>
      </c>
      <c r="B494" s="42" t="s">
        <v>1711</v>
      </c>
      <c r="C494" s="43" t="s">
        <v>1712</v>
      </c>
      <c r="D494" s="44" t="s">
        <v>18</v>
      </c>
      <c r="E494" s="45" t="s">
        <v>19</v>
      </c>
      <c r="F494" s="44" t="s">
        <v>213</v>
      </c>
      <c r="G494" s="44" t="str">
        <f t="shared" si="1"/>
        <v>Augusto</v>
      </c>
      <c r="H494" s="46" t="s">
        <v>107</v>
      </c>
      <c r="I494" s="46" t="s">
        <v>24</v>
      </c>
      <c r="J494" s="44" t="str">
        <f t="shared" si="7"/>
        <v>Não</v>
      </c>
      <c r="K494" s="47">
        <v>45118.0</v>
      </c>
      <c r="L494" s="45"/>
      <c r="M494" s="45" t="s">
        <v>55</v>
      </c>
      <c r="N494" s="48">
        <v>0.012</v>
      </c>
      <c r="O494" s="44" t="s">
        <v>24</v>
      </c>
      <c r="P494" s="49">
        <v>0.0</v>
      </c>
      <c r="Q494" s="50"/>
      <c r="R494" s="50"/>
      <c r="S494" s="45" t="s">
        <v>108</v>
      </c>
      <c r="T494" s="24" t="s">
        <v>1713</v>
      </c>
      <c r="U494" s="9" t="s">
        <v>19</v>
      </c>
      <c r="V494" s="51" t="str">
        <f t="shared" si="3"/>
        <v>Ativo</v>
      </c>
      <c r="W494" s="45"/>
      <c r="X494" s="52" t="s">
        <v>119</v>
      </c>
      <c r="Y494" s="54"/>
      <c r="Z494" s="54"/>
      <c r="AA494" s="54"/>
      <c r="AB494" s="54"/>
      <c r="AC494" s="54"/>
      <c r="AD494" s="54"/>
      <c r="AE494" s="54"/>
      <c r="AF494" s="54"/>
      <c r="AG494" s="54"/>
      <c r="AH494" s="54">
        <v>0.0</v>
      </c>
      <c r="AI494" s="54">
        <v>236912.56</v>
      </c>
      <c r="AJ494" s="54">
        <v>239432.92</v>
      </c>
      <c r="AK494" s="54">
        <v>268544.31</v>
      </c>
      <c r="AL494" s="54">
        <v>279721.99</v>
      </c>
      <c r="AM494" s="54">
        <v>281711.45</v>
      </c>
      <c r="AN494" s="54">
        <v>316793.96</v>
      </c>
      <c r="AO494" s="54">
        <v>319594.49</v>
      </c>
      <c r="AP494" s="53">
        <v>317694.94</v>
      </c>
      <c r="AQ494" s="53">
        <v>316403.92</v>
      </c>
      <c r="AR494" s="53">
        <v>323401.14</v>
      </c>
      <c r="AS494" s="53">
        <v>337965.1</v>
      </c>
      <c r="AT494" s="53">
        <v>362639.4</v>
      </c>
      <c r="AU494" s="53">
        <f t="array" ref="AU494">XLOOKUP(C494,'PL TOTAL D0'!A:A,'PL TOTAL D0'!C:C,"")</f>
        <v>363418.7</v>
      </c>
    </row>
    <row r="495" ht="15.75" customHeight="1">
      <c r="A495" s="41" t="s">
        <v>43</v>
      </c>
      <c r="B495" s="42" t="s">
        <v>1714</v>
      </c>
      <c r="C495" s="43" t="s">
        <v>1715</v>
      </c>
      <c r="D495" s="44" t="s">
        <v>18</v>
      </c>
      <c r="E495" s="45" t="s">
        <v>176</v>
      </c>
      <c r="F495" s="44" t="s">
        <v>177</v>
      </c>
      <c r="G495" s="44" t="str">
        <f t="shared" si="1"/>
        <v>Augusto</v>
      </c>
      <c r="H495" s="51" t="s">
        <v>147</v>
      </c>
      <c r="I495" s="51" t="s">
        <v>219</v>
      </c>
      <c r="J495" s="44" t="str">
        <f t="shared" si="7"/>
        <v>Não</v>
      </c>
      <c r="K495" s="47">
        <v>45127.0</v>
      </c>
      <c r="L495" s="62"/>
      <c r="M495" s="45" t="s">
        <v>190</v>
      </c>
      <c r="N495" s="48">
        <v>0.025</v>
      </c>
      <c r="O495" s="44" t="s">
        <v>191</v>
      </c>
      <c r="P495" s="49">
        <v>0.2</v>
      </c>
      <c r="Q495" s="139"/>
      <c r="R495" s="139"/>
      <c r="S495" s="45" t="s">
        <v>108</v>
      </c>
      <c r="T495" s="24" t="s">
        <v>1716</v>
      </c>
      <c r="U495" s="9" t="s">
        <v>180</v>
      </c>
      <c r="V495" s="51" t="str">
        <f t="shared" si="3"/>
        <v>Ativo</v>
      </c>
      <c r="W495" s="45"/>
      <c r="X495" s="52" t="s">
        <v>110</v>
      </c>
      <c r="Y495" s="54"/>
      <c r="Z495" s="54"/>
      <c r="AA495" s="54"/>
      <c r="AB495" s="54"/>
      <c r="AC495" s="54"/>
      <c r="AD495" s="54"/>
      <c r="AE495" s="54"/>
      <c r="AF495" s="54"/>
      <c r="AG495" s="54"/>
      <c r="AH495" s="54">
        <v>0.0</v>
      </c>
      <c r="AI495" s="54">
        <v>51761.9</v>
      </c>
      <c r="AJ495" s="54">
        <v>51743.98</v>
      </c>
      <c r="AK495" s="54">
        <v>50555.96</v>
      </c>
      <c r="AL495" s="54">
        <v>48256.8</v>
      </c>
      <c r="AM495" s="54">
        <v>51908.81</v>
      </c>
      <c r="AN495" s="54">
        <v>49827.07</v>
      </c>
      <c r="AO495" s="54">
        <v>47231.72</v>
      </c>
      <c r="AP495" s="53">
        <v>47847.12</v>
      </c>
      <c r="AQ495" s="53">
        <v>48585.14</v>
      </c>
      <c r="AR495" s="53">
        <v>46484.02</v>
      </c>
      <c r="AS495" s="53">
        <v>452.33</v>
      </c>
      <c r="AT495" s="53">
        <v>454.32</v>
      </c>
      <c r="AU495" s="53">
        <f t="array" ref="AU495">XLOOKUP(C495,'PL TOTAL D0'!A:A,'PL TOTAL D0'!C:C,"")</f>
        <v>454.77</v>
      </c>
    </row>
    <row r="496" ht="15.75" customHeight="1">
      <c r="A496" s="41" t="s">
        <v>43</v>
      </c>
      <c r="B496" s="61" t="s">
        <v>1714</v>
      </c>
      <c r="C496" s="43" t="s">
        <v>1717</v>
      </c>
      <c r="D496" s="44" t="s">
        <v>18</v>
      </c>
      <c r="E496" s="45" t="s">
        <v>176</v>
      </c>
      <c r="F496" s="44" t="s">
        <v>177</v>
      </c>
      <c r="G496" s="44" t="str">
        <f t="shared" si="1"/>
        <v>Augusto</v>
      </c>
      <c r="H496" s="51" t="s">
        <v>147</v>
      </c>
      <c r="I496" s="51" t="s">
        <v>219</v>
      </c>
      <c r="J496" s="44" t="str">
        <f t="shared" si="7"/>
        <v>Não</v>
      </c>
      <c r="K496" s="47">
        <v>45064.0</v>
      </c>
      <c r="L496" s="62"/>
      <c r="M496" s="45" t="s">
        <v>55</v>
      </c>
      <c r="N496" s="48">
        <v>0.012</v>
      </c>
      <c r="O496" s="44" t="s">
        <v>24</v>
      </c>
      <c r="P496" s="49">
        <v>0.0</v>
      </c>
      <c r="Q496" s="50"/>
      <c r="R496" s="139"/>
      <c r="S496" s="45" t="s">
        <v>108</v>
      </c>
      <c r="T496" s="24" t="s">
        <v>1716</v>
      </c>
      <c r="U496" s="9" t="s">
        <v>180</v>
      </c>
      <c r="V496" s="51" t="str">
        <f t="shared" si="3"/>
        <v>Ativo</v>
      </c>
      <c r="W496" s="45"/>
      <c r="X496" s="52" t="s">
        <v>110</v>
      </c>
      <c r="Y496" s="54"/>
      <c r="Z496" s="54"/>
      <c r="AA496" s="54"/>
      <c r="AB496" s="54"/>
      <c r="AC496" s="54"/>
      <c r="AD496" s="54"/>
      <c r="AE496" s="54">
        <v>0.0</v>
      </c>
      <c r="AF496" s="54">
        <v>0.0</v>
      </c>
      <c r="AG496" s="54">
        <v>0.0</v>
      </c>
      <c r="AH496" s="54">
        <v>177711.3</v>
      </c>
      <c r="AI496" s="54">
        <v>128735.41</v>
      </c>
      <c r="AJ496" s="54">
        <v>130008.98</v>
      </c>
      <c r="AK496" s="54">
        <v>131025.4</v>
      </c>
      <c r="AL496" s="54">
        <v>132166.66</v>
      </c>
      <c r="AM496" s="54">
        <v>133117.54</v>
      </c>
      <c r="AN496" s="54">
        <v>118089.24</v>
      </c>
      <c r="AO496" s="54">
        <v>102899.13</v>
      </c>
      <c r="AP496" s="53">
        <v>103738.25</v>
      </c>
      <c r="AQ496" s="53">
        <v>104723.2</v>
      </c>
      <c r="AR496" s="53">
        <v>105554.87</v>
      </c>
      <c r="AS496" s="53">
        <v>0.0</v>
      </c>
      <c r="AT496" s="53">
        <v>4.4</v>
      </c>
      <c r="AU496" s="53">
        <f t="array" ref="AU496">XLOOKUP(C496,'PL TOTAL D0'!A:A,'PL TOTAL D0'!C:C,"")</f>
        <v>4.4</v>
      </c>
    </row>
    <row r="497" ht="15.75" customHeight="1">
      <c r="A497" s="41" t="s">
        <v>43</v>
      </c>
      <c r="B497" s="42" t="s">
        <v>1718</v>
      </c>
      <c r="C497" s="43" t="s">
        <v>1719</v>
      </c>
      <c r="D497" s="44" t="s">
        <v>105</v>
      </c>
      <c r="E497" s="45" t="s">
        <v>29</v>
      </c>
      <c r="F497" s="44" t="s">
        <v>106</v>
      </c>
      <c r="G497" s="44" t="str">
        <f t="shared" si="1"/>
        <v>Augusto</v>
      </c>
      <c r="H497" s="46" t="s">
        <v>107</v>
      </c>
      <c r="I497" s="46" t="s">
        <v>24</v>
      </c>
      <c r="J497" s="44" t="str">
        <f t="shared" si="7"/>
        <v>Sim</v>
      </c>
      <c r="K497" s="47">
        <v>45105.0</v>
      </c>
      <c r="L497" s="62"/>
      <c r="M497" s="45" t="s">
        <v>47</v>
      </c>
      <c r="N497" s="48">
        <v>0.015</v>
      </c>
      <c r="O497" s="44" t="s">
        <v>48</v>
      </c>
      <c r="P497" s="49">
        <v>0.1</v>
      </c>
      <c r="Q497" s="60" t="s">
        <v>1720</v>
      </c>
      <c r="R497" s="50"/>
      <c r="S497" s="45" t="s">
        <v>108</v>
      </c>
      <c r="T497" s="24" t="s">
        <v>1721</v>
      </c>
      <c r="U497" s="9" t="s">
        <v>29</v>
      </c>
      <c r="V497" s="51" t="str">
        <f t="shared" si="3"/>
        <v>Ativo</v>
      </c>
      <c r="W497" s="45"/>
      <c r="X497" s="52" t="s">
        <v>119</v>
      </c>
      <c r="Y497" s="54"/>
      <c r="Z497" s="54"/>
      <c r="AA497" s="54"/>
      <c r="AB497" s="54"/>
      <c r="AC497" s="54"/>
      <c r="AD497" s="54"/>
      <c r="AE497" s="54"/>
      <c r="AF497" s="54"/>
      <c r="AG497" s="54"/>
      <c r="AH497" s="54">
        <v>144597.64</v>
      </c>
      <c r="AI497" s="54">
        <v>249151.62</v>
      </c>
      <c r="AJ497" s="54">
        <v>240637.98</v>
      </c>
      <c r="AK497" s="54">
        <v>222998.54</v>
      </c>
      <c r="AL497" s="54">
        <v>206781.25</v>
      </c>
      <c r="AM497" s="54">
        <v>204344.21</v>
      </c>
      <c r="AN497" s="54">
        <v>208352.87</v>
      </c>
      <c r="AO497" s="54">
        <v>255201.5</v>
      </c>
      <c r="AP497" s="53">
        <v>249479.85</v>
      </c>
      <c r="AQ497" s="53">
        <v>243986.61</v>
      </c>
      <c r="AR497" s="53">
        <v>233685.22</v>
      </c>
      <c r="AS497" s="53">
        <v>232346.8</v>
      </c>
      <c r="AT497" s="53">
        <v>232504.7</v>
      </c>
      <c r="AU497" s="53">
        <f t="array" ref="AU497">XLOOKUP(C497,'PL TOTAL D0'!A:A,'PL TOTAL D0'!C:C,"")</f>
        <v>227886</v>
      </c>
    </row>
    <row r="498" ht="15.75" customHeight="1">
      <c r="A498" s="41" t="s">
        <v>43</v>
      </c>
      <c r="B498" s="55" t="s">
        <v>1722</v>
      </c>
      <c r="C498" s="21" t="s">
        <v>1723</v>
      </c>
      <c r="D498" s="9" t="s">
        <v>105</v>
      </c>
      <c r="E498" s="24" t="s">
        <v>29</v>
      </c>
      <c r="F498" s="44" t="s">
        <v>106</v>
      </c>
      <c r="G498" s="44" t="str">
        <f t="shared" si="1"/>
        <v>#N/A</v>
      </c>
      <c r="H498" s="51" t="s">
        <v>147</v>
      </c>
      <c r="I498" s="51" t="s">
        <v>219</v>
      </c>
      <c r="J498" s="44" t="str">
        <f t="shared" si="7"/>
        <v>Não</v>
      </c>
      <c r="K498" s="57">
        <v>45345.0</v>
      </c>
      <c r="L498" s="62"/>
      <c r="M498" s="24" t="s">
        <v>55</v>
      </c>
      <c r="N498" s="58">
        <v>0.012</v>
      </c>
      <c r="O498" s="9" t="s">
        <v>24</v>
      </c>
      <c r="P498" s="59">
        <v>0.0</v>
      </c>
      <c r="Q498" s="60"/>
      <c r="R498" s="50"/>
      <c r="S498" s="24" t="s">
        <v>108</v>
      </c>
      <c r="T498" s="23" t="s">
        <v>1721</v>
      </c>
      <c r="U498" s="9" t="s">
        <v>29</v>
      </c>
      <c r="V498" s="51" t="str">
        <f t="shared" si="3"/>
        <v>Ativo</v>
      </c>
      <c r="W498" s="45"/>
      <c r="X498" s="52" t="s">
        <v>119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3">
        <v>0.0</v>
      </c>
      <c r="AQ498" s="53">
        <v>0.0</v>
      </c>
      <c r="AR498" s="53">
        <v>0.0</v>
      </c>
      <c r="AS498" s="53">
        <v>0.0</v>
      </c>
      <c r="AT498" s="53">
        <v>0.0</v>
      </c>
      <c r="AU498" s="53" t="str">
        <f t="array" ref="AU498">XLOOKUP(C498,'PL TOTAL D0'!A:A,'PL TOTAL D0'!C:C,"")</f>
        <v/>
      </c>
    </row>
    <row r="499" ht="15.75" customHeight="1">
      <c r="A499" s="41" t="s">
        <v>43</v>
      </c>
      <c r="B499" s="55" t="s">
        <v>1724</v>
      </c>
      <c r="C499" s="21" t="s">
        <v>1725</v>
      </c>
      <c r="D499" s="9" t="s">
        <v>18</v>
      </c>
      <c r="E499" s="24" t="s">
        <v>29</v>
      </c>
      <c r="F499" s="9" t="s">
        <v>294</v>
      </c>
      <c r="G499" s="44" t="str">
        <f t="shared" si="1"/>
        <v>Breno</v>
      </c>
      <c r="H499" s="51" t="s">
        <v>107</v>
      </c>
      <c r="I499" s="51" t="s">
        <v>24</v>
      </c>
      <c r="J499" s="44" t="str">
        <f t="shared" si="7"/>
        <v>Não</v>
      </c>
      <c r="K499" s="57">
        <v>45453.0</v>
      </c>
      <c r="L499" s="62"/>
      <c r="M499" s="24" t="s">
        <v>55</v>
      </c>
      <c r="N499" s="58">
        <v>0.012</v>
      </c>
      <c r="O499" s="9" t="s">
        <v>24</v>
      </c>
      <c r="P499" s="59">
        <v>0.0</v>
      </c>
      <c r="Q499" s="60"/>
      <c r="R499" s="50"/>
      <c r="S499" s="24" t="s">
        <v>108</v>
      </c>
      <c r="T499" s="23" t="s">
        <v>1726</v>
      </c>
      <c r="U499" s="9" t="s">
        <v>29</v>
      </c>
      <c r="V499" s="51" t="str">
        <f t="shared" si="3"/>
        <v>Ativo</v>
      </c>
      <c r="W499" s="24" t="s">
        <v>67</v>
      </c>
      <c r="X499" s="52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/>
      <c r="AQ499" s="53"/>
      <c r="AR499" s="53"/>
      <c r="AS499" s="53"/>
      <c r="AT499" s="53">
        <v>694317.1</v>
      </c>
      <c r="AU499" s="53">
        <f t="array" ref="AU499">XLOOKUP(C499,'PL TOTAL D0'!A:A,'PL TOTAL D0'!C:C,"")</f>
        <v>697054.8</v>
      </c>
    </row>
    <row r="500" ht="15.75" customHeight="1">
      <c r="A500" s="41" t="s">
        <v>43</v>
      </c>
      <c r="B500" s="128" t="s">
        <v>1727</v>
      </c>
      <c r="C500" s="43" t="s">
        <v>1728</v>
      </c>
      <c r="D500" s="44" t="s">
        <v>105</v>
      </c>
      <c r="E500" s="45" t="s">
        <v>29</v>
      </c>
      <c r="F500" s="44" t="s">
        <v>412</v>
      </c>
      <c r="G500" s="44" t="str">
        <f t="shared" si="1"/>
        <v>Bruno</v>
      </c>
      <c r="H500" s="46" t="s">
        <v>107</v>
      </c>
      <c r="I500" s="46" t="s">
        <v>24</v>
      </c>
      <c r="J500" s="44" t="str">
        <f t="shared" si="7"/>
        <v>Sim</v>
      </c>
      <c r="K500" s="47">
        <v>45105.0</v>
      </c>
      <c r="L500" s="62"/>
      <c r="M500" s="45" t="s">
        <v>55</v>
      </c>
      <c r="N500" s="48">
        <v>0.0085</v>
      </c>
      <c r="O500" s="44" t="s">
        <v>24</v>
      </c>
      <c r="P500" s="49">
        <v>0.0</v>
      </c>
      <c r="Q500" s="60" t="s">
        <v>1251</v>
      </c>
      <c r="R500" s="50"/>
      <c r="S500" s="45" t="s">
        <v>108</v>
      </c>
      <c r="T500" s="24" t="s">
        <v>1729</v>
      </c>
      <c r="U500" s="9" t="s">
        <v>34</v>
      </c>
      <c r="V500" s="51" t="str">
        <f t="shared" si="3"/>
        <v>Ativo</v>
      </c>
      <c r="W500" s="45"/>
      <c r="X500" s="52" t="s">
        <v>110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>
        <v>791856.43</v>
      </c>
      <c r="AJ500" s="54">
        <v>817625.14</v>
      </c>
      <c r="AK500" s="54">
        <v>819516.43</v>
      </c>
      <c r="AL500" s="54">
        <v>885191.86</v>
      </c>
      <c r="AM500" s="54">
        <v>886981.65</v>
      </c>
      <c r="AN500" s="54">
        <v>892805.98</v>
      </c>
      <c r="AO500" s="54">
        <v>883088.38</v>
      </c>
      <c r="AP500" s="53">
        <v>890559.72</v>
      </c>
      <c r="AQ500" s="53">
        <v>898278.39</v>
      </c>
      <c r="AR500" s="53">
        <v>984105.29</v>
      </c>
      <c r="AS500" s="53">
        <v>992243.5</v>
      </c>
      <c r="AT500" s="53">
        <v>1000850.0</v>
      </c>
      <c r="AU500" s="53">
        <f t="array" ref="AU500">XLOOKUP(C500,'PL TOTAL D0'!A:A,'PL TOTAL D0'!C:C,"")</f>
        <v>1004622</v>
      </c>
    </row>
    <row r="501" ht="15.75" customHeight="1">
      <c r="A501" s="41" t="s">
        <v>43</v>
      </c>
      <c r="B501" s="121" t="s">
        <v>1730</v>
      </c>
      <c r="C501" s="56" t="s">
        <v>1731</v>
      </c>
      <c r="D501" s="9" t="s">
        <v>105</v>
      </c>
      <c r="E501" s="24" t="s">
        <v>29</v>
      </c>
      <c r="F501" s="9" t="s">
        <v>1732</v>
      </c>
      <c r="G501" s="44" t="str">
        <f t="shared" si="1"/>
        <v>Breno</v>
      </c>
      <c r="H501" s="51" t="s">
        <v>107</v>
      </c>
      <c r="I501" s="51" t="s">
        <v>24</v>
      </c>
      <c r="J501" s="44" t="str">
        <f t="shared" si="7"/>
        <v>Não</v>
      </c>
      <c r="K501" s="57">
        <v>45476.0</v>
      </c>
      <c r="L501" s="62"/>
      <c r="M501" s="24" t="s">
        <v>55</v>
      </c>
      <c r="N501" s="58">
        <v>0.012</v>
      </c>
      <c r="O501" s="9" t="s">
        <v>24</v>
      </c>
      <c r="P501" s="59">
        <v>0.0</v>
      </c>
      <c r="Q501" s="60"/>
      <c r="R501" s="50"/>
      <c r="S501" s="24" t="s">
        <v>108</v>
      </c>
      <c r="T501" s="24" t="s">
        <v>1733</v>
      </c>
      <c r="U501" s="9" t="s">
        <v>152</v>
      </c>
      <c r="V501" s="51" t="str">
        <f t="shared" si="3"/>
        <v>Ativo</v>
      </c>
      <c r="W501" s="24" t="s">
        <v>75</v>
      </c>
      <c r="X501" s="52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3"/>
      <c r="AQ501" s="53"/>
      <c r="AR501" s="53"/>
      <c r="AS501" s="53"/>
      <c r="AT501" s="53"/>
      <c r="AU501" s="53">
        <f t="array" ref="AU501">XLOOKUP(C501,'PL TOTAL D0'!A:A,'PL TOTAL D0'!C:C,"")</f>
        <v>665132.6</v>
      </c>
    </row>
    <row r="502" ht="15.75" customHeight="1">
      <c r="A502" s="41" t="s">
        <v>43</v>
      </c>
      <c r="B502" s="42" t="s">
        <v>1734</v>
      </c>
      <c r="C502" s="43" t="s">
        <v>1735</v>
      </c>
      <c r="D502" s="44" t="s">
        <v>105</v>
      </c>
      <c r="E502" s="45" t="s">
        <v>29</v>
      </c>
      <c r="F502" s="44" t="s">
        <v>106</v>
      </c>
      <c r="G502" s="44" t="str">
        <f t="shared" si="1"/>
        <v>Breno</v>
      </c>
      <c r="H502" s="46" t="s">
        <v>107</v>
      </c>
      <c r="I502" s="46" t="s">
        <v>24</v>
      </c>
      <c r="J502" s="44" t="str">
        <f t="shared" si="7"/>
        <v>Sim</v>
      </c>
      <c r="K502" s="47">
        <v>45132.0</v>
      </c>
      <c r="L502" s="62"/>
      <c r="M502" s="45" t="s">
        <v>55</v>
      </c>
      <c r="N502" s="48">
        <v>0.007</v>
      </c>
      <c r="O502" s="44" t="s">
        <v>24</v>
      </c>
      <c r="P502" s="49">
        <v>0.0</v>
      </c>
      <c r="Q502" s="60" t="s">
        <v>1736</v>
      </c>
      <c r="R502" s="50"/>
      <c r="S502" s="45" t="s">
        <v>108</v>
      </c>
      <c r="T502" s="24" t="s">
        <v>1737</v>
      </c>
      <c r="U502" s="9" t="s">
        <v>34</v>
      </c>
      <c r="V502" s="51" t="str">
        <f t="shared" si="3"/>
        <v>Ativo</v>
      </c>
      <c r="W502" s="45"/>
      <c r="X502" s="52" t="s">
        <v>119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>
        <v>565393.68</v>
      </c>
      <c r="AJ502" s="54">
        <v>544900.07</v>
      </c>
      <c r="AK502" s="54">
        <v>512555.95</v>
      </c>
      <c r="AL502" s="54">
        <v>500246.61</v>
      </c>
      <c r="AM502" s="54">
        <v>486733.81</v>
      </c>
      <c r="AN502" s="54">
        <v>463036.36</v>
      </c>
      <c r="AO502" s="54">
        <v>419820.89</v>
      </c>
      <c r="AP502" s="53">
        <v>396521.35</v>
      </c>
      <c r="AQ502" s="53">
        <v>388775.0</v>
      </c>
      <c r="AR502" s="53">
        <v>369081.1</v>
      </c>
      <c r="AS502" s="53">
        <v>355948.6</v>
      </c>
      <c r="AT502" s="53">
        <v>443221.3</v>
      </c>
      <c r="AU502" s="53">
        <f t="array" ref="AU502">XLOOKUP(C502,'PL TOTAL D0'!A:A,'PL TOTAL D0'!C:C,"")</f>
        <v>456932.6</v>
      </c>
    </row>
    <row r="503" ht="15.75" customHeight="1">
      <c r="A503" s="41" t="s">
        <v>43</v>
      </c>
      <c r="B503" s="42" t="s">
        <v>1738</v>
      </c>
      <c r="C503" s="43" t="s">
        <v>1739</v>
      </c>
      <c r="D503" s="44" t="s">
        <v>18</v>
      </c>
      <c r="E503" s="45" t="s">
        <v>29</v>
      </c>
      <c r="F503" s="44" t="s">
        <v>294</v>
      </c>
      <c r="G503" s="44" t="str">
        <f t="shared" si="1"/>
        <v>Bruno</v>
      </c>
      <c r="H503" s="46" t="s">
        <v>107</v>
      </c>
      <c r="I503" s="46" t="s">
        <v>24</v>
      </c>
      <c r="J503" s="44" t="str">
        <f t="shared" si="7"/>
        <v>Não</v>
      </c>
      <c r="K503" s="47">
        <v>45158.0</v>
      </c>
      <c r="L503" s="62"/>
      <c r="M503" s="45" t="s">
        <v>785</v>
      </c>
      <c r="N503" s="48">
        <v>0.008</v>
      </c>
      <c r="O503" s="44" t="s">
        <v>24</v>
      </c>
      <c r="P503" s="49">
        <v>0.0</v>
      </c>
      <c r="Q503" s="139"/>
      <c r="R503" s="139"/>
      <c r="S503" s="45" t="s">
        <v>108</v>
      </c>
      <c r="T503" s="24" t="s">
        <v>1740</v>
      </c>
      <c r="U503" s="9" t="s">
        <v>29</v>
      </c>
      <c r="V503" s="51" t="str">
        <f t="shared" si="3"/>
        <v>Ativo</v>
      </c>
      <c r="W503" s="45"/>
      <c r="X503" s="52" t="s">
        <v>119</v>
      </c>
      <c r="Y503" s="54"/>
      <c r="Z503" s="54"/>
      <c r="AA503" s="54"/>
      <c r="AB503" s="54"/>
      <c r="AC503" s="54"/>
      <c r="AD503" s="54"/>
      <c r="AE503" s="54"/>
      <c r="AF503" s="54">
        <v>0.0</v>
      </c>
      <c r="AG503" s="54">
        <v>0.0</v>
      </c>
      <c r="AH503" s="54">
        <v>0.0</v>
      </c>
      <c r="AI503" s="54">
        <v>0.0</v>
      </c>
      <c r="AJ503" s="54">
        <v>1194211.62</v>
      </c>
      <c r="AK503" s="54">
        <v>1208400.83</v>
      </c>
      <c r="AL503" s="54">
        <v>1219197.63</v>
      </c>
      <c r="AM503" s="54">
        <v>1229323.33</v>
      </c>
      <c r="AN503" s="54">
        <v>1244149.42</v>
      </c>
      <c r="AO503" s="54">
        <v>1255754.27</v>
      </c>
      <c r="AP503" s="53">
        <v>1264467.51</v>
      </c>
      <c r="AQ503" s="53">
        <v>1277140.44</v>
      </c>
      <c r="AR503" s="53">
        <v>1282517.68</v>
      </c>
      <c r="AS503" s="53">
        <v>1291567.0</v>
      </c>
      <c r="AT503" s="53">
        <v>1300141.0</v>
      </c>
      <c r="AU503" s="53">
        <f t="array" ref="AU503">XLOOKUP(C503,'PL TOTAL D0'!A:A,'PL TOTAL D0'!C:C,"")</f>
        <v>1307487</v>
      </c>
    </row>
    <row r="504" ht="15.75" customHeight="1">
      <c r="A504" s="41" t="s">
        <v>43</v>
      </c>
      <c r="B504" s="42" t="s">
        <v>1738</v>
      </c>
      <c r="C504" s="43" t="s">
        <v>1741</v>
      </c>
      <c r="D504" s="44" t="s">
        <v>18</v>
      </c>
      <c r="E504" s="45" t="s">
        <v>29</v>
      </c>
      <c r="F504" s="44" t="s">
        <v>294</v>
      </c>
      <c r="G504" s="44" t="str">
        <f t="shared" si="1"/>
        <v>#N/A</v>
      </c>
      <c r="H504" s="46" t="s">
        <v>147</v>
      </c>
      <c r="I504" s="46" t="s">
        <v>219</v>
      </c>
      <c r="J504" s="44" t="str">
        <f t="shared" si="7"/>
        <v>Não</v>
      </c>
      <c r="K504" s="47">
        <v>45163.0</v>
      </c>
      <c r="L504" s="62"/>
      <c r="M504" s="45" t="s">
        <v>55</v>
      </c>
      <c r="N504" s="48">
        <v>0.012</v>
      </c>
      <c r="O504" s="44" t="s">
        <v>24</v>
      </c>
      <c r="P504" s="49">
        <v>0.0</v>
      </c>
      <c r="Q504" s="50"/>
      <c r="R504" s="50" t="s">
        <v>1742</v>
      </c>
      <c r="S504" s="45" t="s">
        <v>108</v>
      </c>
      <c r="T504" s="24" t="s">
        <v>1740</v>
      </c>
      <c r="U504" s="9" t="s">
        <v>29</v>
      </c>
      <c r="V504" s="51" t="str">
        <f t="shared" si="3"/>
        <v>Ativo</v>
      </c>
      <c r="W504" s="45"/>
      <c r="X504" s="52" t="s">
        <v>119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>
        <v>0.0</v>
      </c>
      <c r="AI504" s="54">
        <v>0.0</v>
      </c>
      <c r="AJ504" s="54">
        <v>0.0</v>
      </c>
      <c r="AK504" s="54">
        <v>0.0</v>
      </c>
      <c r="AL504" s="54">
        <v>0.0</v>
      </c>
      <c r="AM504" s="54">
        <v>0.0</v>
      </c>
      <c r="AN504" s="54">
        <v>0.0</v>
      </c>
      <c r="AO504" s="54">
        <v>0.0</v>
      </c>
      <c r="AP504" s="53">
        <v>0.0</v>
      </c>
      <c r="AQ504" s="53">
        <v>0.0</v>
      </c>
      <c r="AR504" s="53">
        <v>0.0</v>
      </c>
      <c r="AS504" s="53">
        <v>0.0</v>
      </c>
      <c r="AT504" s="53">
        <v>0.0</v>
      </c>
      <c r="AU504" s="53" t="str">
        <f t="array" ref="AU504">XLOOKUP(C504,'PL TOTAL D0'!A:A,'PL TOTAL D0'!C:C,"")</f>
        <v/>
      </c>
    </row>
    <row r="505" ht="15.75" customHeight="1">
      <c r="A505" s="41" t="s">
        <v>43</v>
      </c>
      <c r="B505" s="64" t="s">
        <v>1743</v>
      </c>
      <c r="C505" s="65" t="s">
        <v>1744</v>
      </c>
      <c r="D505" s="9" t="s">
        <v>52</v>
      </c>
      <c r="E505" s="24" t="s">
        <v>19</v>
      </c>
      <c r="F505" s="9" t="s">
        <v>53</v>
      </c>
      <c r="G505" s="44" t="str">
        <f t="shared" si="1"/>
        <v>Breno</v>
      </c>
      <c r="H505" s="51" t="s">
        <v>107</v>
      </c>
      <c r="I505" s="51" t="s">
        <v>24</v>
      </c>
      <c r="J505" s="44" t="str">
        <f t="shared" si="7"/>
        <v>Não</v>
      </c>
      <c r="K505" s="57">
        <v>45387.0</v>
      </c>
      <c r="L505" s="62"/>
      <c r="M505" s="24" t="s">
        <v>55</v>
      </c>
      <c r="N505" s="58">
        <v>0.012</v>
      </c>
      <c r="O505" s="9" t="s">
        <v>24</v>
      </c>
      <c r="P505" s="59">
        <v>0.0</v>
      </c>
      <c r="Q505" s="139"/>
      <c r="R505" s="139"/>
      <c r="S505" s="24" t="s">
        <v>108</v>
      </c>
      <c r="T505" s="5" t="s">
        <v>1745</v>
      </c>
      <c r="U505" s="9" t="s">
        <v>19</v>
      </c>
      <c r="V505" s="51" t="str">
        <f t="shared" si="3"/>
        <v>Ativo</v>
      </c>
      <c r="W505" s="45"/>
      <c r="X505" s="52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3"/>
      <c r="AQ505" s="53"/>
      <c r="AR505" s="53">
        <v>419685.46</v>
      </c>
      <c r="AS505" s="53">
        <v>424040.7</v>
      </c>
      <c r="AT505" s="53">
        <v>423929.0</v>
      </c>
      <c r="AU505" s="53">
        <f t="array" ref="AU505">XLOOKUP(C505,'PL TOTAL D0'!A:A,'PL TOTAL D0'!C:C,"")</f>
        <v>431436.5</v>
      </c>
    </row>
    <row r="506" ht="15.75" customHeight="1">
      <c r="A506" s="41" t="s">
        <v>43</v>
      </c>
      <c r="B506" s="64" t="s">
        <v>1746</v>
      </c>
      <c r="C506" s="65" t="s">
        <v>1747</v>
      </c>
      <c r="D506" s="9" t="s">
        <v>18</v>
      </c>
      <c r="E506" s="24" t="s">
        <v>29</v>
      </c>
      <c r="F506" s="9" t="s">
        <v>632</v>
      </c>
      <c r="G506" s="44" t="str">
        <f t="shared" si="1"/>
        <v>Breno</v>
      </c>
      <c r="H506" s="51" t="s">
        <v>107</v>
      </c>
      <c r="I506" s="51" t="s">
        <v>24</v>
      </c>
      <c r="J506" s="44" t="str">
        <f t="shared" si="7"/>
        <v>Sim</v>
      </c>
      <c r="K506" s="57">
        <v>45401.0</v>
      </c>
      <c r="L506" s="62"/>
      <c r="M506" s="24" t="s">
        <v>79</v>
      </c>
      <c r="N506" s="58">
        <v>0.012</v>
      </c>
      <c r="O506" s="9" t="s">
        <v>48</v>
      </c>
      <c r="P506" s="59">
        <v>0.1</v>
      </c>
      <c r="Q506" s="60" t="s">
        <v>1748</v>
      </c>
      <c r="R506" s="139"/>
      <c r="S506" s="24" t="s">
        <v>108</v>
      </c>
      <c r="T506" s="5" t="s">
        <v>1749</v>
      </c>
      <c r="U506" s="9" t="s">
        <v>29</v>
      </c>
      <c r="V506" s="51" t="str">
        <f t="shared" si="3"/>
        <v>Ativo</v>
      </c>
      <c r="W506" s="24" t="s">
        <v>75</v>
      </c>
      <c r="X506" s="52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3"/>
      <c r="AQ506" s="53"/>
      <c r="AR506" s="53">
        <v>967127.32</v>
      </c>
      <c r="AS506" s="53">
        <v>942343.1</v>
      </c>
      <c r="AT506" s="53">
        <v>936256.9</v>
      </c>
      <c r="AU506" s="53">
        <f t="array" ref="AU506">XLOOKUP(C506,'PL TOTAL D0'!A:A,'PL TOTAL D0'!C:C,"")</f>
        <v>942246.4</v>
      </c>
    </row>
    <row r="507" ht="15.0" customHeight="1">
      <c r="A507" s="41" t="s">
        <v>43</v>
      </c>
      <c r="B507" s="42" t="s">
        <v>1750</v>
      </c>
      <c r="C507" s="43" t="s">
        <v>1751</v>
      </c>
      <c r="D507" s="44" t="s">
        <v>18</v>
      </c>
      <c r="E507" s="45" t="s">
        <v>19</v>
      </c>
      <c r="F507" s="44" t="s">
        <v>122</v>
      </c>
      <c r="G507" s="44" t="str">
        <f t="shared" si="1"/>
        <v>Breno</v>
      </c>
      <c r="H507" s="51" t="s">
        <v>107</v>
      </c>
      <c r="I507" s="51" t="s">
        <v>24</v>
      </c>
      <c r="J507" s="44" t="str">
        <f t="shared" si="7"/>
        <v>Sim</v>
      </c>
      <c r="K507" s="47">
        <v>44957.0</v>
      </c>
      <c r="L507" s="45"/>
      <c r="M507" s="24" t="s">
        <v>190</v>
      </c>
      <c r="N507" s="58">
        <v>0.012</v>
      </c>
      <c r="O507" s="9" t="s">
        <v>191</v>
      </c>
      <c r="P507" s="59">
        <v>0.2</v>
      </c>
      <c r="Q507" s="76" t="s">
        <v>1752</v>
      </c>
      <c r="R507" s="138" t="s">
        <v>1637</v>
      </c>
      <c r="S507" s="45" t="s">
        <v>108</v>
      </c>
      <c r="T507" s="24" t="s">
        <v>1753</v>
      </c>
      <c r="U507" s="9" t="s">
        <v>19</v>
      </c>
      <c r="V507" s="51" t="str">
        <f t="shared" si="3"/>
        <v>Ativo</v>
      </c>
      <c r="W507" s="24" t="s">
        <v>67</v>
      </c>
      <c r="X507" s="52" t="s">
        <v>119</v>
      </c>
      <c r="Y507" s="54"/>
      <c r="Z507" s="54"/>
      <c r="AA507" s="54"/>
      <c r="AB507" s="54"/>
      <c r="AC507" s="54">
        <v>11787.84</v>
      </c>
      <c r="AD507" s="54">
        <v>22682.07</v>
      </c>
      <c r="AE507" s="54">
        <v>26103.99</v>
      </c>
      <c r="AF507" s="54">
        <v>56051.76</v>
      </c>
      <c r="AG507" s="54">
        <v>52222.99</v>
      </c>
      <c r="AH507" s="54">
        <v>54504.69</v>
      </c>
      <c r="AI507" s="54">
        <v>52409.24</v>
      </c>
      <c r="AJ507" s="54">
        <v>49494.51</v>
      </c>
      <c r="AK507" s="54">
        <v>1410.83</v>
      </c>
      <c r="AL507" s="54">
        <v>397.94</v>
      </c>
      <c r="AM507" s="54">
        <v>452.52</v>
      </c>
      <c r="AN507" s="54">
        <v>514.44</v>
      </c>
      <c r="AO507" s="54">
        <v>495.5</v>
      </c>
      <c r="AP507" s="53">
        <v>557.09</v>
      </c>
      <c r="AQ507" s="53">
        <v>33853.44</v>
      </c>
      <c r="AR507" s="53">
        <v>131448.95</v>
      </c>
      <c r="AS507" s="53">
        <v>640452.8</v>
      </c>
      <c r="AT507" s="53">
        <v>634993.9</v>
      </c>
      <c r="AU507" s="53">
        <f t="array" ref="AU507">XLOOKUP(C507,'PL TOTAL D0'!A:A,'PL TOTAL D0'!C:C,"")</f>
        <v>643655.8</v>
      </c>
    </row>
    <row r="508" ht="15.0" customHeight="1">
      <c r="A508" s="41" t="s">
        <v>43</v>
      </c>
      <c r="B508" s="42" t="s">
        <v>1750</v>
      </c>
      <c r="C508" s="43" t="s">
        <v>1754</v>
      </c>
      <c r="D508" s="44" t="s">
        <v>18</v>
      </c>
      <c r="E508" s="45" t="s">
        <v>19</v>
      </c>
      <c r="F508" s="44" t="s">
        <v>122</v>
      </c>
      <c r="G508" s="44" t="str">
        <f t="shared" si="1"/>
        <v>Bruno</v>
      </c>
      <c r="H508" s="51" t="s">
        <v>107</v>
      </c>
      <c r="I508" s="51" t="s">
        <v>24</v>
      </c>
      <c r="J508" s="44" t="str">
        <f t="shared" si="7"/>
        <v>Não</v>
      </c>
      <c r="K508" s="47">
        <v>44957.0</v>
      </c>
      <c r="L508" s="45"/>
      <c r="M508" s="24" t="s">
        <v>55</v>
      </c>
      <c r="N508" s="48">
        <v>0.01</v>
      </c>
      <c r="O508" s="44" t="s">
        <v>24</v>
      </c>
      <c r="P508" s="49">
        <v>0.0</v>
      </c>
      <c r="Q508" s="63"/>
      <c r="R508" s="50" t="s">
        <v>1755</v>
      </c>
      <c r="S508" s="45" t="s">
        <v>108</v>
      </c>
      <c r="T508" s="24" t="s">
        <v>1753</v>
      </c>
      <c r="U508" s="9" t="s">
        <v>19</v>
      </c>
      <c r="V508" s="51" t="str">
        <f t="shared" si="3"/>
        <v>Ativo</v>
      </c>
      <c r="W508" s="24" t="s">
        <v>67</v>
      </c>
      <c r="X508" s="52" t="s">
        <v>119</v>
      </c>
      <c r="Y508" s="54"/>
      <c r="Z508" s="54"/>
      <c r="AA508" s="54"/>
      <c r="AB508" s="54"/>
      <c r="AC508" s="54">
        <v>817484.12</v>
      </c>
      <c r="AD508" s="54">
        <v>2780380.17</v>
      </c>
      <c r="AE508" s="54">
        <v>2812325.28</v>
      </c>
      <c r="AF508" s="54">
        <v>3204638.15</v>
      </c>
      <c r="AG508" s="54">
        <v>3239178.93</v>
      </c>
      <c r="AH508" s="54">
        <v>3268216.61</v>
      </c>
      <c r="AI508" s="54">
        <v>3297963.12</v>
      </c>
      <c r="AJ508" s="54">
        <v>3323567.62</v>
      </c>
      <c r="AK508" s="54">
        <v>3322940.36</v>
      </c>
      <c r="AL508" s="54">
        <v>3316293.09</v>
      </c>
      <c r="AM508" s="54">
        <v>3365051.12</v>
      </c>
      <c r="AN508" s="54">
        <v>3412356.99</v>
      </c>
      <c r="AO508" s="54">
        <v>3403625.52</v>
      </c>
      <c r="AP508" s="53">
        <v>3428944.68</v>
      </c>
      <c r="AQ508" s="53">
        <v>3431369.99</v>
      </c>
      <c r="AR508" s="53">
        <v>3288861.95</v>
      </c>
      <c r="AS508" s="53">
        <v>2799431.0</v>
      </c>
      <c r="AT508" s="53">
        <v>2816108.0</v>
      </c>
      <c r="AU508" s="53">
        <f t="array" ref="AU508">XLOOKUP(C508,'PL TOTAL D0'!A:A,'PL TOTAL D0'!C:C,"")</f>
        <v>2819923</v>
      </c>
    </row>
    <row r="509" ht="15.75" customHeight="1">
      <c r="A509" s="41" t="s">
        <v>43</v>
      </c>
      <c r="B509" s="61" t="s">
        <v>1756</v>
      </c>
      <c r="C509" s="43" t="s">
        <v>1757</v>
      </c>
      <c r="D509" s="44" t="s">
        <v>18</v>
      </c>
      <c r="E509" s="45" t="s">
        <v>19</v>
      </c>
      <c r="F509" s="44" t="s">
        <v>20</v>
      </c>
      <c r="G509" s="44" t="str">
        <f t="shared" si="1"/>
        <v>#N/A</v>
      </c>
      <c r="H509" s="51" t="s">
        <v>147</v>
      </c>
      <c r="I509" s="46" t="s">
        <v>219</v>
      </c>
      <c r="J509" s="44" t="str">
        <f t="shared" si="7"/>
        <v>Não</v>
      </c>
      <c r="K509" s="47">
        <v>45163.0</v>
      </c>
      <c r="L509" s="45"/>
      <c r="M509" s="45" t="s">
        <v>55</v>
      </c>
      <c r="N509" s="48">
        <v>0.012</v>
      </c>
      <c r="O509" s="44" t="s">
        <v>24</v>
      </c>
      <c r="P509" s="49">
        <v>0.0</v>
      </c>
      <c r="Q509" s="73"/>
      <c r="R509" s="74"/>
      <c r="S509" s="45" t="s">
        <v>108</v>
      </c>
      <c r="T509" s="24" t="s">
        <v>1758</v>
      </c>
      <c r="U509" s="9" t="s">
        <v>19</v>
      </c>
      <c r="V509" s="51" t="str">
        <f t="shared" si="3"/>
        <v>Ativo</v>
      </c>
      <c r="W509" s="45"/>
      <c r="X509" s="52" t="s">
        <v>119</v>
      </c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>
        <v>0.0</v>
      </c>
      <c r="AJ509" s="54">
        <v>0.0</v>
      </c>
      <c r="AK509" s="54">
        <v>0.0</v>
      </c>
      <c r="AL509" s="54">
        <v>0.0</v>
      </c>
      <c r="AM509" s="54">
        <v>0.0</v>
      </c>
      <c r="AN509" s="54">
        <v>0.0</v>
      </c>
      <c r="AO509" s="54">
        <v>0.0</v>
      </c>
      <c r="AP509" s="53">
        <v>0.0</v>
      </c>
      <c r="AQ509" s="53">
        <v>0.0</v>
      </c>
      <c r="AR509" s="53">
        <v>0.0</v>
      </c>
      <c r="AS509" s="53">
        <v>0.0</v>
      </c>
      <c r="AT509" s="53">
        <v>0.0</v>
      </c>
      <c r="AU509" s="53" t="str">
        <f t="array" ref="AU509">XLOOKUP(C509,'PL TOTAL D0'!A:A,'PL TOTAL D0'!C:C,"")</f>
        <v/>
      </c>
    </row>
    <row r="510" ht="15.75" customHeight="1">
      <c r="A510" s="41" t="s">
        <v>43</v>
      </c>
      <c r="B510" s="42" t="s">
        <v>1759</v>
      </c>
      <c r="C510" s="43" t="s">
        <v>1760</v>
      </c>
      <c r="D510" s="44" t="s">
        <v>18</v>
      </c>
      <c r="E510" s="45" t="s">
        <v>176</v>
      </c>
      <c r="F510" s="44" t="s">
        <v>197</v>
      </c>
      <c r="G510" s="44" t="str">
        <f t="shared" si="1"/>
        <v>#N/A</v>
      </c>
      <c r="H510" s="46" t="s">
        <v>147</v>
      </c>
      <c r="I510" s="46" t="s">
        <v>219</v>
      </c>
      <c r="J510" s="44" t="str">
        <f t="shared" si="7"/>
        <v>Não</v>
      </c>
      <c r="K510" s="47">
        <v>45163.0</v>
      </c>
      <c r="L510" s="62"/>
      <c r="M510" s="45" t="s">
        <v>55</v>
      </c>
      <c r="N510" s="48">
        <v>0.012</v>
      </c>
      <c r="O510" s="44" t="s">
        <v>24</v>
      </c>
      <c r="P510" s="49">
        <v>0.0</v>
      </c>
      <c r="Q510" s="139"/>
      <c r="R510" s="50" t="s">
        <v>1667</v>
      </c>
      <c r="S510" s="45" t="s">
        <v>108</v>
      </c>
      <c r="T510" s="24" t="s">
        <v>1761</v>
      </c>
      <c r="U510" s="9" t="s">
        <v>180</v>
      </c>
      <c r="V510" s="51" t="str">
        <f t="shared" si="3"/>
        <v>Ativo</v>
      </c>
      <c r="W510" s="45"/>
      <c r="X510" s="52" t="s">
        <v>110</v>
      </c>
      <c r="Y510" s="54"/>
      <c r="Z510" s="54"/>
      <c r="AA510" s="54"/>
      <c r="AB510" s="54"/>
      <c r="AC510" s="54"/>
      <c r="AD510" s="54"/>
      <c r="AE510" s="54"/>
      <c r="AF510" s="54">
        <v>0.0</v>
      </c>
      <c r="AG510" s="54">
        <v>0.0</v>
      </c>
      <c r="AH510" s="54">
        <v>0.0</v>
      </c>
      <c r="AI510" s="54">
        <v>0.0</v>
      </c>
      <c r="AJ510" s="54">
        <v>0.0</v>
      </c>
      <c r="AK510" s="54">
        <v>0.0</v>
      </c>
      <c r="AL510" s="54">
        <v>0.0</v>
      </c>
      <c r="AM510" s="54">
        <v>0.0</v>
      </c>
      <c r="AN510" s="54">
        <v>0.0</v>
      </c>
      <c r="AO510" s="54">
        <v>0.0</v>
      </c>
      <c r="AP510" s="53">
        <v>0.0</v>
      </c>
      <c r="AQ510" s="53">
        <v>0.0</v>
      </c>
      <c r="AR510" s="53">
        <v>0.0</v>
      </c>
      <c r="AS510" s="53">
        <v>0.0</v>
      </c>
      <c r="AT510" s="53">
        <v>0.0</v>
      </c>
      <c r="AU510" s="53" t="str">
        <f t="array" ref="AU510">XLOOKUP(C510,'PL TOTAL D0'!A:A,'PL TOTAL D0'!C:C,"")</f>
        <v/>
      </c>
    </row>
    <row r="511" ht="15.75" customHeight="1">
      <c r="A511" s="41" t="s">
        <v>43</v>
      </c>
      <c r="B511" s="42" t="s">
        <v>1762</v>
      </c>
      <c r="C511" s="67" t="s">
        <v>1763</v>
      </c>
      <c r="D511" s="44" t="s">
        <v>18</v>
      </c>
      <c r="E511" s="45" t="s">
        <v>19</v>
      </c>
      <c r="F511" s="221" t="s">
        <v>20</v>
      </c>
      <c r="G511" s="44" t="str">
        <f t="shared" si="1"/>
        <v>Augusto</v>
      </c>
      <c r="H511" s="46" t="s">
        <v>107</v>
      </c>
      <c r="I511" s="46" t="s">
        <v>24</v>
      </c>
      <c r="J511" s="44" t="str">
        <f t="shared" si="7"/>
        <v>Não</v>
      </c>
      <c r="K511" s="47">
        <v>45173.0</v>
      </c>
      <c r="L511" s="117"/>
      <c r="M511" s="45" t="s">
        <v>55</v>
      </c>
      <c r="N511" s="48">
        <v>0.012</v>
      </c>
      <c r="O511" s="44" t="s">
        <v>24</v>
      </c>
      <c r="P511" s="49">
        <v>0.0</v>
      </c>
      <c r="Q511" s="222"/>
      <c r="R511" s="60"/>
      <c r="S511" s="45" t="s">
        <v>108</v>
      </c>
      <c r="T511" s="24" t="s">
        <v>1764</v>
      </c>
      <c r="U511" s="125" t="s">
        <v>19</v>
      </c>
      <c r="V511" s="51" t="str">
        <f t="shared" si="3"/>
        <v>Ativo</v>
      </c>
      <c r="W511" s="222"/>
      <c r="X511" s="60" t="s">
        <v>119</v>
      </c>
      <c r="Y511" s="222"/>
      <c r="Z511" s="223"/>
      <c r="AA511" s="223"/>
      <c r="AB511" s="223"/>
      <c r="AC511" s="223"/>
      <c r="AD511" s="223"/>
      <c r="AE511" s="223"/>
      <c r="AF511" s="223"/>
      <c r="AG511" s="223"/>
      <c r="AH511" s="223"/>
      <c r="AI511" s="223"/>
      <c r="AJ511" s="224">
        <v>0.0</v>
      </c>
      <c r="AK511" s="54">
        <v>70505.92</v>
      </c>
      <c r="AL511" s="54">
        <v>71100.93</v>
      </c>
      <c r="AM511" s="54">
        <v>71586.33</v>
      </c>
      <c r="AN511" s="54">
        <v>72109.81</v>
      </c>
      <c r="AO511" s="54">
        <v>72717.95</v>
      </c>
      <c r="AP511" s="53">
        <v>73256.82</v>
      </c>
      <c r="AQ511" s="53">
        <v>73840.23</v>
      </c>
      <c r="AR511" s="53">
        <v>74216.2</v>
      </c>
      <c r="AS511" s="53">
        <v>74779.01</v>
      </c>
      <c r="AT511" s="53">
        <v>75375.78</v>
      </c>
      <c r="AU511" s="53">
        <f t="array" ref="AU511">XLOOKUP(C511,'PL TOTAL D0'!A:A,'PL TOTAL D0'!C:C,"")</f>
        <v>75631.32</v>
      </c>
    </row>
    <row r="512" ht="15.75" customHeight="1">
      <c r="A512" s="41" t="s">
        <v>43</v>
      </c>
      <c r="B512" s="42" t="s">
        <v>1765</v>
      </c>
      <c r="C512" s="43" t="s">
        <v>1766</v>
      </c>
      <c r="D512" s="44" t="s">
        <v>18</v>
      </c>
      <c r="E512" s="45" t="s">
        <v>29</v>
      </c>
      <c r="F512" s="44" t="s">
        <v>704</v>
      </c>
      <c r="G512" s="44" t="str">
        <f t="shared" si="1"/>
        <v>Bruno</v>
      </c>
      <c r="H512" s="46" t="s">
        <v>107</v>
      </c>
      <c r="I512" s="46" t="s">
        <v>24</v>
      </c>
      <c r="J512" s="44" t="str">
        <f t="shared" si="7"/>
        <v>Não</v>
      </c>
      <c r="K512" s="47">
        <v>44993.0</v>
      </c>
      <c r="L512" s="45"/>
      <c r="M512" s="45" t="s">
        <v>55</v>
      </c>
      <c r="N512" s="48">
        <v>0.007</v>
      </c>
      <c r="O512" s="44" t="s">
        <v>24</v>
      </c>
      <c r="P512" s="49">
        <v>0.0</v>
      </c>
      <c r="Q512" s="50"/>
      <c r="R512" s="139"/>
      <c r="S512" s="45" t="s">
        <v>108</v>
      </c>
      <c r="T512" s="24" t="s">
        <v>1767</v>
      </c>
      <c r="U512" s="9" t="s">
        <v>19</v>
      </c>
      <c r="V512" s="51" t="str">
        <f t="shared" si="3"/>
        <v>Ativo</v>
      </c>
      <c r="W512" s="45"/>
      <c r="X512" s="52" t="s">
        <v>119</v>
      </c>
      <c r="Y512" s="54"/>
      <c r="Z512" s="54"/>
      <c r="AA512" s="54"/>
      <c r="AB512" s="54"/>
      <c r="AC512" s="54"/>
      <c r="AD512" s="54">
        <v>0.0</v>
      </c>
      <c r="AE512" s="54">
        <v>1604739.39</v>
      </c>
      <c r="AF512" s="54">
        <v>1473903.2</v>
      </c>
      <c r="AG512" s="54">
        <v>1481389.2</v>
      </c>
      <c r="AH512" s="54">
        <v>1491823.87</v>
      </c>
      <c r="AI512" s="54">
        <v>1242237.9</v>
      </c>
      <c r="AJ512" s="54">
        <v>1248948.75</v>
      </c>
      <c r="AK512" s="54">
        <v>1248278.35</v>
      </c>
      <c r="AL512" s="54">
        <v>1249070.19</v>
      </c>
      <c r="AM512" s="54">
        <v>1262605.28</v>
      </c>
      <c r="AN512" s="54">
        <v>1269804.17</v>
      </c>
      <c r="AO512" s="54">
        <v>1268448.41</v>
      </c>
      <c r="AP512" s="53">
        <v>1277858.49</v>
      </c>
      <c r="AQ512" s="53">
        <v>1200219.25</v>
      </c>
      <c r="AR512" s="53">
        <v>1203299.21</v>
      </c>
      <c r="AS512" s="53">
        <v>1212906.0</v>
      </c>
      <c r="AT512" s="53">
        <v>1223279.0</v>
      </c>
      <c r="AU512" s="53">
        <f t="array" ref="AU512">XLOOKUP(C512,'PL TOTAL D0'!A:A,'PL TOTAL D0'!C:C,"")</f>
        <v>1227627</v>
      </c>
    </row>
    <row r="513" ht="15.75" customHeight="1">
      <c r="A513" s="41" t="s">
        <v>43</v>
      </c>
      <c r="B513" s="66" t="s">
        <v>1768</v>
      </c>
      <c r="C513" s="67" t="s">
        <v>1769</v>
      </c>
      <c r="D513" s="44" t="s">
        <v>105</v>
      </c>
      <c r="E513" s="45" t="s">
        <v>29</v>
      </c>
      <c r="F513" s="44" t="s">
        <v>106</v>
      </c>
      <c r="G513" s="44" t="str">
        <f t="shared" si="1"/>
        <v>Bruno</v>
      </c>
      <c r="H513" s="46" t="s">
        <v>107</v>
      </c>
      <c r="I513" s="46" t="s">
        <v>24</v>
      </c>
      <c r="J513" s="44" t="str">
        <f t="shared" si="7"/>
        <v>Não</v>
      </c>
      <c r="K513" s="47">
        <v>45184.0</v>
      </c>
      <c r="L513" s="117"/>
      <c r="M513" s="45" t="s">
        <v>55</v>
      </c>
      <c r="N513" s="48">
        <v>0.008</v>
      </c>
      <c r="O513" s="44" t="s">
        <v>24</v>
      </c>
      <c r="P513" s="49">
        <v>0.0</v>
      </c>
      <c r="Q513" s="41"/>
      <c r="R513" s="111"/>
      <c r="S513" s="45" t="s">
        <v>108</v>
      </c>
      <c r="T513" s="24" t="s">
        <v>1770</v>
      </c>
      <c r="U513" s="125" t="s">
        <v>29</v>
      </c>
      <c r="V513" s="51" t="str">
        <f t="shared" si="3"/>
        <v>Ativo</v>
      </c>
      <c r="W513" s="222"/>
      <c r="X513" s="60" t="s">
        <v>110</v>
      </c>
      <c r="Y513" s="222"/>
      <c r="Z513" s="223"/>
      <c r="AA513" s="223"/>
      <c r="AB513" s="223"/>
      <c r="AC513" s="223"/>
      <c r="AD513" s="223"/>
      <c r="AE513" s="223"/>
      <c r="AF513" s="223"/>
      <c r="AG513" s="223"/>
      <c r="AH513" s="223"/>
      <c r="AI513" s="223"/>
      <c r="AJ513" s="224"/>
      <c r="AK513" s="54">
        <v>2545016.37</v>
      </c>
      <c r="AL513" s="54">
        <v>3615194.62</v>
      </c>
      <c r="AM513" s="54">
        <v>4149605.23</v>
      </c>
      <c r="AN513" s="54">
        <v>4189690.54</v>
      </c>
      <c r="AO513" s="54">
        <v>4230755.17</v>
      </c>
      <c r="AP513" s="53">
        <v>4419040.94</v>
      </c>
      <c r="AQ513" s="53">
        <v>4460551.74</v>
      </c>
      <c r="AR513" s="53">
        <v>4494765.13</v>
      </c>
      <c r="AS513" s="53">
        <v>4536217.0</v>
      </c>
      <c r="AT513" s="53">
        <v>4576159.0</v>
      </c>
      <c r="AU513" s="53">
        <f t="array" ref="AU513">XLOOKUP(C513,'PL TOTAL D0'!A:A,'PL TOTAL D0'!C:C,"")</f>
        <v>4596623</v>
      </c>
    </row>
    <row r="514" ht="15.75" customHeight="1">
      <c r="A514" s="41" t="s">
        <v>43</v>
      </c>
      <c r="B514" s="42" t="s">
        <v>1771</v>
      </c>
      <c r="C514" s="43" t="s">
        <v>1772</v>
      </c>
      <c r="D514" s="44" t="s">
        <v>18</v>
      </c>
      <c r="E514" s="45" t="s">
        <v>19</v>
      </c>
      <c r="F514" s="44" t="s">
        <v>122</v>
      </c>
      <c r="G514" s="44" t="str">
        <f t="shared" si="1"/>
        <v>Augusto</v>
      </c>
      <c r="H514" s="51" t="s">
        <v>147</v>
      </c>
      <c r="I514" s="51" t="s">
        <v>219</v>
      </c>
      <c r="J514" s="44" t="str">
        <f t="shared" si="7"/>
        <v>Não</v>
      </c>
      <c r="K514" s="47">
        <v>44951.0</v>
      </c>
      <c r="L514" s="45"/>
      <c r="M514" s="45" t="s">
        <v>55</v>
      </c>
      <c r="N514" s="48">
        <v>0.007</v>
      </c>
      <c r="O514" s="44" t="s">
        <v>24</v>
      </c>
      <c r="P514" s="49">
        <v>0.0</v>
      </c>
      <c r="Q514" s="139"/>
      <c r="R514" s="139"/>
      <c r="S514" s="45" t="s">
        <v>108</v>
      </c>
      <c r="T514" s="24" t="s">
        <v>1773</v>
      </c>
      <c r="U514" s="9" t="s">
        <v>19</v>
      </c>
      <c r="V514" s="51" t="str">
        <f t="shared" si="3"/>
        <v>Ativo</v>
      </c>
      <c r="W514" s="45"/>
      <c r="X514" s="52" t="s">
        <v>119</v>
      </c>
      <c r="Y514" s="54"/>
      <c r="Z514" s="54"/>
      <c r="AA514" s="54"/>
      <c r="AB514" s="54"/>
      <c r="AC514" s="54">
        <v>116998.11</v>
      </c>
      <c r="AD514" s="54">
        <v>124923.21</v>
      </c>
      <c r="AE514" s="54">
        <v>110310.81</v>
      </c>
      <c r="AF514" s="54">
        <v>109478.85</v>
      </c>
      <c r="AG514" s="54">
        <v>86217.05</v>
      </c>
      <c r="AH514" s="54">
        <v>50580.59</v>
      </c>
      <c r="AI514" s="54">
        <v>35709.37</v>
      </c>
      <c r="AJ514" s="54">
        <v>25952.12</v>
      </c>
      <c r="AK514" s="54">
        <v>22046.5</v>
      </c>
      <c r="AL514" s="54">
        <v>22262.6</v>
      </c>
      <c r="AM514" s="54">
        <v>20432.4</v>
      </c>
      <c r="AN514" s="54">
        <v>26.17</v>
      </c>
      <c r="AO514" s="54">
        <v>19.08</v>
      </c>
      <c r="AP514" s="53">
        <v>20.72</v>
      </c>
      <c r="AQ514" s="53">
        <v>20.72</v>
      </c>
      <c r="AR514" s="53">
        <v>20.75</v>
      </c>
      <c r="AS514" s="53">
        <v>20.75</v>
      </c>
      <c r="AT514" s="53">
        <v>20.75</v>
      </c>
      <c r="AU514" s="53">
        <f t="array" ref="AU514">XLOOKUP(C514,'PL TOTAL D0'!A:A,'PL TOTAL D0'!C:C,"")</f>
        <v>20.75</v>
      </c>
    </row>
    <row r="515" ht="17.25" customHeight="1">
      <c r="A515" s="41" t="s">
        <v>43</v>
      </c>
      <c r="B515" s="42" t="s">
        <v>1774</v>
      </c>
      <c r="C515" s="43" t="s">
        <v>1775</v>
      </c>
      <c r="D515" s="44" t="s">
        <v>18</v>
      </c>
      <c r="E515" s="45" t="s">
        <v>19</v>
      </c>
      <c r="F515" s="44" t="s">
        <v>122</v>
      </c>
      <c r="G515" s="44" t="str">
        <f t="shared" si="1"/>
        <v>Bruno</v>
      </c>
      <c r="H515" s="51" t="s">
        <v>107</v>
      </c>
      <c r="I515" s="51" t="s">
        <v>24</v>
      </c>
      <c r="J515" s="44" t="str">
        <f t="shared" si="7"/>
        <v>Não</v>
      </c>
      <c r="K515" s="47">
        <v>44949.0</v>
      </c>
      <c r="L515" s="45"/>
      <c r="M515" s="24" t="s">
        <v>55</v>
      </c>
      <c r="N515" s="58">
        <v>0.012</v>
      </c>
      <c r="O515" s="44" t="s">
        <v>24</v>
      </c>
      <c r="P515" s="49">
        <v>0.0</v>
      </c>
      <c r="Q515" s="6"/>
      <c r="R515" s="60" t="s">
        <v>1776</v>
      </c>
      <c r="S515" s="45" t="s">
        <v>108</v>
      </c>
      <c r="T515" s="24" t="s">
        <v>1777</v>
      </c>
      <c r="U515" s="9" t="s">
        <v>19</v>
      </c>
      <c r="V515" s="51" t="str">
        <f t="shared" si="3"/>
        <v>Ativo</v>
      </c>
      <c r="W515" s="24" t="s">
        <v>75</v>
      </c>
      <c r="X515" s="52" t="s">
        <v>119</v>
      </c>
      <c r="Y515" s="54"/>
      <c r="Z515" s="54"/>
      <c r="AA515" s="54"/>
      <c r="AB515" s="54"/>
      <c r="AC515" s="54">
        <v>1652218.89</v>
      </c>
      <c r="AD515" s="54">
        <v>1718110.98</v>
      </c>
      <c r="AE515" s="54">
        <v>1737740.56</v>
      </c>
      <c r="AF515" s="54">
        <v>1751867.31</v>
      </c>
      <c r="AG515" s="54">
        <v>1769481.97</v>
      </c>
      <c r="AH515" s="54">
        <v>1781611.74</v>
      </c>
      <c r="AI515" s="54">
        <v>1795213.42</v>
      </c>
      <c r="AJ515" s="54">
        <v>1805336.03</v>
      </c>
      <c r="AK515" s="54">
        <v>1810474.77</v>
      </c>
      <c r="AL515" s="54">
        <v>1815036.86</v>
      </c>
      <c r="AM515" s="54">
        <v>1842147.25</v>
      </c>
      <c r="AN515" s="54">
        <v>1867845.05</v>
      </c>
      <c r="AO515" s="54">
        <v>1848323.25</v>
      </c>
      <c r="AP515" s="53">
        <v>1862905.58</v>
      </c>
      <c r="AQ515" s="53">
        <v>1882119.94</v>
      </c>
      <c r="AR515" s="53">
        <v>1878261.46</v>
      </c>
      <c r="AS515" s="53">
        <v>1875811.0</v>
      </c>
      <c r="AT515" s="53">
        <v>1632139.0</v>
      </c>
      <c r="AU515" s="53">
        <f t="array" ref="AU515">XLOOKUP(C515,'PL TOTAL D0'!A:A,'PL TOTAL D0'!C:C,"")</f>
        <v>1604904</v>
      </c>
    </row>
    <row r="516" ht="17.25" customHeight="1">
      <c r="A516" s="41" t="s">
        <v>43</v>
      </c>
      <c r="B516" s="55" t="s">
        <v>1774</v>
      </c>
      <c r="C516" s="56" t="s">
        <v>1778</v>
      </c>
      <c r="D516" s="9" t="s">
        <v>18</v>
      </c>
      <c r="E516" s="24" t="s">
        <v>19</v>
      </c>
      <c r="F516" s="44" t="s">
        <v>122</v>
      </c>
      <c r="G516" s="44" t="str">
        <f t="shared" si="1"/>
        <v>Augusto</v>
      </c>
      <c r="H516" s="51" t="s">
        <v>107</v>
      </c>
      <c r="I516" s="51" t="s">
        <v>24</v>
      </c>
      <c r="J516" s="44" t="str">
        <f t="shared" si="7"/>
        <v>Não</v>
      </c>
      <c r="K516" s="57">
        <v>45432.0</v>
      </c>
      <c r="L516" s="45"/>
      <c r="M516" s="24" t="s">
        <v>190</v>
      </c>
      <c r="N516" s="58">
        <v>0.011</v>
      </c>
      <c r="O516" s="9" t="s">
        <v>191</v>
      </c>
      <c r="P516" s="59">
        <v>0.2</v>
      </c>
      <c r="Q516" s="6"/>
      <c r="R516" s="50"/>
      <c r="S516" s="24" t="s">
        <v>108</v>
      </c>
      <c r="T516" s="24" t="s">
        <v>1777</v>
      </c>
      <c r="U516" s="9" t="s">
        <v>19</v>
      </c>
      <c r="V516" s="51" t="str">
        <f t="shared" si="3"/>
        <v>Ativo</v>
      </c>
      <c r="W516" s="24" t="s">
        <v>75</v>
      </c>
      <c r="X516" s="52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3"/>
      <c r="AQ516" s="53"/>
      <c r="AR516" s="53"/>
      <c r="AS516" s="53">
        <v>0.0</v>
      </c>
      <c r="AT516" s="53">
        <v>252060.9</v>
      </c>
      <c r="AU516" s="53">
        <f t="array" ref="AU516">XLOOKUP(C516,'PL TOTAL D0'!A:A,'PL TOTAL D0'!C:C,"")</f>
        <v>280253.8</v>
      </c>
    </row>
    <row r="517" ht="15.75" customHeight="1">
      <c r="A517" s="41" t="s">
        <v>43</v>
      </c>
      <c r="B517" s="42" t="s">
        <v>1779</v>
      </c>
      <c r="C517" s="43" t="s">
        <v>1780</v>
      </c>
      <c r="D517" s="44" t="s">
        <v>18</v>
      </c>
      <c r="E517" s="45" t="s">
        <v>19</v>
      </c>
      <c r="F517" s="44" t="s">
        <v>20</v>
      </c>
      <c r="G517" s="44" t="str">
        <f t="shared" si="1"/>
        <v>Augusto</v>
      </c>
      <c r="H517" s="46" t="s">
        <v>107</v>
      </c>
      <c r="I517" s="46" t="s">
        <v>24</v>
      </c>
      <c r="J517" s="44" t="str">
        <f t="shared" si="7"/>
        <v>Sim</v>
      </c>
      <c r="K517" s="47">
        <v>44957.0</v>
      </c>
      <c r="L517" s="45"/>
      <c r="M517" s="45" t="s">
        <v>55</v>
      </c>
      <c r="N517" s="48">
        <v>0.01</v>
      </c>
      <c r="O517" s="44" t="s">
        <v>24</v>
      </c>
      <c r="P517" s="49">
        <v>0.0</v>
      </c>
      <c r="Q517" s="60" t="s">
        <v>1781</v>
      </c>
      <c r="R517" s="50"/>
      <c r="S517" s="45" t="s">
        <v>108</v>
      </c>
      <c r="T517" s="24" t="s">
        <v>1782</v>
      </c>
      <c r="U517" s="9" t="s">
        <v>19</v>
      </c>
      <c r="V517" s="51" t="str">
        <f t="shared" si="3"/>
        <v>Ativo</v>
      </c>
      <c r="W517" s="45"/>
      <c r="X517" s="52" t="s">
        <v>119</v>
      </c>
      <c r="Y517" s="54"/>
      <c r="Z517" s="54"/>
      <c r="AA517" s="54"/>
      <c r="AB517" s="54"/>
      <c r="AC517" s="54">
        <v>77520.32</v>
      </c>
      <c r="AD517" s="54">
        <v>78310.67</v>
      </c>
      <c r="AE517" s="54">
        <v>79413.38</v>
      </c>
      <c r="AF517" s="54">
        <v>84128.08</v>
      </c>
      <c r="AG517" s="54">
        <v>80132.51</v>
      </c>
      <c r="AH517" s="54">
        <v>70966.44</v>
      </c>
      <c r="AI517" s="54">
        <v>71598.24</v>
      </c>
      <c r="AJ517" s="54">
        <v>67173.2</v>
      </c>
      <c r="AK517" s="54">
        <v>46567.55</v>
      </c>
      <c r="AL517" s="54">
        <v>86670.15</v>
      </c>
      <c r="AM517" s="54">
        <v>90825.27</v>
      </c>
      <c r="AN517" s="54">
        <v>75577.76</v>
      </c>
      <c r="AO517" s="54">
        <v>73095.18</v>
      </c>
      <c r="AP517" s="53">
        <v>56074.58</v>
      </c>
      <c r="AQ517" s="53">
        <v>53505.91</v>
      </c>
      <c r="AR517" s="53">
        <v>50057.03</v>
      </c>
      <c r="AS517" s="53">
        <v>45394.28</v>
      </c>
      <c r="AT517" s="53">
        <v>35310.38</v>
      </c>
      <c r="AU517" s="53">
        <f t="array" ref="AU517">XLOOKUP(C517,'PL TOTAL D0'!A:A,'PL TOTAL D0'!C:C,"")</f>
        <v>35500.08</v>
      </c>
    </row>
    <row r="518" ht="15.0" customHeight="1">
      <c r="A518" s="41" t="s">
        <v>43</v>
      </c>
      <c r="B518" s="66" t="s">
        <v>1783</v>
      </c>
      <c r="C518" s="67" t="s">
        <v>1784</v>
      </c>
      <c r="D518" s="44" t="s">
        <v>18</v>
      </c>
      <c r="E518" s="45" t="s">
        <v>176</v>
      </c>
      <c r="F518" s="44" t="s">
        <v>197</v>
      </c>
      <c r="G518" s="44" t="str">
        <f t="shared" si="1"/>
        <v>Augusto</v>
      </c>
      <c r="H518" s="46" t="s">
        <v>107</v>
      </c>
      <c r="I518" s="46" t="s">
        <v>24</v>
      </c>
      <c r="J518" s="44" t="str">
        <f t="shared" si="7"/>
        <v>Não</v>
      </c>
      <c r="K518" s="47">
        <v>45188.0</v>
      </c>
      <c r="L518" s="62"/>
      <c r="M518" s="45" t="s">
        <v>55</v>
      </c>
      <c r="N518" s="48">
        <v>0.012</v>
      </c>
      <c r="O518" s="44" t="s">
        <v>24</v>
      </c>
      <c r="P518" s="49">
        <v>0.0</v>
      </c>
      <c r="Q518" s="139"/>
      <c r="R518" s="139"/>
      <c r="S518" s="45" t="s">
        <v>108</v>
      </c>
      <c r="T518" s="24" t="s">
        <v>1785</v>
      </c>
      <c r="U518" s="9" t="s">
        <v>180</v>
      </c>
      <c r="V518" s="51" t="str">
        <f t="shared" si="3"/>
        <v>Ativo</v>
      </c>
      <c r="W518" s="45"/>
      <c r="X518" s="52" t="s">
        <v>110</v>
      </c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>
        <v>0.0</v>
      </c>
      <c r="AL518" s="54">
        <v>0.0</v>
      </c>
      <c r="AM518" s="54">
        <v>51205.92</v>
      </c>
      <c r="AN518" s="54">
        <v>55414.38</v>
      </c>
      <c r="AO518" s="54">
        <v>55914.48</v>
      </c>
      <c r="AP518" s="53">
        <v>56330.84</v>
      </c>
      <c r="AQ518" s="53">
        <v>56802.0</v>
      </c>
      <c r="AR518" s="53">
        <v>58242.94</v>
      </c>
      <c r="AS518" s="53">
        <v>59719.43</v>
      </c>
      <c r="AT518" s="53">
        <v>68125.42</v>
      </c>
      <c r="AU518" s="53">
        <f t="array" ref="AU518">XLOOKUP(C518,'PL TOTAL D0'!A:A,'PL TOTAL D0'!C:C,"")</f>
        <v>104934</v>
      </c>
    </row>
    <row r="519" ht="15.0" customHeight="1">
      <c r="A519" s="41" t="s">
        <v>43</v>
      </c>
      <c r="B519" s="97" t="s">
        <v>1783</v>
      </c>
      <c r="C519" s="134" t="s">
        <v>1786</v>
      </c>
      <c r="D519" s="44" t="s">
        <v>18</v>
      </c>
      <c r="E519" s="45" t="s">
        <v>176</v>
      </c>
      <c r="F519" s="44" t="s">
        <v>197</v>
      </c>
      <c r="G519" s="44" t="str">
        <f t="shared" si="1"/>
        <v>Augusto</v>
      </c>
      <c r="H519" s="46" t="s">
        <v>107</v>
      </c>
      <c r="I519" s="46" t="s">
        <v>24</v>
      </c>
      <c r="J519" s="44" t="str">
        <f t="shared" si="7"/>
        <v>Não</v>
      </c>
      <c r="K519" s="47">
        <v>45212.0</v>
      </c>
      <c r="L519" s="62"/>
      <c r="M519" s="45" t="s">
        <v>55</v>
      </c>
      <c r="N519" s="48">
        <v>0.012</v>
      </c>
      <c r="O519" s="44" t="s">
        <v>24</v>
      </c>
      <c r="P519" s="49">
        <v>0.0</v>
      </c>
      <c r="Q519" s="139"/>
      <c r="R519" s="139"/>
      <c r="S519" s="45" t="s">
        <v>108</v>
      </c>
      <c r="T519" s="24" t="s">
        <v>1785</v>
      </c>
      <c r="U519" s="9" t="s">
        <v>180</v>
      </c>
      <c r="V519" s="51" t="str">
        <f t="shared" si="3"/>
        <v>Ativo</v>
      </c>
      <c r="W519" s="45"/>
      <c r="X519" s="52" t="s">
        <v>110</v>
      </c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>
        <v>0.0</v>
      </c>
      <c r="AM519" s="54">
        <v>54117.31</v>
      </c>
      <c r="AN519" s="54">
        <v>54555.82</v>
      </c>
      <c r="AO519" s="54">
        <v>64099.99</v>
      </c>
      <c r="AP519" s="53">
        <v>143730.62</v>
      </c>
      <c r="AQ519" s="53">
        <v>162158.77</v>
      </c>
      <c r="AR519" s="53">
        <v>173441.07</v>
      </c>
      <c r="AS519" s="53">
        <v>181127.2</v>
      </c>
      <c r="AT519" s="53">
        <v>202441.3</v>
      </c>
      <c r="AU519" s="53">
        <f t="array" ref="AU519">XLOOKUP(C519,'PL TOTAL D0'!A:A,'PL TOTAL D0'!C:C,"")</f>
        <v>203130.2</v>
      </c>
    </row>
    <row r="520" ht="15.75" customHeight="1">
      <c r="A520" s="6" t="s">
        <v>43</v>
      </c>
      <c r="B520" s="55" t="s">
        <v>1787</v>
      </c>
      <c r="C520" s="56" t="s">
        <v>1788</v>
      </c>
      <c r="D520" s="9" t="s">
        <v>18</v>
      </c>
      <c r="E520" s="24" t="s">
        <v>19</v>
      </c>
      <c r="F520" s="9" t="s">
        <v>213</v>
      </c>
      <c r="G520" s="44" t="str">
        <f t="shared" si="1"/>
        <v>#N/A</v>
      </c>
      <c r="H520" s="51" t="s">
        <v>147</v>
      </c>
      <c r="I520" s="51" t="s">
        <v>219</v>
      </c>
      <c r="J520" s="44" t="str">
        <f t="shared" si="7"/>
        <v>Não</v>
      </c>
      <c r="K520" s="57">
        <v>45356.0</v>
      </c>
      <c r="L520" s="62"/>
      <c r="M520" s="24" t="s">
        <v>55</v>
      </c>
      <c r="N520" s="58">
        <v>0.012</v>
      </c>
      <c r="O520" s="9" t="s">
        <v>24</v>
      </c>
      <c r="P520" s="59">
        <v>0.0</v>
      </c>
      <c r="Q520" s="60"/>
      <c r="R520" s="50"/>
      <c r="S520" s="24" t="s">
        <v>108</v>
      </c>
      <c r="T520" s="5" t="s">
        <v>1789</v>
      </c>
      <c r="U520" s="9" t="s">
        <v>152</v>
      </c>
      <c r="V520" s="51" t="str">
        <f t="shared" si="3"/>
        <v>Ativo</v>
      </c>
      <c r="W520" s="45"/>
      <c r="X520" s="52" t="s">
        <v>119</v>
      </c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3">
        <v>0.0</v>
      </c>
      <c r="AQ520" s="53">
        <v>0.0</v>
      </c>
      <c r="AR520" s="53">
        <v>0.0</v>
      </c>
      <c r="AS520" s="53">
        <v>0.0</v>
      </c>
      <c r="AT520" s="53">
        <v>0.0</v>
      </c>
      <c r="AU520" s="53" t="str">
        <f t="array" ref="AU520">XLOOKUP(C520,'PL TOTAL D0'!A:A,'PL TOTAL D0'!C:C,"")</f>
        <v/>
      </c>
    </row>
    <row r="521" ht="15.75" customHeight="1">
      <c r="A521" s="41" t="s">
        <v>43</v>
      </c>
      <c r="B521" s="42" t="s">
        <v>1790</v>
      </c>
      <c r="C521" s="189" t="s">
        <v>1791</v>
      </c>
      <c r="D521" s="44" t="s">
        <v>18</v>
      </c>
      <c r="E521" s="45" t="s">
        <v>176</v>
      </c>
      <c r="F521" s="44" t="s">
        <v>532</v>
      </c>
      <c r="G521" s="44" t="str">
        <f t="shared" si="1"/>
        <v>#N/A</v>
      </c>
      <c r="H521" s="46" t="s">
        <v>147</v>
      </c>
      <c r="I521" s="46" t="s">
        <v>219</v>
      </c>
      <c r="J521" s="44" t="str">
        <f t="shared" si="7"/>
        <v>Não</v>
      </c>
      <c r="K521" s="47">
        <v>45163.0</v>
      </c>
      <c r="L521" s="62"/>
      <c r="M521" s="45" t="s">
        <v>55</v>
      </c>
      <c r="N521" s="48">
        <v>0.007</v>
      </c>
      <c r="O521" s="44" t="s">
        <v>24</v>
      </c>
      <c r="P521" s="49">
        <v>0.0</v>
      </c>
      <c r="Q521" s="139"/>
      <c r="R521" s="50" t="s">
        <v>1032</v>
      </c>
      <c r="S521" s="45" t="s">
        <v>108</v>
      </c>
      <c r="T521" s="24" t="s">
        <v>1792</v>
      </c>
      <c r="U521" s="9" t="s">
        <v>34</v>
      </c>
      <c r="V521" s="51" t="str">
        <f t="shared" si="3"/>
        <v>Ativo</v>
      </c>
      <c r="W521" s="45"/>
      <c r="X521" s="52" t="s">
        <v>110</v>
      </c>
      <c r="Y521" s="54"/>
      <c r="Z521" s="54"/>
      <c r="AA521" s="54"/>
      <c r="AB521" s="54"/>
      <c r="AC521" s="54"/>
      <c r="AD521" s="54"/>
      <c r="AE521" s="54"/>
      <c r="AF521" s="54">
        <v>0.0</v>
      </c>
      <c r="AG521" s="54">
        <v>0.0</v>
      </c>
      <c r="AH521" s="54">
        <v>0.0</v>
      </c>
      <c r="AI521" s="54">
        <v>0.0</v>
      </c>
      <c r="AJ521" s="54">
        <v>0.0</v>
      </c>
      <c r="AK521" s="54">
        <v>0.0</v>
      </c>
      <c r="AL521" s="54">
        <v>0.0</v>
      </c>
      <c r="AM521" s="54">
        <v>0.0</v>
      </c>
      <c r="AN521" s="54">
        <v>0.0</v>
      </c>
      <c r="AO521" s="54">
        <v>0.0</v>
      </c>
      <c r="AP521" s="53">
        <v>0.0</v>
      </c>
      <c r="AQ521" s="53">
        <v>0.0</v>
      </c>
      <c r="AR521" s="53">
        <v>0.0</v>
      </c>
      <c r="AS521" s="53">
        <v>0.0</v>
      </c>
      <c r="AT521" s="53">
        <v>0.0</v>
      </c>
      <c r="AU521" s="53" t="str">
        <f t="array" ref="AU521">XLOOKUP(C521,'PL TOTAL D0'!A:A,'PL TOTAL D0'!C:C,"")</f>
        <v/>
      </c>
    </row>
    <row r="522" ht="15.75" customHeight="1">
      <c r="A522" s="41" t="s">
        <v>43</v>
      </c>
      <c r="B522" s="42" t="s">
        <v>1793</v>
      </c>
      <c r="C522" s="43" t="s">
        <v>1794</v>
      </c>
      <c r="D522" s="44" t="s">
        <v>18</v>
      </c>
      <c r="E522" s="45" t="s">
        <v>29</v>
      </c>
      <c r="F522" s="44" t="s">
        <v>60</v>
      </c>
      <c r="G522" s="44" t="str">
        <f t="shared" si="1"/>
        <v>Augusto</v>
      </c>
      <c r="H522" s="46" t="s">
        <v>107</v>
      </c>
      <c r="I522" s="46" t="s">
        <v>24</v>
      </c>
      <c r="J522" s="44" t="str">
        <f t="shared" si="7"/>
        <v>Não</v>
      </c>
      <c r="K522" s="47">
        <v>45162.0</v>
      </c>
      <c r="L522" s="62"/>
      <c r="M522" s="45" t="s">
        <v>55</v>
      </c>
      <c r="N522" s="48">
        <v>0.007</v>
      </c>
      <c r="O522" s="44" t="s">
        <v>24</v>
      </c>
      <c r="P522" s="49">
        <v>0.0</v>
      </c>
      <c r="Q522" s="139"/>
      <c r="R522" s="139"/>
      <c r="S522" s="45" t="s">
        <v>108</v>
      </c>
      <c r="T522" s="24" t="s">
        <v>1795</v>
      </c>
      <c r="U522" s="9" t="s">
        <v>19</v>
      </c>
      <c r="V522" s="51" t="str">
        <f t="shared" si="3"/>
        <v>Ativo</v>
      </c>
      <c r="W522" s="45"/>
      <c r="X522" s="52" t="s">
        <v>119</v>
      </c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>
        <v>135422.27</v>
      </c>
      <c r="AK522" s="54">
        <v>136497.06</v>
      </c>
      <c r="AL522" s="54">
        <v>137637.89</v>
      </c>
      <c r="AM522" s="54">
        <v>138604.86</v>
      </c>
      <c r="AN522" s="54">
        <v>139642.28</v>
      </c>
      <c r="AO522" s="54">
        <v>140837.2</v>
      </c>
      <c r="AP522" s="53">
        <v>141885.55</v>
      </c>
      <c r="AQ522" s="53">
        <v>142733.52</v>
      </c>
      <c r="AR522" s="53">
        <v>143940.23</v>
      </c>
      <c r="AS522" s="53">
        <v>145046.4</v>
      </c>
      <c r="AT522" s="53">
        <v>146173.6</v>
      </c>
      <c r="AU522" s="53">
        <f t="array" ref="AU522">XLOOKUP(C522,'PL TOTAL D0'!A:A,'PL TOTAL D0'!C:C,"")</f>
        <v>146688</v>
      </c>
    </row>
    <row r="523" ht="15.75" customHeight="1">
      <c r="A523" s="41" t="s">
        <v>43</v>
      </c>
      <c r="B523" s="42" t="s">
        <v>1796</v>
      </c>
      <c r="C523" s="43" t="s">
        <v>1797</v>
      </c>
      <c r="D523" s="44" t="s">
        <v>18</v>
      </c>
      <c r="E523" s="45" t="s">
        <v>19</v>
      </c>
      <c r="F523" s="44" t="s">
        <v>20</v>
      </c>
      <c r="G523" s="44" t="str">
        <f t="shared" si="1"/>
        <v>#N/A</v>
      </c>
      <c r="H523" s="46" t="s">
        <v>186</v>
      </c>
      <c r="I523" s="46" t="s">
        <v>24</v>
      </c>
      <c r="J523" s="44" t="str">
        <f t="shared" si="7"/>
        <v>Não</v>
      </c>
      <c r="K523" s="47">
        <v>44966.0</v>
      </c>
      <c r="L523" s="72">
        <v>45119.0</v>
      </c>
      <c r="M523" s="45" t="s">
        <v>79</v>
      </c>
      <c r="N523" s="48">
        <v>0.012</v>
      </c>
      <c r="O523" s="44" t="s">
        <v>24</v>
      </c>
      <c r="P523" s="49">
        <v>0.0</v>
      </c>
      <c r="Q523" s="50"/>
      <c r="R523" s="139"/>
      <c r="S523" s="45" t="s">
        <v>108</v>
      </c>
      <c r="T523" s="225" t="s">
        <v>1798</v>
      </c>
      <c r="U523" s="9" t="s">
        <v>19</v>
      </c>
      <c r="V523" s="51" t="str">
        <f t="shared" si="3"/>
        <v>Encerrado</v>
      </c>
      <c r="W523" s="45"/>
      <c r="X523" s="52"/>
      <c r="Y523" s="54"/>
      <c r="Z523" s="54"/>
      <c r="AA523" s="54"/>
      <c r="AB523" s="54"/>
      <c r="AC523" s="54">
        <v>0.0</v>
      </c>
      <c r="AD523" s="54">
        <v>423818.64</v>
      </c>
      <c r="AE523" s="54">
        <v>428408.17</v>
      </c>
      <c r="AF523" s="54">
        <v>387469.55</v>
      </c>
      <c r="AG523" s="54">
        <v>384253.18</v>
      </c>
      <c r="AH523" s="54">
        <v>389699.92</v>
      </c>
      <c r="AI523" s="54">
        <v>0.0</v>
      </c>
      <c r="AJ523" s="54">
        <v>0.0</v>
      </c>
      <c r="AK523" s="54">
        <v>0.0</v>
      </c>
      <c r="AL523" s="54">
        <v>0.0</v>
      </c>
      <c r="AM523" s="54">
        <v>0.0</v>
      </c>
      <c r="AN523" s="54">
        <v>0.0</v>
      </c>
      <c r="AO523" s="54">
        <v>0.0</v>
      </c>
      <c r="AP523" s="53">
        <v>0.0</v>
      </c>
      <c r="AQ523" s="53">
        <v>0.0</v>
      </c>
      <c r="AR523" s="53">
        <v>0.0</v>
      </c>
      <c r="AS523" s="53">
        <v>0.0</v>
      </c>
      <c r="AT523" s="53">
        <v>0.0</v>
      </c>
      <c r="AU523" s="53" t="str">
        <f t="array" ref="AU523">XLOOKUP(C523,'PL TOTAL D0'!A:A,'PL TOTAL D0'!C:C,"")</f>
        <v/>
      </c>
    </row>
    <row r="524" ht="15.75" customHeight="1">
      <c r="A524" s="41" t="s">
        <v>43</v>
      </c>
      <c r="B524" s="42" t="s">
        <v>1799</v>
      </c>
      <c r="C524" s="43" t="s">
        <v>1800</v>
      </c>
      <c r="D524" s="44" t="s">
        <v>18</v>
      </c>
      <c r="E524" s="45" t="s">
        <v>19</v>
      </c>
      <c r="F524" s="44" t="s">
        <v>122</v>
      </c>
      <c r="G524" s="44" t="str">
        <f t="shared" si="1"/>
        <v>Augusto</v>
      </c>
      <c r="H524" s="46" t="s">
        <v>107</v>
      </c>
      <c r="I524" s="46" t="s">
        <v>24</v>
      </c>
      <c r="J524" s="44" t="str">
        <f t="shared" si="7"/>
        <v>Não</v>
      </c>
      <c r="K524" s="47">
        <v>45058.0</v>
      </c>
      <c r="L524" s="45"/>
      <c r="M524" s="45" t="s">
        <v>55</v>
      </c>
      <c r="N524" s="48">
        <v>0.012</v>
      </c>
      <c r="O524" s="44" t="s">
        <v>24</v>
      </c>
      <c r="P524" s="49">
        <v>0.0</v>
      </c>
      <c r="Q524" s="139"/>
      <c r="R524" s="139"/>
      <c r="S524" s="45" t="s">
        <v>108</v>
      </c>
      <c r="T524" s="24" t="s">
        <v>1801</v>
      </c>
      <c r="U524" s="9" t="s">
        <v>19</v>
      </c>
      <c r="V524" s="51" t="str">
        <f t="shared" si="3"/>
        <v>Ativo</v>
      </c>
      <c r="W524" s="45"/>
      <c r="X524" s="52" t="s">
        <v>119</v>
      </c>
      <c r="Y524" s="54"/>
      <c r="Z524" s="54"/>
      <c r="AA524" s="54"/>
      <c r="AB524" s="54"/>
      <c r="AC524" s="54"/>
      <c r="AD524" s="54"/>
      <c r="AE524" s="54"/>
      <c r="AF524" s="54">
        <v>0.0</v>
      </c>
      <c r="AG524" s="54">
        <v>100648.86</v>
      </c>
      <c r="AH524" s="54">
        <v>128229.47</v>
      </c>
      <c r="AI524" s="54">
        <v>134443.75</v>
      </c>
      <c r="AJ524" s="54">
        <v>135795.54</v>
      </c>
      <c r="AK524" s="54">
        <v>138609.77</v>
      </c>
      <c r="AL524" s="54">
        <v>240098.9</v>
      </c>
      <c r="AM524" s="54">
        <v>241952.08</v>
      </c>
      <c r="AN524" s="54">
        <v>256163.08</v>
      </c>
      <c r="AO524" s="54">
        <v>273358.25</v>
      </c>
      <c r="AP524" s="53">
        <v>275768.05</v>
      </c>
      <c r="AQ524" s="53">
        <v>323405.42</v>
      </c>
      <c r="AR524" s="53">
        <v>326434.69</v>
      </c>
      <c r="AS524" s="53">
        <v>332681.5</v>
      </c>
      <c r="AT524" s="53">
        <v>335267.6</v>
      </c>
      <c r="AU524" s="53">
        <f t="array" ref="AU524">XLOOKUP(C524,'PL TOTAL D0'!A:A,'PL TOTAL D0'!C:C,"")</f>
        <v>336443.5</v>
      </c>
    </row>
    <row r="525" ht="15.75" customHeight="1">
      <c r="A525" s="41" t="s">
        <v>43</v>
      </c>
      <c r="B525" s="42" t="s">
        <v>1799</v>
      </c>
      <c r="C525" s="43" t="s">
        <v>1802</v>
      </c>
      <c r="D525" s="44" t="s">
        <v>18</v>
      </c>
      <c r="E525" s="45" t="s">
        <v>19</v>
      </c>
      <c r="F525" s="44" t="s">
        <v>122</v>
      </c>
      <c r="G525" s="44" t="str">
        <f t="shared" si="1"/>
        <v>Augusto</v>
      </c>
      <c r="H525" s="46" t="s">
        <v>107</v>
      </c>
      <c r="I525" s="46" t="s">
        <v>24</v>
      </c>
      <c r="J525" s="44" t="str">
        <f t="shared" si="7"/>
        <v>Não</v>
      </c>
      <c r="K525" s="47">
        <v>45092.0</v>
      </c>
      <c r="L525" s="45"/>
      <c r="M525" s="45" t="s">
        <v>55</v>
      </c>
      <c r="N525" s="48">
        <v>0.012</v>
      </c>
      <c r="O525" s="44" t="s">
        <v>24</v>
      </c>
      <c r="P525" s="49">
        <v>0.0</v>
      </c>
      <c r="Q525" s="139"/>
      <c r="R525" s="139"/>
      <c r="S525" s="45" t="s">
        <v>108</v>
      </c>
      <c r="T525" s="24" t="s">
        <v>1801</v>
      </c>
      <c r="U525" s="9" t="s">
        <v>19</v>
      </c>
      <c r="V525" s="51" t="str">
        <f t="shared" si="3"/>
        <v>Ativo</v>
      </c>
      <c r="W525" s="45"/>
      <c r="X525" s="52" t="s">
        <v>119</v>
      </c>
      <c r="Y525" s="54"/>
      <c r="Z525" s="54"/>
      <c r="AA525" s="54"/>
      <c r="AB525" s="54"/>
      <c r="AC525" s="54"/>
      <c r="AD525" s="54"/>
      <c r="AE525" s="54"/>
      <c r="AF525" s="54"/>
      <c r="AG525" s="54"/>
      <c r="AH525" s="54">
        <v>28496.71</v>
      </c>
      <c r="AI525" s="54">
        <v>28441.96</v>
      </c>
      <c r="AJ525" s="54">
        <v>28233.84</v>
      </c>
      <c r="AK525" s="54">
        <v>26446.26</v>
      </c>
      <c r="AL525" s="54">
        <v>26423.82</v>
      </c>
      <c r="AM525" s="54">
        <v>26662.78</v>
      </c>
      <c r="AN525" s="54">
        <v>14483.77</v>
      </c>
      <c r="AO525" s="54">
        <v>14559.84</v>
      </c>
      <c r="AP525" s="53">
        <v>14628.68</v>
      </c>
      <c r="AQ525" s="53">
        <v>14747.84</v>
      </c>
      <c r="AR525" s="53">
        <v>14871.88</v>
      </c>
      <c r="AS525" s="53">
        <v>14894.8</v>
      </c>
      <c r="AT525" s="53">
        <v>14906.08</v>
      </c>
      <c r="AU525" s="53">
        <f t="array" ref="AU525">XLOOKUP(C525,'PL TOTAL D0'!A:A,'PL TOTAL D0'!C:C,"")</f>
        <v>14928.5</v>
      </c>
    </row>
    <row r="526" ht="15.75" customHeight="1">
      <c r="A526" s="41" t="s">
        <v>43</v>
      </c>
      <c r="B526" s="42" t="s">
        <v>1803</v>
      </c>
      <c r="C526" s="43" t="s">
        <v>1804</v>
      </c>
      <c r="D526" s="44" t="s">
        <v>18</v>
      </c>
      <c r="E526" s="45" t="s">
        <v>19</v>
      </c>
      <c r="F526" s="44" t="s">
        <v>1805</v>
      </c>
      <c r="G526" s="44" t="str">
        <f t="shared" si="1"/>
        <v>#N/A</v>
      </c>
      <c r="H526" s="46" t="s">
        <v>147</v>
      </c>
      <c r="I526" s="46" t="s">
        <v>219</v>
      </c>
      <c r="J526" s="44" t="str">
        <f t="shared" si="7"/>
        <v>Não</v>
      </c>
      <c r="K526" s="47">
        <v>45166.0</v>
      </c>
      <c r="L526" s="62"/>
      <c r="M526" s="45" t="s">
        <v>47</v>
      </c>
      <c r="N526" s="48">
        <v>0.015</v>
      </c>
      <c r="O526" s="44" t="s">
        <v>48</v>
      </c>
      <c r="P526" s="49">
        <v>0.1</v>
      </c>
      <c r="Q526" s="139"/>
      <c r="R526" s="50"/>
      <c r="S526" s="45" t="s">
        <v>108</v>
      </c>
      <c r="T526" s="24" t="s">
        <v>1806</v>
      </c>
      <c r="U526" s="9" t="s">
        <v>1112</v>
      </c>
      <c r="V526" s="51" t="str">
        <f t="shared" si="3"/>
        <v>Inativo</v>
      </c>
      <c r="W526" s="45"/>
      <c r="X526" s="52" t="s">
        <v>119</v>
      </c>
      <c r="Y526" s="54"/>
      <c r="Z526" s="54"/>
      <c r="AA526" s="54"/>
      <c r="AB526" s="54"/>
      <c r="AC526" s="54"/>
      <c r="AD526" s="54">
        <v>0.0</v>
      </c>
      <c r="AE526" s="54">
        <v>0.0</v>
      </c>
      <c r="AF526" s="54">
        <v>0.0</v>
      </c>
      <c r="AG526" s="54">
        <v>0.0</v>
      </c>
      <c r="AH526" s="54">
        <v>0.0</v>
      </c>
      <c r="AI526" s="54">
        <v>0.0</v>
      </c>
      <c r="AJ526" s="54">
        <v>0.0</v>
      </c>
      <c r="AK526" s="54">
        <v>0.0</v>
      </c>
      <c r="AL526" s="54">
        <v>0.0</v>
      </c>
      <c r="AM526" s="54">
        <v>0.0</v>
      </c>
      <c r="AN526" s="54">
        <v>0.0</v>
      </c>
      <c r="AO526" s="54">
        <v>0.0</v>
      </c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43</v>
      </c>
      <c r="B527" s="42" t="s">
        <v>1807</v>
      </c>
      <c r="C527" s="43" t="s">
        <v>1808</v>
      </c>
      <c r="D527" s="44" t="s">
        <v>18</v>
      </c>
      <c r="E527" s="45" t="s">
        <v>29</v>
      </c>
      <c r="F527" s="44" t="s">
        <v>168</v>
      </c>
      <c r="G527" s="44" t="str">
        <f t="shared" si="1"/>
        <v>Augusto</v>
      </c>
      <c r="H527" s="51" t="s">
        <v>147</v>
      </c>
      <c r="I527" s="51" t="s">
        <v>219</v>
      </c>
      <c r="J527" s="44" t="str">
        <f t="shared" si="7"/>
        <v>Não</v>
      </c>
      <c r="K527" s="47">
        <v>45007.0</v>
      </c>
      <c r="L527" s="45"/>
      <c r="M527" s="45" t="s">
        <v>55</v>
      </c>
      <c r="N527" s="48">
        <v>0.012</v>
      </c>
      <c r="O527" s="44" t="s">
        <v>24</v>
      </c>
      <c r="P527" s="49">
        <v>0.0</v>
      </c>
      <c r="Q527" s="139"/>
      <c r="R527" s="173" t="s">
        <v>1809</v>
      </c>
      <c r="S527" s="45" t="s">
        <v>108</v>
      </c>
      <c r="T527" s="24" t="s">
        <v>1810</v>
      </c>
      <c r="U527" s="9" t="s">
        <v>29</v>
      </c>
      <c r="V527" s="51" t="str">
        <f t="shared" si="3"/>
        <v>Ativo</v>
      </c>
      <c r="W527" s="45"/>
      <c r="X527" s="52" t="s">
        <v>119</v>
      </c>
      <c r="Y527" s="54"/>
      <c r="Z527" s="54"/>
      <c r="AA527" s="54"/>
      <c r="AB527" s="54"/>
      <c r="AC527" s="54"/>
      <c r="AD527" s="54"/>
      <c r="AE527" s="54">
        <v>336439.07</v>
      </c>
      <c r="AF527" s="54">
        <v>338334.87</v>
      </c>
      <c r="AG527" s="54">
        <v>341698.42</v>
      </c>
      <c r="AH527" s="54">
        <v>344838.06</v>
      </c>
      <c r="AI527" s="54">
        <v>347340.16</v>
      </c>
      <c r="AJ527" s="54">
        <v>349927.23</v>
      </c>
      <c r="AK527" s="54">
        <v>348939.08</v>
      </c>
      <c r="AL527" s="54">
        <v>351187.59</v>
      </c>
      <c r="AM527" s="54">
        <v>354202.22</v>
      </c>
      <c r="AN527" s="54">
        <v>357151.82</v>
      </c>
      <c r="AO527" s="54">
        <v>217220.42</v>
      </c>
      <c r="AP527" s="53">
        <v>191.05</v>
      </c>
      <c r="AQ527" s="53">
        <v>73.59</v>
      </c>
      <c r="AR527" s="53">
        <v>93.87</v>
      </c>
      <c r="AS527" s="53">
        <v>93.87</v>
      </c>
      <c r="AT527" s="53">
        <v>94.24</v>
      </c>
      <c r="AU527" s="53">
        <f t="array" ref="AU527">XLOOKUP(C527,'PL TOTAL D0'!A:A,'PL TOTAL D0'!C:C,"")</f>
        <v>94.24</v>
      </c>
    </row>
    <row r="528" ht="15.75" customHeight="1">
      <c r="A528" s="41" t="s">
        <v>43</v>
      </c>
      <c r="B528" s="42" t="s">
        <v>1807</v>
      </c>
      <c r="C528" s="43" t="s">
        <v>1811</v>
      </c>
      <c r="D528" s="44" t="s">
        <v>18</v>
      </c>
      <c r="E528" s="45" t="s">
        <v>29</v>
      </c>
      <c r="F528" s="44" t="s">
        <v>168</v>
      </c>
      <c r="G528" s="44" t="str">
        <f t="shared" si="1"/>
        <v>#N/A</v>
      </c>
      <c r="H528" s="51" t="s">
        <v>147</v>
      </c>
      <c r="I528" s="46" t="s">
        <v>219</v>
      </c>
      <c r="J528" s="44" t="str">
        <f t="shared" si="7"/>
        <v>Não</v>
      </c>
      <c r="K528" s="47">
        <v>45163.0</v>
      </c>
      <c r="L528" s="62"/>
      <c r="M528" s="45" t="s">
        <v>190</v>
      </c>
      <c r="N528" s="48">
        <v>0.025</v>
      </c>
      <c r="O528" s="44" t="s">
        <v>191</v>
      </c>
      <c r="P528" s="49">
        <v>0.2</v>
      </c>
      <c r="Q528" s="139"/>
      <c r="R528" s="60"/>
      <c r="S528" s="45" t="s">
        <v>108</v>
      </c>
      <c r="T528" s="24" t="s">
        <v>1810</v>
      </c>
      <c r="U528" s="9" t="s">
        <v>29</v>
      </c>
      <c r="V528" s="51" t="str">
        <f t="shared" si="3"/>
        <v>Ativo</v>
      </c>
      <c r="W528" s="45"/>
      <c r="X528" s="52" t="s">
        <v>119</v>
      </c>
      <c r="Y528" s="54"/>
      <c r="Z528" s="54"/>
      <c r="AA528" s="54"/>
      <c r="AB528" s="54"/>
      <c r="AC528" s="54"/>
      <c r="AD528" s="54"/>
      <c r="AE528" s="54">
        <v>0.0</v>
      </c>
      <c r="AF528" s="54">
        <v>0.0</v>
      </c>
      <c r="AG528" s="54">
        <v>0.0</v>
      </c>
      <c r="AH528" s="54">
        <v>0.0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 t="str">
        <f t="array" ref="AU528">XLOOKUP(C528,'PL TOTAL D0'!A:A,'PL TOTAL D0'!C:C,"")</f>
        <v/>
      </c>
    </row>
    <row r="529" ht="15.75" customHeight="1">
      <c r="A529" s="41" t="s">
        <v>43</v>
      </c>
      <c r="B529" s="55" t="s">
        <v>1812</v>
      </c>
      <c r="C529" s="56" t="s">
        <v>1813</v>
      </c>
      <c r="D529" s="9" t="s">
        <v>18</v>
      </c>
      <c r="E529" s="24" t="s">
        <v>29</v>
      </c>
      <c r="F529" s="9" t="s">
        <v>632</v>
      </c>
      <c r="G529" s="44" t="str">
        <f t="shared" si="1"/>
        <v>Augusto</v>
      </c>
      <c r="H529" s="51" t="s">
        <v>107</v>
      </c>
      <c r="I529" s="51" t="s">
        <v>24</v>
      </c>
      <c r="J529" s="44" t="str">
        <f t="shared" si="7"/>
        <v>Não</v>
      </c>
      <c r="K529" s="57">
        <v>45448.0</v>
      </c>
      <c r="L529" s="62"/>
      <c r="M529" s="24" t="s">
        <v>278</v>
      </c>
      <c r="N529" s="58">
        <v>0.007</v>
      </c>
      <c r="O529" s="9" t="s">
        <v>24</v>
      </c>
      <c r="P529" s="59">
        <v>0.0</v>
      </c>
      <c r="Q529" s="139"/>
      <c r="R529" s="60"/>
      <c r="S529" s="24" t="s">
        <v>108</v>
      </c>
      <c r="T529" s="24" t="s">
        <v>1814</v>
      </c>
      <c r="U529" s="9" t="s">
        <v>29</v>
      </c>
      <c r="V529" s="51" t="str">
        <f t="shared" si="3"/>
        <v>Ativo</v>
      </c>
      <c r="W529" s="24" t="s">
        <v>75</v>
      </c>
      <c r="X529" s="52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3"/>
      <c r="AQ529" s="53"/>
      <c r="AR529" s="53"/>
      <c r="AS529" s="53"/>
      <c r="AT529" s="53">
        <v>11609.16</v>
      </c>
      <c r="AU529" s="53">
        <f t="array" ref="AU529">XLOOKUP(C529,'PL TOTAL D0'!A:A,'PL TOTAL D0'!C:C,"")</f>
        <v>11660.33</v>
      </c>
    </row>
    <row r="530" ht="15.75" customHeight="1">
      <c r="A530" s="41" t="s">
        <v>43</v>
      </c>
      <c r="B530" s="42" t="s">
        <v>1815</v>
      </c>
      <c r="C530" s="43" t="s">
        <v>1816</v>
      </c>
      <c r="D530" s="44" t="s">
        <v>18</v>
      </c>
      <c r="E530" s="45" t="s">
        <v>29</v>
      </c>
      <c r="F530" s="44" t="s">
        <v>60</v>
      </c>
      <c r="G530" s="44" t="str">
        <f t="shared" si="1"/>
        <v>#N/A</v>
      </c>
      <c r="H530" s="46" t="s">
        <v>186</v>
      </c>
      <c r="I530" s="51" t="s">
        <v>24</v>
      </c>
      <c r="J530" s="44" t="str">
        <f t="shared" si="7"/>
        <v>Não</v>
      </c>
      <c r="K530" s="47">
        <v>45029.0</v>
      </c>
      <c r="L530" s="226">
        <v>45250.0</v>
      </c>
      <c r="M530" s="45" t="s">
        <v>55</v>
      </c>
      <c r="N530" s="48">
        <v>0.01</v>
      </c>
      <c r="O530" s="44" t="s">
        <v>24</v>
      </c>
      <c r="P530" s="49">
        <v>0.0</v>
      </c>
      <c r="Q530" s="139"/>
      <c r="R530" s="139"/>
      <c r="S530" s="45" t="s">
        <v>108</v>
      </c>
      <c r="T530" s="24" t="s">
        <v>1817</v>
      </c>
      <c r="U530" s="9" t="s">
        <v>1818</v>
      </c>
      <c r="V530" s="51" t="str">
        <f t="shared" si="3"/>
        <v>Encerrado</v>
      </c>
      <c r="W530" s="45"/>
      <c r="X530" s="52"/>
      <c r="Y530" s="54"/>
      <c r="Z530" s="54"/>
      <c r="AA530" s="54"/>
      <c r="AB530" s="54"/>
      <c r="AC530" s="54"/>
      <c r="AD530" s="54">
        <v>0.0</v>
      </c>
      <c r="AE530" s="54">
        <v>0.0</v>
      </c>
      <c r="AF530" s="54">
        <v>5431.76</v>
      </c>
      <c r="AG530" s="54">
        <v>0.0</v>
      </c>
      <c r="AH530" s="54">
        <v>0.0</v>
      </c>
      <c r="AI530" s="54">
        <v>0.0</v>
      </c>
      <c r="AJ530" s="54">
        <v>0.0</v>
      </c>
      <c r="AK530" s="54">
        <v>0.0</v>
      </c>
      <c r="AL530" s="54">
        <v>0.0</v>
      </c>
      <c r="AM530" s="54">
        <v>0.0</v>
      </c>
      <c r="AN530" s="54">
        <v>0.0</v>
      </c>
      <c r="AO530" s="54">
        <v>0.0</v>
      </c>
      <c r="AP530" s="53">
        <v>0.0</v>
      </c>
      <c r="AQ530" s="53">
        <v>0.0</v>
      </c>
      <c r="AR530" s="53">
        <v>0.0</v>
      </c>
      <c r="AS530" s="53">
        <v>0.0</v>
      </c>
      <c r="AT530" s="53">
        <v>0.0</v>
      </c>
      <c r="AU530" s="53" t="str">
        <f t="array" ref="AU530">XLOOKUP(C530,'PL TOTAL D0'!A:A,'PL TOTAL D0'!C:C,"")</f>
        <v/>
      </c>
    </row>
    <row r="531" ht="15.75" customHeight="1">
      <c r="A531" s="41" t="s">
        <v>43</v>
      </c>
      <c r="B531" s="42" t="s">
        <v>1819</v>
      </c>
      <c r="C531" s="43" t="s">
        <v>1820</v>
      </c>
      <c r="D531" s="44" t="s">
        <v>18</v>
      </c>
      <c r="E531" s="45" t="s">
        <v>19</v>
      </c>
      <c r="F531" s="44" t="s">
        <v>20</v>
      </c>
      <c r="G531" s="44" t="str">
        <f t="shared" si="1"/>
        <v>Augusto</v>
      </c>
      <c r="H531" s="46" t="s">
        <v>107</v>
      </c>
      <c r="I531" s="46" t="s">
        <v>24</v>
      </c>
      <c r="J531" s="44" t="str">
        <f t="shared" si="7"/>
        <v>Sim</v>
      </c>
      <c r="K531" s="47">
        <v>45005.0</v>
      </c>
      <c r="L531" s="45"/>
      <c r="M531" s="45" t="s">
        <v>47</v>
      </c>
      <c r="N531" s="48">
        <v>0.015</v>
      </c>
      <c r="O531" s="44" t="s">
        <v>48</v>
      </c>
      <c r="P531" s="49">
        <v>0.1</v>
      </c>
      <c r="Q531" s="184" t="s">
        <v>1821</v>
      </c>
      <c r="R531" s="139"/>
      <c r="S531" s="45" t="s">
        <v>108</v>
      </c>
      <c r="T531" s="24" t="s">
        <v>1822</v>
      </c>
      <c r="U531" s="9" t="s">
        <v>19</v>
      </c>
      <c r="V531" s="51" t="str">
        <f t="shared" si="3"/>
        <v>Ativo</v>
      </c>
      <c r="W531" s="45"/>
      <c r="X531" s="52" t="s">
        <v>119</v>
      </c>
      <c r="Y531" s="54"/>
      <c r="Z531" s="54"/>
      <c r="AA531" s="54"/>
      <c r="AB531" s="54"/>
      <c r="AC531" s="54"/>
      <c r="AD531" s="54"/>
      <c r="AE531" s="54">
        <v>108824.42</v>
      </c>
      <c r="AF531" s="54">
        <v>47556.19</v>
      </c>
      <c r="AG531" s="54">
        <v>64503.79</v>
      </c>
      <c r="AH531" s="54">
        <v>66263.15</v>
      </c>
      <c r="AI531" s="54">
        <v>76565.75</v>
      </c>
      <c r="AJ531" s="54">
        <v>89589.62</v>
      </c>
      <c r="AK531" s="54">
        <v>103189.25</v>
      </c>
      <c r="AL531" s="54">
        <v>93072.73</v>
      </c>
      <c r="AM531" s="54">
        <v>389160.11</v>
      </c>
      <c r="AN531" s="54">
        <v>342594.29</v>
      </c>
      <c r="AO531" s="54">
        <v>342970.85</v>
      </c>
      <c r="AP531" s="53">
        <v>324593.25</v>
      </c>
      <c r="AQ531" s="53">
        <v>246738.52</v>
      </c>
      <c r="AR531" s="53">
        <v>141034.35</v>
      </c>
      <c r="AS531" s="53">
        <v>35966.39</v>
      </c>
      <c r="AT531" s="53">
        <v>36072.22</v>
      </c>
      <c r="AU531" s="53">
        <f t="array" ref="AU531">XLOOKUP(C531,'PL TOTAL D0'!A:A,'PL TOTAL D0'!C:C,"")</f>
        <v>21198.1</v>
      </c>
    </row>
    <row r="532" ht="15.75" customHeight="1">
      <c r="A532" s="41" t="s">
        <v>43</v>
      </c>
      <c r="B532" s="42" t="s">
        <v>1823</v>
      </c>
      <c r="C532" s="56" t="s">
        <v>1824</v>
      </c>
      <c r="D532" s="44" t="s">
        <v>18</v>
      </c>
      <c r="E532" s="45" t="s">
        <v>19</v>
      </c>
      <c r="F532" s="44" t="s">
        <v>122</v>
      </c>
      <c r="G532" s="44" t="str">
        <f t="shared" si="1"/>
        <v>Augusto</v>
      </c>
      <c r="H532" s="51" t="s">
        <v>107</v>
      </c>
      <c r="I532" s="51" t="s">
        <v>24</v>
      </c>
      <c r="J532" s="44" t="str">
        <f t="shared" si="7"/>
        <v>Não</v>
      </c>
      <c r="K532" s="47">
        <v>45264.0</v>
      </c>
      <c r="L532" s="45"/>
      <c r="M532" s="93" t="s">
        <v>190</v>
      </c>
      <c r="N532" s="94">
        <v>0.025</v>
      </c>
      <c r="O532" s="95" t="s">
        <v>191</v>
      </c>
      <c r="P532" s="96">
        <v>0.2</v>
      </c>
      <c r="Q532" s="139"/>
      <c r="R532" s="139"/>
      <c r="S532" s="45" t="s">
        <v>108</v>
      </c>
      <c r="T532" s="24" t="s">
        <v>1825</v>
      </c>
      <c r="U532" s="9" t="s">
        <v>19</v>
      </c>
      <c r="V532" s="51" t="str">
        <f t="shared" si="3"/>
        <v>Ativo</v>
      </c>
      <c r="W532" s="45"/>
      <c r="X532" s="52" t="s">
        <v>119</v>
      </c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>
        <v>0.0</v>
      </c>
      <c r="AN532" s="54">
        <v>50262.05</v>
      </c>
      <c r="AO532" s="54">
        <v>46968.64</v>
      </c>
      <c r="AP532" s="53">
        <v>47487.64</v>
      </c>
      <c r="AQ532" s="53">
        <v>48297.43</v>
      </c>
      <c r="AR532" s="53">
        <v>46293.52</v>
      </c>
      <c r="AS532" s="53">
        <v>45353.05</v>
      </c>
      <c r="AT532" s="53">
        <v>45254.54</v>
      </c>
      <c r="AU532" s="53">
        <f t="array" ref="AU532">XLOOKUP(C532,'PL TOTAL D0'!A:A,'PL TOTAL D0'!C:C,"")</f>
        <v>46780.24</v>
      </c>
    </row>
    <row r="533" ht="15.75" customHeight="1">
      <c r="A533" s="41" t="s">
        <v>43</v>
      </c>
      <c r="B533" s="42" t="s">
        <v>1823</v>
      </c>
      <c r="C533" s="43" t="s">
        <v>1826</v>
      </c>
      <c r="D533" s="44" t="s">
        <v>18</v>
      </c>
      <c r="E533" s="45" t="s">
        <v>19</v>
      </c>
      <c r="F533" s="44" t="s">
        <v>122</v>
      </c>
      <c r="G533" s="44" t="str">
        <f t="shared" si="1"/>
        <v>Breno</v>
      </c>
      <c r="H533" s="46" t="s">
        <v>107</v>
      </c>
      <c r="I533" s="46" t="s">
        <v>24</v>
      </c>
      <c r="J533" s="44" t="str">
        <f t="shared" si="7"/>
        <v>Não</v>
      </c>
      <c r="K533" s="47">
        <v>45103.0</v>
      </c>
      <c r="L533" s="62"/>
      <c r="M533" s="45" t="s">
        <v>55</v>
      </c>
      <c r="N533" s="48">
        <v>0.012</v>
      </c>
      <c r="O533" s="44" t="s">
        <v>24</v>
      </c>
      <c r="P533" s="49">
        <v>0.0</v>
      </c>
      <c r="Q533" s="139"/>
      <c r="R533" s="139"/>
      <c r="S533" s="45" t="s">
        <v>108</v>
      </c>
      <c r="T533" s="24" t="s">
        <v>1825</v>
      </c>
      <c r="U533" s="9" t="s">
        <v>19</v>
      </c>
      <c r="V533" s="51" t="str">
        <f t="shared" si="3"/>
        <v>Ativo</v>
      </c>
      <c r="W533" s="45"/>
      <c r="X533" s="52" t="s">
        <v>119</v>
      </c>
      <c r="Y533" s="54"/>
      <c r="Z533" s="54"/>
      <c r="AA533" s="54"/>
      <c r="AB533" s="54"/>
      <c r="AC533" s="54"/>
      <c r="AD533" s="54"/>
      <c r="AE533" s="54"/>
      <c r="AF533" s="54"/>
      <c r="AG533" s="54"/>
      <c r="AH533" s="54">
        <v>200323.08</v>
      </c>
      <c r="AI533" s="54">
        <v>202185.21</v>
      </c>
      <c r="AJ533" s="54">
        <v>254401.12</v>
      </c>
      <c r="AK533" s="54">
        <v>256470.23</v>
      </c>
      <c r="AL533" s="54">
        <v>258614.98</v>
      </c>
      <c r="AM533" s="54">
        <v>310396.68</v>
      </c>
      <c r="AN533" s="54">
        <v>312685.08</v>
      </c>
      <c r="AO533" s="54">
        <v>315303.3</v>
      </c>
      <c r="AP533" s="53">
        <v>342539.61</v>
      </c>
      <c r="AQ533" s="53">
        <v>394597.36</v>
      </c>
      <c r="AR533" s="53">
        <v>396000.75</v>
      </c>
      <c r="AS533" s="53">
        <v>554884.7</v>
      </c>
      <c r="AT533" s="53">
        <v>566615.4</v>
      </c>
      <c r="AU533" s="53">
        <f t="array" ref="AU533">XLOOKUP(C533,'PL TOTAL D0'!A:A,'PL TOTAL D0'!C:C,"")</f>
        <v>568391.7</v>
      </c>
    </row>
    <row r="534" ht="15.75" customHeight="1">
      <c r="A534" s="41" t="s">
        <v>43</v>
      </c>
      <c r="B534" s="42" t="s">
        <v>1827</v>
      </c>
      <c r="C534" s="43" t="s">
        <v>1828</v>
      </c>
      <c r="D534" s="44" t="s">
        <v>18</v>
      </c>
      <c r="E534" s="45" t="s">
        <v>19</v>
      </c>
      <c r="F534" s="44" t="s">
        <v>213</v>
      </c>
      <c r="G534" s="44" t="str">
        <f t="shared" si="1"/>
        <v>#N/A</v>
      </c>
      <c r="H534" s="51" t="s">
        <v>147</v>
      </c>
      <c r="I534" s="46" t="s">
        <v>219</v>
      </c>
      <c r="J534" s="44" t="str">
        <f t="shared" si="7"/>
        <v>Não</v>
      </c>
      <c r="K534" s="47">
        <v>45163.0</v>
      </c>
      <c r="L534" s="62"/>
      <c r="M534" s="45" t="s">
        <v>55</v>
      </c>
      <c r="N534" s="48">
        <v>0.01</v>
      </c>
      <c r="O534" s="44" t="s">
        <v>24</v>
      </c>
      <c r="P534" s="49">
        <v>0.0</v>
      </c>
      <c r="Q534" s="139"/>
      <c r="R534" s="139"/>
      <c r="S534" s="45" t="s">
        <v>108</v>
      </c>
      <c r="T534" s="24" t="s">
        <v>1829</v>
      </c>
      <c r="U534" s="9" t="s">
        <v>19</v>
      </c>
      <c r="V534" s="51" t="str">
        <f t="shared" si="3"/>
        <v>Inativo</v>
      </c>
      <c r="W534" s="45"/>
      <c r="X534" s="52" t="s">
        <v>119</v>
      </c>
      <c r="Y534" s="54"/>
      <c r="Z534" s="54"/>
      <c r="AA534" s="54"/>
      <c r="AB534" s="54">
        <v>51295.86</v>
      </c>
      <c r="AC534" s="54">
        <v>0.0</v>
      </c>
      <c r="AD534" s="54">
        <v>0.0</v>
      </c>
      <c r="AE534" s="54">
        <v>0.0</v>
      </c>
      <c r="AF534" s="54">
        <v>0.0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43</v>
      </c>
      <c r="B535" s="42" t="s">
        <v>1830</v>
      </c>
      <c r="C535" s="81" t="s">
        <v>1831</v>
      </c>
      <c r="D535" s="44" t="s">
        <v>18</v>
      </c>
      <c r="E535" s="45" t="s">
        <v>19</v>
      </c>
      <c r="F535" s="44" t="s">
        <v>213</v>
      </c>
      <c r="G535" s="44" t="str">
        <f t="shared" si="1"/>
        <v>#N/A</v>
      </c>
      <c r="H535" s="51" t="s">
        <v>186</v>
      </c>
      <c r="I535" s="46" t="s">
        <v>24</v>
      </c>
      <c r="J535" s="44" t="str">
        <f t="shared" si="7"/>
        <v>Não</v>
      </c>
      <c r="K535" s="47">
        <v>44936.0</v>
      </c>
      <c r="L535" s="82">
        <v>45433.0</v>
      </c>
      <c r="M535" s="45" t="s">
        <v>55</v>
      </c>
      <c r="N535" s="48">
        <v>0.01</v>
      </c>
      <c r="O535" s="44" t="s">
        <v>24</v>
      </c>
      <c r="P535" s="49">
        <v>0.0</v>
      </c>
      <c r="Q535" s="60"/>
      <c r="R535" s="139"/>
      <c r="S535" s="45" t="s">
        <v>108</v>
      </c>
      <c r="T535" s="24" t="s">
        <v>1829</v>
      </c>
      <c r="U535" s="9" t="s">
        <v>19</v>
      </c>
      <c r="V535" s="51" t="str">
        <f t="shared" si="3"/>
        <v>Encerrado</v>
      </c>
      <c r="W535" s="45"/>
      <c r="X535" s="52" t="s">
        <v>119</v>
      </c>
      <c r="Y535" s="54"/>
      <c r="Z535" s="54"/>
      <c r="AA535" s="54"/>
      <c r="AB535" s="54"/>
      <c r="AC535" s="54">
        <v>172068.9</v>
      </c>
      <c r="AD535" s="54">
        <v>173538.72</v>
      </c>
      <c r="AE535" s="54">
        <v>120603.37</v>
      </c>
      <c r="AF535" s="54">
        <v>141559.66</v>
      </c>
      <c r="AG535" s="54">
        <v>147998.45</v>
      </c>
      <c r="AH535" s="54">
        <v>149308.13</v>
      </c>
      <c r="AI535" s="54">
        <v>150534.88</v>
      </c>
      <c r="AJ535" s="54">
        <v>181945.64</v>
      </c>
      <c r="AK535" s="54">
        <v>77673.74</v>
      </c>
      <c r="AL535" s="54">
        <v>78274.95</v>
      </c>
      <c r="AM535" s="54">
        <v>78830.87</v>
      </c>
      <c r="AN535" s="54">
        <v>79432.93</v>
      </c>
      <c r="AO535" s="54">
        <v>80159.88</v>
      </c>
      <c r="AP535" s="53">
        <v>29814.84</v>
      </c>
      <c r="AQ535" s="53">
        <v>0.0</v>
      </c>
      <c r="AR535" s="53">
        <v>0.0</v>
      </c>
      <c r="AS535" s="53">
        <v>0.0</v>
      </c>
      <c r="AT535" s="53">
        <v>0.0</v>
      </c>
      <c r="AU535" s="53" t="str">
        <f t="array" ref="AU535">XLOOKUP(C535,'PL TOTAL D0'!A:A,'PL TOTAL D0'!C:C,"")</f>
        <v/>
      </c>
    </row>
    <row r="536" ht="15.75" customHeight="1">
      <c r="A536" s="41" t="s">
        <v>43</v>
      </c>
      <c r="B536" s="55" t="s">
        <v>1832</v>
      </c>
      <c r="C536" s="127" t="s">
        <v>1833</v>
      </c>
      <c r="D536" s="9" t="s">
        <v>18</v>
      </c>
      <c r="E536" s="24" t="s">
        <v>19</v>
      </c>
      <c r="F536" s="9" t="s">
        <v>122</v>
      </c>
      <c r="G536" s="44" t="str">
        <f t="shared" si="1"/>
        <v>Augusto</v>
      </c>
      <c r="H536" s="51" t="s">
        <v>107</v>
      </c>
      <c r="I536" s="51" t="s">
        <v>24</v>
      </c>
      <c r="J536" s="44" t="str">
        <f t="shared" si="7"/>
        <v>Sim</v>
      </c>
      <c r="K536" s="57">
        <v>45460.0</v>
      </c>
      <c r="L536" s="82"/>
      <c r="M536" s="24" t="s">
        <v>55</v>
      </c>
      <c r="N536" s="58">
        <v>0.012</v>
      </c>
      <c r="O536" s="9" t="s">
        <v>24</v>
      </c>
      <c r="P536" s="59">
        <v>0.0</v>
      </c>
      <c r="Q536" s="60" t="s">
        <v>1834</v>
      </c>
      <c r="R536" s="139"/>
      <c r="S536" s="24" t="s">
        <v>108</v>
      </c>
      <c r="T536" s="24" t="s">
        <v>1835</v>
      </c>
      <c r="U536" s="9" t="s">
        <v>19</v>
      </c>
      <c r="V536" s="227" t="s">
        <v>107</v>
      </c>
      <c r="W536" s="24" t="s">
        <v>75</v>
      </c>
      <c r="X536" s="52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3"/>
      <c r="AQ536" s="53"/>
      <c r="AR536" s="53"/>
      <c r="AS536" s="53"/>
      <c r="AT536" s="53">
        <v>147978.2</v>
      </c>
      <c r="AU536" s="53">
        <f t="array" ref="AU536">XLOOKUP(C536,'PL TOTAL D0'!A:A,'PL TOTAL D0'!C:C,"")</f>
        <v>148555.4</v>
      </c>
    </row>
    <row r="537" ht="15.75" customHeight="1">
      <c r="A537" s="41" t="s">
        <v>43</v>
      </c>
      <c r="B537" s="228" t="s">
        <v>1836</v>
      </c>
      <c r="C537" s="197" t="s">
        <v>1837</v>
      </c>
      <c r="D537" s="44" t="s">
        <v>18</v>
      </c>
      <c r="E537" s="45" t="s">
        <v>19</v>
      </c>
      <c r="F537" s="44" t="s">
        <v>256</v>
      </c>
      <c r="G537" s="44" t="str">
        <f t="shared" si="1"/>
        <v>#N/A</v>
      </c>
      <c r="H537" s="46" t="s">
        <v>147</v>
      </c>
      <c r="I537" s="46" t="s">
        <v>161</v>
      </c>
      <c r="J537" s="44" t="str">
        <f t="shared" si="7"/>
        <v>Não</v>
      </c>
      <c r="K537" s="47">
        <v>45163.0</v>
      </c>
      <c r="L537" s="62"/>
      <c r="M537" s="45" t="s">
        <v>47</v>
      </c>
      <c r="N537" s="48">
        <v>0.015</v>
      </c>
      <c r="O537" s="44" t="s">
        <v>48</v>
      </c>
      <c r="P537" s="49">
        <v>0.1</v>
      </c>
      <c r="Q537" s="139"/>
      <c r="R537" s="139"/>
      <c r="S537" s="45" t="s">
        <v>108</v>
      </c>
      <c r="T537" s="24" t="s">
        <v>1838</v>
      </c>
      <c r="U537" s="9" t="s">
        <v>19</v>
      </c>
      <c r="V537" s="51" t="str">
        <f t="shared" ref="V537:V760" si="8">IFS(H:H="Encerrado","Encerrado",COUNTBLANK(AD537:AO537)&gt;0,"Ativo",SUM(AD537:AO537)=0,"Inativo",SUM(AD537:AO537)&gt;0,"Ativo")</f>
        <v>Ativo</v>
      </c>
      <c r="W537" s="45"/>
      <c r="X537" s="52" t="s">
        <v>119</v>
      </c>
      <c r="Y537" s="54"/>
      <c r="Z537" s="54"/>
      <c r="AA537" s="54"/>
      <c r="AB537" s="54"/>
      <c r="AC537" s="54"/>
      <c r="AD537" s="54"/>
      <c r="AE537" s="54">
        <v>0.0</v>
      </c>
      <c r="AF537" s="54">
        <v>0.0</v>
      </c>
      <c r="AG537" s="54">
        <v>0.0</v>
      </c>
      <c r="AH537" s="54">
        <v>0.0</v>
      </c>
      <c r="AI537" s="54">
        <v>0.0</v>
      </c>
      <c r="AJ537" s="54">
        <v>0.0</v>
      </c>
      <c r="AK537" s="54">
        <v>0.0</v>
      </c>
      <c r="AL537" s="54">
        <v>0.0</v>
      </c>
      <c r="AM537" s="54">
        <v>0.0</v>
      </c>
      <c r="AN537" s="54">
        <v>0.0</v>
      </c>
      <c r="AO537" s="54">
        <v>0.0</v>
      </c>
      <c r="AP537" s="53">
        <v>0.0</v>
      </c>
      <c r="AQ537" s="53">
        <v>0.0</v>
      </c>
      <c r="AR537" s="53">
        <v>0.0</v>
      </c>
      <c r="AS537" s="53">
        <v>0.0</v>
      </c>
      <c r="AT537" s="53">
        <v>0.0</v>
      </c>
      <c r="AU537" s="53" t="str">
        <f t="array" ref="AU537">XLOOKUP(C537,'PL TOTAL D0'!A:A,'PL TOTAL D0'!C:C,"")</f>
        <v/>
      </c>
    </row>
    <row r="538" ht="15.75" customHeight="1">
      <c r="A538" s="41" t="s">
        <v>43</v>
      </c>
      <c r="B538" s="42" t="s">
        <v>1839</v>
      </c>
      <c r="C538" s="43" t="s">
        <v>1840</v>
      </c>
      <c r="D538" s="44" t="s">
        <v>18</v>
      </c>
      <c r="E538" s="45" t="s">
        <v>176</v>
      </c>
      <c r="F538" s="44" t="s">
        <v>197</v>
      </c>
      <c r="G538" s="44" t="str">
        <f t="shared" si="1"/>
        <v>Augusto</v>
      </c>
      <c r="H538" s="46" t="s">
        <v>107</v>
      </c>
      <c r="I538" s="46" t="s">
        <v>24</v>
      </c>
      <c r="J538" s="44" t="str">
        <f t="shared" si="7"/>
        <v>Não</v>
      </c>
      <c r="K538" s="47">
        <v>45075.0</v>
      </c>
      <c r="L538" s="45"/>
      <c r="M538" s="45" t="s">
        <v>190</v>
      </c>
      <c r="N538" s="48">
        <v>0.025</v>
      </c>
      <c r="O538" s="44" t="s">
        <v>191</v>
      </c>
      <c r="P538" s="49">
        <v>0.2</v>
      </c>
      <c r="Q538" s="139"/>
      <c r="R538" s="139"/>
      <c r="S538" s="45" t="s">
        <v>108</v>
      </c>
      <c r="T538" s="24" t="s">
        <v>1841</v>
      </c>
      <c r="U538" s="9" t="s">
        <v>180</v>
      </c>
      <c r="V538" s="51" t="str">
        <f t="shared" si="8"/>
        <v>Ativo</v>
      </c>
      <c r="W538" s="45"/>
      <c r="X538" s="52" t="s">
        <v>110</v>
      </c>
      <c r="Y538" s="54"/>
      <c r="Z538" s="54"/>
      <c r="AA538" s="54"/>
      <c r="AB538" s="54"/>
      <c r="AC538" s="54"/>
      <c r="AD538" s="54"/>
      <c r="AE538" s="54">
        <v>0.0</v>
      </c>
      <c r="AF538" s="54">
        <v>0.0</v>
      </c>
      <c r="AG538" s="54">
        <v>49931.15</v>
      </c>
      <c r="AH538" s="54">
        <v>51939.1</v>
      </c>
      <c r="AI538" s="54">
        <v>57669.29</v>
      </c>
      <c r="AJ538" s="54">
        <v>66902.6</v>
      </c>
      <c r="AK538" s="54">
        <v>66641.42</v>
      </c>
      <c r="AL538" s="54">
        <v>68617.76</v>
      </c>
      <c r="AM538" s="54">
        <v>73801.62</v>
      </c>
      <c r="AN538" s="54">
        <v>82681.06</v>
      </c>
      <c r="AO538" s="54">
        <v>81896.27</v>
      </c>
      <c r="AP538" s="53">
        <v>83029.07</v>
      </c>
      <c r="AQ538" s="53">
        <v>89381.9</v>
      </c>
      <c r="AR538" s="53">
        <v>90768.54</v>
      </c>
      <c r="AS538" s="53">
        <v>94097.87</v>
      </c>
      <c r="AT538" s="53">
        <v>94153.82</v>
      </c>
      <c r="AU538" s="53">
        <f t="array" ref="AU538">XLOOKUP(C538,'PL TOTAL D0'!A:A,'PL TOTAL D0'!C:C,"")</f>
        <v>101925.5</v>
      </c>
    </row>
    <row r="539" ht="15.75" customHeight="1">
      <c r="A539" s="41" t="s">
        <v>43</v>
      </c>
      <c r="B539" s="55" t="s">
        <v>1842</v>
      </c>
      <c r="C539" s="56" t="s">
        <v>1843</v>
      </c>
      <c r="D539" s="9" t="s">
        <v>18</v>
      </c>
      <c r="E539" s="24" t="s">
        <v>29</v>
      </c>
      <c r="F539" s="9" t="s">
        <v>632</v>
      </c>
      <c r="G539" s="44" t="str">
        <f t="shared" si="1"/>
        <v>Augusto</v>
      </c>
      <c r="H539" s="51" t="s">
        <v>107</v>
      </c>
      <c r="I539" s="51" t="s">
        <v>24</v>
      </c>
      <c r="J539" s="44" t="str">
        <f t="shared" si="7"/>
        <v>Não</v>
      </c>
      <c r="K539" s="57">
        <v>45448.0</v>
      </c>
      <c r="L539" s="45"/>
      <c r="M539" s="24" t="s">
        <v>278</v>
      </c>
      <c r="N539" s="58">
        <v>0.007</v>
      </c>
      <c r="O539" s="9" t="s">
        <v>24</v>
      </c>
      <c r="P539" s="59">
        <v>0.0</v>
      </c>
      <c r="Q539" s="139"/>
      <c r="R539" s="139"/>
      <c r="S539" s="24" t="s">
        <v>108</v>
      </c>
      <c r="T539" s="24" t="s">
        <v>1844</v>
      </c>
      <c r="U539" s="9" t="s">
        <v>29</v>
      </c>
      <c r="V539" s="51" t="str">
        <f t="shared" si="8"/>
        <v>Ativo</v>
      </c>
      <c r="W539" s="24" t="s">
        <v>75</v>
      </c>
      <c r="X539" s="52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3"/>
      <c r="AQ539" s="53"/>
      <c r="AR539" s="53"/>
      <c r="AS539" s="53"/>
      <c r="AT539" s="53">
        <v>11609.16</v>
      </c>
      <c r="AU539" s="53">
        <f t="array" ref="AU539">XLOOKUP(C539,'PL TOTAL D0'!A:A,'PL TOTAL D0'!C:C,"")</f>
        <v>11660.33</v>
      </c>
    </row>
    <row r="540" ht="15.75" customHeight="1">
      <c r="A540" s="41" t="s">
        <v>43</v>
      </c>
      <c r="B540" s="42" t="s">
        <v>1845</v>
      </c>
      <c r="C540" s="43" t="s">
        <v>1846</v>
      </c>
      <c r="D540" s="44" t="s">
        <v>18</v>
      </c>
      <c r="E540" s="45" t="s">
        <v>19</v>
      </c>
      <c r="F540" s="44" t="s">
        <v>213</v>
      </c>
      <c r="G540" s="44" t="str">
        <f t="shared" si="1"/>
        <v>Breno</v>
      </c>
      <c r="H540" s="46" t="s">
        <v>107</v>
      </c>
      <c r="I540" s="46" t="s">
        <v>24</v>
      </c>
      <c r="J540" s="44" t="str">
        <f t="shared" si="7"/>
        <v>Não</v>
      </c>
      <c r="K540" s="47">
        <v>45028.0</v>
      </c>
      <c r="L540" s="45"/>
      <c r="M540" s="45" t="s">
        <v>55</v>
      </c>
      <c r="N540" s="48">
        <v>0.012</v>
      </c>
      <c r="O540" s="44" t="s">
        <v>24</v>
      </c>
      <c r="P540" s="49">
        <v>0.0</v>
      </c>
      <c r="Q540" s="139"/>
      <c r="R540" s="139"/>
      <c r="S540" s="45" t="s">
        <v>108</v>
      </c>
      <c r="T540" s="24" t="s">
        <v>1847</v>
      </c>
      <c r="U540" s="9" t="s">
        <v>19</v>
      </c>
      <c r="V540" s="51" t="str">
        <f t="shared" si="8"/>
        <v>Ativo</v>
      </c>
      <c r="W540" s="45"/>
      <c r="X540" s="52" t="s">
        <v>119</v>
      </c>
      <c r="Y540" s="54"/>
      <c r="Z540" s="54"/>
      <c r="AA540" s="54"/>
      <c r="AB540" s="54"/>
      <c r="AC540" s="54"/>
      <c r="AD540" s="54"/>
      <c r="AE540" s="54"/>
      <c r="AF540" s="54">
        <v>392253.97</v>
      </c>
      <c r="AG540" s="54">
        <v>396340.75</v>
      </c>
      <c r="AH540" s="54">
        <v>400226.43</v>
      </c>
      <c r="AI540" s="54">
        <v>403716.37</v>
      </c>
      <c r="AJ540" s="54">
        <v>407861.72</v>
      </c>
      <c r="AK540" s="54">
        <v>461695.5</v>
      </c>
      <c r="AL540" s="54">
        <v>566451.91</v>
      </c>
      <c r="AM540" s="54">
        <v>570890.03</v>
      </c>
      <c r="AN540" s="54">
        <v>575596.87</v>
      </c>
      <c r="AO540" s="54">
        <v>578456.36</v>
      </c>
      <c r="AP540" s="53">
        <v>583073.2</v>
      </c>
      <c r="AQ540" s="53">
        <v>586787.5</v>
      </c>
      <c r="AR540" s="53">
        <v>591462.15</v>
      </c>
      <c r="AS540" s="53">
        <v>595896.7</v>
      </c>
      <c r="AT540" s="53">
        <v>600624.9</v>
      </c>
      <c r="AU540" s="53">
        <f t="array" ref="AU540">XLOOKUP(C540,'PL TOTAL D0'!A:A,'PL TOTAL D0'!C:C,"")</f>
        <v>602211.2</v>
      </c>
    </row>
    <row r="541" ht="15.75" customHeight="1">
      <c r="A541" s="6" t="s">
        <v>43</v>
      </c>
      <c r="B541" s="55" t="s">
        <v>1848</v>
      </c>
      <c r="C541" s="56" t="s">
        <v>1849</v>
      </c>
      <c r="D541" s="9" t="s">
        <v>18</v>
      </c>
      <c r="E541" s="24" t="s">
        <v>29</v>
      </c>
      <c r="F541" s="9" t="s">
        <v>60</v>
      </c>
      <c r="G541" s="44" t="str">
        <f t="shared" si="1"/>
        <v>Augusto</v>
      </c>
      <c r="H541" s="51" t="s">
        <v>107</v>
      </c>
      <c r="I541" s="51" t="s">
        <v>24</v>
      </c>
      <c r="J541" s="44" t="str">
        <f t="shared" si="7"/>
        <v>Não</v>
      </c>
      <c r="K541" s="57">
        <v>45281.0</v>
      </c>
      <c r="L541" s="45"/>
      <c r="M541" s="130" t="s">
        <v>47</v>
      </c>
      <c r="N541" s="86">
        <v>0.0</v>
      </c>
      <c r="O541" s="87" t="s">
        <v>24</v>
      </c>
      <c r="P541" s="88">
        <v>0.0</v>
      </c>
      <c r="Q541" s="139"/>
      <c r="R541" s="139"/>
      <c r="S541" s="24" t="s">
        <v>108</v>
      </c>
      <c r="T541" s="24" t="s">
        <v>1850</v>
      </c>
      <c r="U541" s="9" t="s">
        <v>29</v>
      </c>
      <c r="V541" s="51" t="str">
        <f t="shared" si="8"/>
        <v>Ativo</v>
      </c>
      <c r="W541" s="45"/>
      <c r="X541" s="52" t="s">
        <v>119</v>
      </c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>
        <v>85000.0</v>
      </c>
      <c r="AO541" s="54">
        <v>87237.52</v>
      </c>
      <c r="AP541" s="53">
        <v>99231.47</v>
      </c>
      <c r="AQ541" s="53">
        <v>102513.19</v>
      </c>
      <c r="AR541" s="53">
        <v>102228.44</v>
      </c>
      <c r="AS541" s="53">
        <v>102910.3</v>
      </c>
      <c r="AT541" s="53">
        <v>104683.1</v>
      </c>
      <c r="AU541" s="53">
        <f t="array" ref="AU541">XLOOKUP(C541,'PL TOTAL D0'!A:A,'PL TOTAL D0'!C:C,"")</f>
        <v>105566.8</v>
      </c>
    </row>
    <row r="542" ht="15.75" customHeight="1">
      <c r="A542" s="41" t="s">
        <v>43</v>
      </c>
      <c r="B542" s="42" t="s">
        <v>1851</v>
      </c>
      <c r="C542" s="43" t="s">
        <v>1852</v>
      </c>
      <c r="D542" s="44" t="s">
        <v>18</v>
      </c>
      <c r="E542" s="45" t="s">
        <v>29</v>
      </c>
      <c r="F542" s="44" t="s">
        <v>168</v>
      </c>
      <c r="G542" s="44" t="str">
        <f t="shared" si="1"/>
        <v>Augusto</v>
      </c>
      <c r="H542" s="46" t="s">
        <v>107</v>
      </c>
      <c r="I542" s="46" t="s">
        <v>24</v>
      </c>
      <c r="J542" s="44" t="str">
        <f t="shared" si="7"/>
        <v>Não</v>
      </c>
      <c r="K542" s="47">
        <v>45148.0</v>
      </c>
      <c r="L542" s="45"/>
      <c r="M542" s="45" t="s">
        <v>190</v>
      </c>
      <c r="N542" s="48">
        <v>0.025</v>
      </c>
      <c r="O542" s="44" t="s">
        <v>191</v>
      </c>
      <c r="P542" s="49">
        <v>0.2</v>
      </c>
      <c r="Q542" s="50"/>
      <c r="R542" s="50"/>
      <c r="S542" s="45" t="s">
        <v>108</v>
      </c>
      <c r="T542" s="24" t="s">
        <v>1853</v>
      </c>
      <c r="U542" s="9" t="s">
        <v>29</v>
      </c>
      <c r="V542" s="51" t="str">
        <f t="shared" si="8"/>
        <v>Ativo</v>
      </c>
      <c r="W542" s="45"/>
      <c r="X542" s="52" t="s">
        <v>119</v>
      </c>
      <c r="Y542" s="54"/>
      <c r="Z542" s="54"/>
      <c r="AA542" s="54"/>
      <c r="AB542" s="54"/>
      <c r="AC542" s="54"/>
      <c r="AD542" s="54"/>
      <c r="AE542" s="54"/>
      <c r="AF542" s="54"/>
      <c r="AG542" s="54"/>
      <c r="AH542" s="54">
        <v>0.0</v>
      </c>
      <c r="AI542" s="54">
        <v>0.0</v>
      </c>
      <c r="AJ542" s="54">
        <v>318190.88</v>
      </c>
      <c r="AK542" s="54">
        <v>310054.35</v>
      </c>
      <c r="AL542" s="54">
        <v>297092.46</v>
      </c>
      <c r="AM542" s="54">
        <v>318723.48</v>
      </c>
      <c r="AN542" s="54">
        <v>334082.16</v>
      </c>
      <c r="AO542" s="54">
        <v>310728.58</v>
      </c>
      <c r="AP542" s="53">
        <v>314827.38</v>
      </c>
      <c r="AQ542" s="53">
        <v>320036.63</v>
      </c>
      <c r="AR542" s="53">
        <v>306215.55</v>
      </c>
      <c r="AS542" s="53">
        <v>295815.9</v>
      </c>
      <c r="AT542" s="53">
        <v>296249.8</v>
      </c>
      <c r="AU542" s="53">
        <f t="array" ref="AU542">XLOOKUP(C542,'PL TOTAL D0'!A:A,'PL TOTAL D0'!C:C,"")</f>
        <v>309299</v>
      </c>
    </row>
    <row r="543" ht="15.75" customHeight="1">
      <c r="A543" s="41" t="s">
        <v>43</v>
      </c>
      <c r="B543" s="42" t="s">
        <v>1854</v>
      </c>
      <c r="C543" s="43" t="s">
        <v>1855</v>
      </c>
      <c r="D543" s="44" t="s">
        <v>18</v>
      </c>
      <c r="E543" s="45" t="s">
        <v>29</v>
      </c>
      <c r="F543" s="44" t="s">
        <v>168</v>
      </c>
      <c r="G543" s="44" t="str">
        <f t="shared" si="1"/>
        <v>Bruno</v>
      </c>
      <c r="H543" s="46" t="s">
        <v>107</v>
      </c>
      <c r="I543" s="46" t="s">
        <v>24</v>
      </c>
      <c r="J543" s="44" t="str">
        <f t="shared" si="7"/>
        <v>Não</v>
      </c>
      <c r="K543" s="47">
        <v>44986.0</v>
      </c>
      <c r="L543" s="45"/>
      <c r="M543" s="45" t="s">
        <v>55</v>
      </c>
      <c r="N543" s="48">
        <v>0.012</v>
      </c>
      <c r="O543" s="44" t="s">
        <v>24</v>
      </c>
      <c r="P543" s="49">
        <v>0.0</v>
      </c>
      <c r="Q543" s="50"/>
      <c r="R543" s="50"/>
      <c r="S543" s="45" t="s">
        <v>108</v>
      </c>
      <c r="T543" s="24" t="s">
        <v>1853</v>
      </c>
      <c r="U543" s="9" t="s">
        <v>29</v>
      </c>
      <c r="V543" s="51" t="str">
        <f t="shared" si="8"/>
        <v>Ativo</v>
      </c>
      <c r="W543" s="45"/>
      <c r="X543" s="52" t="s">
        <v>119</v>
      </c>
      <c r="Y543" s="54"/>
      <c r="Z543" s="54"/>
      <c r="AA543" s="54"/>
      <c r="AB543" s="54"/>
      <c r="AC543" s="54"/>
      <c r="AD543" s="54">
        <v>0.0</v>
      </c>
      <c r="AE543" s="54">
        <v>1309680.34</v>
      </c>
      <c r="AF543" s="54">
        <v>1304279.67</v>
      </c>
      <c r="AG543" s="54">
        <v>1297521.3</v>
      </c>
      <c r="AH543" s="54">
        <v>1306782.92</v>
      </c>
      <c r="AI543" s="54">
        <v>1317426.15</v>
      </c>
      <c r="AJ543" s="54">
        <v>1278216.11</v>
      </c>
      <c r="AK543" s="54">
        <v>1271481.07</v>
      </c>
      <c r="AL543" s="54">
        <v>1265269.88</v>
      </c>
      <c r="AM543" s="54">
        <v>1268143.87</v>
      </c>
      <c r="AN543" s="54">
        <v>1279049.41</v>
      </c>
      <c r="AO543" s="54">
        <v>1280757.5</v>
      </c>
      <c r="AP543" s="53">
        <v>1285143.8</v>
      </c>
      <c r="AQ543" s="53">
        <v>1289543.74</v>
      </c>
      <c r="AR543" s="53">
        <v>1297114.63</v>
      </c>
      <c r="AS543" s="53">
        <v>1293053.0</v>
      </c>
      <c r="AT543" s="53">
        <v>1301626.0</v>
      </c>
      <c r="AU543" s="53">
        <f t="array" ref="AU543">XLOOKUP(C543,'PL TOTAL D0'!A:A,'PL TOTAL D0'!C:C,"")</f>
        <v>1305473</v>
      </c>
    </row>
    <row r="544" ht="15.75" customHeight="1">
      <c r="A544" s="41" t="s">
        <v>43</v>
      </c>
      <c r="B544" s="61" t="s">
        <v>1856</v>
      </c>
      <c r="C544" s="43" t="s">
        <v>1857</v>
      </c>
      <c r="D544" s="44" t="s">
        <v>18</v>
      </c>
      <c r="E544" s="45" t="s">
        <v>19</v>
      </c>
      <c r="F544" s="44" t="s">
        <v>256</v>
      </c>
      <c r="G544" s="44" t="str">
        <f t="shared" si="1"/>
        <v>Breno</v>
      </c>
      <c r="H544" s="46" t="s">
        <v>107</v>
      </c>
      <c r="I544" s="46" t="s">
        <v>24</v>
      </c>
      <c r="J544" s="44" t="str">
        <f t="shared" si="7"/>
        <v>Não</v>
      </c>
      <c r="K544" s="47">
        <v>45058.0</v>
      </c>
      <c r="L544" s="45"/>
      <c r="M544" s="45" t="s">
        <v>55</v>
      </c>
      <c r="N544" s="48">
        <v>0.008</v>
      </c>
      <c r="O544" s="44" t="s">
        <v>24</v>
      </c>
      <c r="P544" s="49">
        <v>0.0</v>
      </c>
      <c r="Q544" s="139"/>
      <c r="R544" s="139"/>
      <c r="S544" s="45" t="s">
        <v>369</v>
      </c>
      <c r="T544" s="24" t="s">
        <v>1858</v>
      </c>
      <c r="U544" s="9" t="s">
        <v>19</v>
      </c>
      <c r="V544" s="51" t="str">
        <f t="shared" si="8"/>
        <v>Ativo</v>
      </c>
      <c r="W544" s="45"/>
      <c r="X544" s="52" t="s">
        <v>119</v>
      </c>
      <c r="Y544" s="54"/>
      <c r="Z544" s="54"/>
      <c r="AA544" s="54"/>
      <c r="AB544" s="54"/>
      <c r="AC544" s="54"/>
      <c r="AD544" s="54"/>
      <c r="AE544" s="54"/>
      <c r="AF544" s="54">
        <v>0.0</v>
      </c>
      <c r="AG544" s="54">
        <v>917050.58</v>
      </c>
      <c r="AH544" s="54">
        <v>921849.32</v>
      </c>
      <c r="AI544" s="54">
        <v>925915.22</v>
      </c>
      <c r="AJ544" s="54">
        <v>932372.26</v>
      </c>
      <c r="AK544" s="54">
        <v>938332.24</v>
      </c>
      <c r="AL544" s="54">
        <v>946137.88</v>
      </c>
      <c r="AM544" s="54">
        <v>951998.3</v>
      </c>
      <c r="AN544" s="54">
        <v>959427.1</v>
      </c>
      <c r="AO544" s="54">
        <v>966990.1</v>
      </c>
      <c r="AP544" s="53">
        <v>973392.74</v>
      </c>
      <c r="AQ544" s="53">
        <v>977995.99</v>
      </c>
      <c r="AR544" s="53">
        <v>985720.73</v>
      </c>
      <c r="AS544" s="53">
        <v>993183.8</v>
      </c>
      <c r="AT544" s="53">
        <v>997112.5</v>
      </c>
      <c r="AU544" s="53">
        <f t="array" ref="AU544">XLOOKUP(C544,'PL TOTAL D0'!A:A,'PL TOTAL D0'!C:C,"")</f>
        <v>999500.9</v>
      </c>
    </row>
    <row r="545" ht="15.75" customHeight="1">
      <c r="A545" s="41" t="s">
        <v>43</v>
      </c>
      <c r="B545" s="42" t="s">
        <v>1859</v>
      </c>
      <c r="C545" s="43" t="s">
        <v>1860</v>
      </c>
      <c r="D545" s="44" t="s">
        <v>18</v>
      </c>
      <c r="E545" s="45" t="s">
        <v>19</v>
      </c>
      <c r="F545" s="44" t="s">
        <v>20</v>
      </c>
      <c r="G545" s="44" t="str">
        <f t="shared" si="1"/>
        <v>Augusto</v>
      </c>
      <c r="H545" s="46" t="s">
        <v>107</v>
      </c>
      <c r="I545" s="46" t="s">
        <v>24</v>
      </c>
      <c r="J545" s="44" t="str">
        <f t="shared" si="7"/>
        <v>Não</v>
      </c>
      <c r="K545" s="47">
        <v>44973.0</v>
      </c>
      <c r="L545" s="45"/>
      <c r="M545" s="45" t="s">
        <v>55</v>
      </c>
      <c r="N545" s="48">
        <v>0.01</v>
      </c>
      <c r="O545" s="44" t="s">
        <v>24</v>
      </c>
      <c r="P545" s="49">
        <v>0.0</v>
      </c>
      <c r="Q545" s="60"/>
      <c r="R545" s="50"/>
      <c r="S545" s="45" t="s">
        <v>108</v>
      </c>
      <c r="T545" s="24" t="s">
        <v>1861</v>
      </c>
      <c r="U545" s="9" t="s">
        <v>19</v>
      </c>
      <c r="V545" s="51" t="str">
        <f t="shared" si="8"/>
        <v>Ativo</v>
      </c>
      <c r="W545" s="45"/>
      <c r="X545" s="52" t="s">
        <v>119</v>
      </c>
      <c r="Y545" s="54"/>
      <c r="Z545" s="54"/>
      <c r="AA545" s="54"/>
      <c r="AB545" s="54"/>
      <c r="AC545" s="54"/>
      <c r="AD545" s="54">
        <v>134565.58</v>
      </c>
      <c r="AE545" s="54">
        <v>131030.57</v>
      </c>
      <c r="AF545" s="54">
        <v>131907.25</v>
      </c>
      <c r="AG545" s="54">
        <v>119165.24</v>
      </c>
      <c r="AH545" s="54">
        <v>121226.11</v>
      </c>
      <c r="AI545" s="54">
        <v>117331.38</v>
      </c>
      <c r="AJ545" s="54">
        <v>118898.37</v>
      </c>
      <c r="AK545" s="54">
        <v>119904.59</v>
      </c>
      <c r="AL545" s="54">
        <v>80094.84</v>
      </c>
      <c r="AM545" s="54">
        <v>82181.14</v>
      </c>
      <c r="AN545" s="54">
        <v>100558.79</v>
      </c>
      <c r="AO545" s="54">
        <v>91388.44</v>
      </c>
      <c r="AP545" s="53">
        <v>87542.72</v>
      </c>
      <c r="AQ545" s="53">
        <v>83186.65</v>
      </c>
      <c r="AR545" s="53">
        <v>75175.92</v>
      </c>
      <c r="AS545" s="53">
        <v>69892.57</v>
      </c>
      <c r="AT545" s="53">
        <v>63886.49</v>
      </c>
      <c r="AU545" s="53">
        <f t="array" ref="AU545">XLOOKUP(C545,'PL TOTAL D0'!A:A,'PL TOTAL D0'!C:C,"")</f>
        <v>64111.54</v>
      </c>
    </row>
    <row r="546" ht="15.75" customHeight="1">
      <c r="A546" s="6" t="s">
        <v>43</v>
      </c>
      <c r="B546" s="15" t="s">
        <v>1862</v>
      </c>
      <c r="C546" s="137" t="s">
        <v>1863</v>
      </c>
      <c r="D546" s="9" t="s">
        <v>52</v>
      </c>
      <c r="E546" s="24" t="s">
        <v>19</v>
      </c>
      <c r="F546" s="9" t="s">
        <v>53</v>
      </c>
      <c r="G546" s="44" t="str">
        <f t="shared" si="1"/>
        <v>Bruno</v>
      </c>
      <c r="H546" s="51" t="s">
        <v>107</v>
      </c>
      <c r="I546" s="51" t="s">
        <v>24</v>
      </c>
      <c r="J546" s="44" t="str">
        <f t="shared" si="7"/>
        <v>Não</v>
      </c>
      <c r="K546" s="57">
        <v>45337.0</v>
      </c>
      <c r="L546" s="45"/>
      <c r="M546" s="24" t="s">
        <v>55</v>
      </c>
      <c r="N546" s="58">
        <v>0.012</v>
      </c>
      <c r="O546" s="9" t="s">
        <v>24</v>
      </c>
      <c r="P546" s="59">
        <v>0.0</v>
      </c>
      <c r="Q546" s="60"/>
      <c r="R546" s="50"/>
      <c r="S546" s="24" t="s">
        <v>369</v>
      </c>
      <c r="T546" s="5" t="s">
        <v>1864</v>
      </c>
      <c r="U546" s="9" t="s">
        <v>19</v>
      </c>
      <c r="V546" s="51" t="str">
        <f t="shared" si="8"/>
        <v>Ativo</v>
      </c>
      <c r="W546" s="24"/>
      <c r="X546" s="52" t="s">
        <v>119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3">
        <v>0.0</v>
      </c>
      <c r="AQ546" s="53">
        <v>663216.71</v>
      </c>
      <c r="AR546" s="53">
        <v>1510011.53</v>
      </c>
      <c r="AS546" s="53">
        <v>1369361.0</v>
      </c>
      <c r="AT546" s="53">
        <v>1127466.0</v>
      </c>
      <c r="AU546" s="53">
        <f t="array" ref="AU546">XLOOKUP(C546,'PL TOTAL D0'!A:A,'PL TOTAL D0'!C:C,"")</f>
        <v>1131321</v>
      </c>
    </row>
    <row r="547" ht="15.75" customHeight="1">
      <c r="A547" s="41" t="s">
        <v>43</v>
      </c>
      <c r="B547" s="55" t="s">
        <v>1865</v>
      </c>
      <c r="C547" s="43" t="s">
        <v>1866</v>
      </c>
      <c r="D547" s="44" t="s">
        <v>18</v>
      </c>
      <c r="E547" s="45" t="s">
        <v>176</v>
      </c>
      <c r="F547" s="44" t="s">
        <v>177</v>
      </c>
      <c r="G547" s="44" t="str">
        <f t="shared" si="1"/>
        <v>Breno</v>
      </c>
      <c r="H547" s="51" t="s">
        <v>107</v>
      </c>
      <c r="I547" s="46" t="s">
        <v>24</v>
      </c>
      <c r="J547" s="44" t="str">
        <f t="shared" si="7"/>
        <v>Não</v>
      </c>
      <c r="K547" s="47">
        <v>45163.0</v>
      </c>
      <c r="L547" s="62"/>
      <c r="M547" s="24" t="s">
        <v>79</v>
      </c>
      <c r="N547" s="58">
        <v>0.012</v>
      </c>
      <c r="O547" s="44" t="s">
        <v>48</v>
      </c>
      <c r="P547" s="49">
        <v>0.1</v>
      </c>
      <c r="Q547" s="184"/>
      <c r="R547" s="60" t="s">
        <v>1867</v>
      </c>
      <c r="S547" s="45" t="s">
        <v>108</v>
      </c>
      <c r="T547" s="24" t="s">
        <v>1868</v>
      </c>
      <c r="U547" s="9" t="s">
        <v>180</v>
      </c>
      <c r="V547" s="51" t="str">
        <f t="shared" si="8"/>
        <v>Ativo</v>
      </c>
      <c r="W547" s="45"/>
      <c r="X547" s="52" t="s">
        <v>110</v>
      </c>
      <c r="Y547" s="54"/>
      <c r="Z547" s="54"/>
      <c r="AA547" s="54"/>
      <c r="AB547" s="54"/>
      <c r="AC547" s="54"/>
      <c r="AD547" s="54"/>
      <c r="AE547" s="54"/>
      <c r="AF547" s="54">
        <v>0.0</v>
      </c>
      <c r="AG547" s="54">
        <v>0.0</v>
      </c>
      <c r="AH547" s="54">
        <v>0.0</v>
      </c>
      <c r="AI547" s="54">
        <v>0.0</v>
      </c>
      <c r="AJ547" s="54">
        <v>0.0</v>
      </c>
      <c r="AK547" s="54">
        <v>0.0</v>
      </c>
      <c r="AL547" s="54">
        <v>0.0</v>
      </c>
      <c r="AM547" s="54">
        <v>0.0</v>
      </c>
      <c r="AN547" s="54">
        <v>495723.2</v>
      </c>
      <c r="AO547" s="54">
        <v>489036.95</v>
      </c>
      <c r="AP547" s="53">
        <v>492682.44</v>
      </c>
      <c r="AQ547" s="53">
        <v>492167.63</v>
      </c>
      <c r="AR547" s="53">
        <v>491926.14</v>
      </c>
      <c r="AS547" s="53">
        <v>491737.7</v>
      </c>
      <c r="AT547" s="53">
        <v>495131.8</v>
      </c>
      <c r="AU547" s="53">
        <f t="array" ref="AU547">XLOOKUP(C547,'PL TOTAL D0'!A:A,'PL TOTAL D0'!C:C,"")</f>
        <v>499653.3</v>
      </c>
    </row>
    <row r="548" ht="15.75" customHeight="1">
      <c r="A548" s="41" t="s">
        <v>43</v>
      </c>
      <c r="B548" s="42" t="s">
        <v>1869</v>
      </c>
      <c r="C548" s="43" t="s">
        <v>1870</v>
      </c>
      <c r="D548" s="44" t="s">
        <v>18</v>
      </c>
      <c r="E548" s="45" t="s">
        <v>176</v>
      </c>
      <c r="F548" s="44" t="s">
        <v>177</v>
      </c>
      <c r="G548" s="44" t="str">
        <f t="shared" si="1"/>
        <v>Augusto</v>
      </c>
      <c r="H548" s="51" t="s">
        <v>147</v>
      </c>
      <c r="I548" s="51" t="s">
        <v>219</v>
      </c>
      <c r="J548" s="44" t="str">
        <f t="shared" si="7"/>
        <v>Não</v>
      </c>
      <c r="K548" s="47">
        <v>45127.0</v>
      </c>
      <c r="L548" s="62"/>
      <c r="M548" s="45" t="s">
        <v>190</v>
      </c>
      <c r="N548" s="48">
        <v>0.025</v>
      </c>
      <c r="O548" s="44" t="s">
        <v>191</v>
      </c>
      <c r="P548" s="49">
        <v>0.2</v>
      </c>
      <c r="Q548" s="139"/>
      <c r="R548" s="139"/>
      <c r="S548" s="45" t="s">
        <v>108</v>
      </c>
      <c r="T548" s="24" t="s">
        <v>1871</v>
      </c>
      <c r="U548" s="9" t="s">
        <v>180</v>
      </c>
      <c r="V548" s="51" t="str">
        <f t="shared" si="8"/>
        <v>Ativo</v>
      </c>
      <c r="W548" s="45"/>
      <c r="X548" s="52" t="s">
        <v>110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>
        <v>0.0</v>
      </c>
      <c r="AI548" s="54">
        <v>50378.93</v>
      </c>
      <c r="AJ548" s="54">
        <v>50509.51</v>
      </c>
      <c r="AK548" s="54">
        <v>49400.81</v>
      </c>
      <c r="AL548" s="54">
        <v>47181.15</v>
      </c>
      <c r="AM548" s="54">
        <v>50692.58</v>
      </c>
      <c r="AN548" s="54">
        <v>53112.44</v>
      </c>
      <c r="AO548" s="54">
        <v>49430.06</v>
      </c>
      <c r="AP548" s="53">
        <v>50112.37</v>
      </c>
      <c r="AQ548" s="53">
        <v>50930.79</v>
      </c>
      <c r="AR548" s="53">
        <v>48747.29</v>
      </c>
      <c r="AS548" s="53">
        <v>47179.05</v>
      </c>
      <c r="AT548" s="53">
        <v>5077.94</v>
      </c>
      <c r="AU548" s="53">
        <f t="array" ref="AU548">XLOOKUP(C548,'PL TOTAL D0'!A:A,'PL TOTAL D0'!C:C,"")</f>
        <v>4827.44</v>
      </c>
    </row>
    <row r="549" ht="15.75" customHeight="1">
      <c r="A549" s="41" t="s">
        <v>43</v>
      </c>
      <c r="B549" s="42" t="s">
        <v>1869</v>
      </c>
      <c r="C549" s="43" t="s">
        <v>1872</v>
      </c>
      <c r="D549" s="44" t="s">
        <v>18</v>
      </c>
      <c r="E549" s="45" t="s">
        <v>176</v>
      </c>
      <c r="F549" s="44" t="s">
        <v>177</v>
      </c>
      <c r="G549" s="44" t="str">
        <f t="shared" si="1"/>
        <v>Augusto</v>
      </c>
      <c r="H549" s="51" t="s">
        <v>107</v>
      </c>
      <c r="I549" s="51" t="s">
        <v>24</v>
      </c>
      <c r="J549" s="44" t="str">
        <f t="shared" si="7"/>
        <v>Não</v>
      </c>
      <c r="K549" s="47">
        <v>45021.0</v>
      </c>
      <c r="L549" s="45"/>
      <c r="M549" s="45" t="s">
        <v>79</v>
      </c>
      <c r="N549" s="48">
        <v>0.012</v>
      </c>
      <c r="O549" s="44" t="s">
        <v>24</v>
      </c>
      <c r="P549" s="49">
        <v>0.0</v>
      </c>
      <c r="Q549" s="139"/>
      <c r="R549" s="139"/>
      <c r="S549" s="45" t="s">
        <v>108</v>
      </c>
      <c r="T549" s="24" t="s">
        <v>1871</v>
      </c>
      <c r="U549" s="9" t="s">
        <v>180</v>
      </c>
      <c r="V549" s="51" t="str">
        <f t="shared" si="8"/>
        <v>Ativo</v>
      </c>
      <c r="W549" s="45"/>
      <c r="X549" s="52" t="s">
        <v>110</v>
      </c>
      <c r="Y549" s="54"/>
      <c r="Z549" s="54"/>
      <c r="AA549" s="54"/>
      <c r="AB549" s="54"/>
      <c r="AC549" s="54"/>
      <c r="AD549" s="54"/>
      <c r="AE549" s="54">
        <v>0.0</v>
      </c>
      <c r="AF549" s="54">
        <v>177876.97</v>
      </c>
      <c r="AG549" s="54">
        <v>179377.58</v>
      </c>
      <c r="AH549" s="54">
        <v>181097.77</v>
      </c>
      <c r="AI549" s="54">
        <v>131177.81</v>
      </c>
      <c r="AJ549" s="54">
        <v>132234.7</v>
      </c>
      <c r="AK549" s="54">
        <v>132752.76</v>
      </c>
      <c r="AL549" s="54">
        <v>132974.39</v>
      </c>
      <c r="AM549" s="54">
        <v>135260.13</v>
      </c>
      <c r="AN549" s="54">
        <v>137192.65</v>
      </c>
      <c r="AO549" s="54">
        <v>135840.05</v>
      </c>
      <c r="AP549" s="53">
        <v>136829.17</v>
      </c>
      <c r="AQ549" s="53">
        <v>137673.4</v>
      </c>
      <c r="AR549" s="53">
        <v>137534.93</v>
      </c>
      <c r="AS549" s="53">
        <v>137446.5</v>
      </c>
      <c r="AT549" s="53">
        <v>180587.8</v>
      </c>
      <c r="AU549" s="53">
        <f t="array" ref="AU549">XLOOKUP(C549,'PL TOTAL D0'!A:A,'PL TOTAL D0'!C:C,"")</f>
        <v>185679.7</v>
      </c>
    </row>
    <row r="550" ht="15.75" customHeight="1">
      <c r="A550" s="41" t="s">
        <v>43</v>
      </c>
      <c r="B550" s="55" t="s">
        <v>1873</v>
      </c>
      <c r="C550" s="56" t="s">
        <v>1874</v>
      </c>
      <c r="D550" s="9" t="s">
        <v>18</v>
      </c>
      <c r="E550" s="24" t="s">
        <v>29</v>
      </c>
      <c r="F550" s="9" t="s">
        <v>294</v>
      </c>
      <c r="G550" s="44" t="str">
        <f t="shared" si="1"/>
        <v>Augusto</v>
      </c>
      <c r="H550" s="51" t="s">
        <v>107</v>
      </c>
      <c r="I550" s="51" t="s">
        <v>24</v>
      </c>
      <c r="J550" s="44" t="str">
        <f t="shared" si="7"/>
        <v>Sim</v>
      </c>
      <c r="K550" s="57">
        <v>45449.0</v>
      </c>
      <c r="L550" s="45"/>
      <c r="M550" s="185" t="s">
        <v>1875</v>
      </c>
      <c r="N550" s="186">
        <v>0.011</v>
      </c>
      <c r="O550" s="187" t="s">
        <v>48</v>
      </c>
      <c r="P550" s="188">
        <v>0.1</v>
      </c>
      <c r="Q550" s="60" t="s">
        <v>1876</v>
      </c>
      <c r="R550" s="139"/>
      <c r="S550" s="24" t="s">
        <v>108</v>
      </c>
      <c r="T550" s="24" t="s">
        <v>1877</v>
      </c>
      <c r="U550" s="9" t="s">
        <v>29</v>
      </c>
      <c r="V550" s="51" t="str">
        <f t="shared" si="8"/>
        <v>Ativo</v>
      </c>
      <c r="W550" s="24" t="s">
        <v>75</v>
      </c>
      <c r="X550" s="52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3"/>
      <c r="AQ550" s="53"/>
      <c r="AR550" s="53"/>
      <c r="AS550" s="53"/>
      <c r="AT550" s="53">
        <v>279722.5</v>
      </c>
      <c r="AU550" s="53">
        <f t="array" ref="AU550">XLOOKUP(C550,'PL TOTAL D0'!A:A,'PL TOTAL D0'!C:C,"")</f>
        <v>281984.4</v>
      </c>
    </row>
    <row r="551" ht="15.75" customHeight="1">
      <c r="A551" s="41" t="s">
        <v>43</v>
      </c>
      <c r="B551" s="61" t="s">
        <v>1878</v>
      </c>
      <c r="C551" s="43" t="s">
        <v>1879</v>
      </c>
      <c r="D551" s="44" t="s">
        <v>18</v>
      </c>
      <c r="E551" s="45" t="s">
        <v>19</v>
      </c>
      <c r="F551" s="44" t="s">
        <v>20</v>
      </c>
      <c r="G551" s="44" t="str">
        <f t="shared" si="1"/>
        <v>Bruno</v>
      </c>
      <c r="H551" s="51" t="s">
        <v>107</v>
      </c>
      <c r="I551" s="46" t="s">
        <v>24</v>
      </c>
      <c r="J551" s="44" t="str">
        <f t="shared" si="7"/>
        <v>Não</v>
      </c>
      <c r="K551" s="47">
        <v>45022.0</v>
      </c>
      <c r="L551" s="45"/>
      <c r="M551" s="24" t="s">
        <v>139</v>
      </c>
      <c r="N551" s="48">
        <v>0.012</v>
      </c>
      <c r="O551" s="9" t="s">
        <v>48</v>
      </c>
      <c r="P551" s="59">
        <v>0.1</v>
      </c>
      <c r="Q551" s="60"/>
      <c r="R551" s="229" t="s">
        <v>1880</v>
      </c>
      <c r="S551" s="45" t="s">
        <v>108</v>
      </c>
      <c r="T551" s="24" t="s">
        <v>1881</v>
      </c>
      <c r="U551" s="9" t="s">
        <v>19</v>
      </c>
      <c r="V551" s="51" t="str">
        <f t="shared" si="8"/>
        <v>Ativo</v>
      </c>
      <c r="W551" s="45"/>
      <c r="X551" s="52" t="s">
        <v>119</v>
      </c>
      <c r="Y551" s="54"/>
      <c r="Z551" s="54"/>
      <c r="AA551" s="54"/>
      <c r="AB551" s="54"/>
      <c r="AC551" s="54"/>
      <c r="AD551" s="54"/>
      <c r="AE551" s="54">
        <v>601591.75</v>
      </c>
      <c r="AF551" s="54">
        <v>717386.93</v>
      </c>
      <c r="AG551" s="54">
        <v>1048743.06</v>
      </c>
      <c r="AH551" s="54">
        <v>1063288.17</v>
      </c>
      <c r="AI551" s="54">
        <v>1073945.36</v>
      </c>
      <c r="AJ551" s="54">
        <v>1083419.33</v>
      </c>
      <c r="AK551" s="54">
        <v>1082641.95</v>
      </c>
      <c r="AL551" s="54">
        <v>1087386.42</v>
      </c>
      <c r="AM551" s="54">
        <v>1097502.53</v>
      </c>
      <c r="AN551" s="54">
        <v>1194938.98</v>
      </c>
      <c r="AO551" s="54">
        <v>1223884.13</v>
      </c>
      <c r="AP551" s="53">
        <v>1236519.35</v>
      </c>
      <c r="AQ551" s="53">
        <v>1242953.36</v>
      </c>
      <c r="AR551" s="53">
        <v>1240124.85</v>
      </c>
      <c r="AS551" s="53">
        <v>1250545.0</v>
      </c>
      <c r="AT551" s="53">
        <v>1252316.0</v>
      </c>
      <c r="AU551" s="53">
        <f t="array" ref="AU551">XLOOKUP(C551,'PL TOTAL D0'!A:A,'PL TOTAL D0'!C:C,"")</f>
        <v>1262033</v>
      </c>
    </row>
    <row r="552" ht="15.75" customHeight="1">
      <c r="A552" s="41" t="s">
        <v>43</v>
      </c>
      <c r="B552" s="42" t="s">
        <v>1882</v>
      </c>
      <c r="C552" s="43" t="s">
        <v>1883</v>
      </c>
      <c r="D552" s="44" t="s">
        <v>18</v>
      </c>
      <c r="E552" s="45" t="s">
        <v>29</v>
      </c>
      <c r="F552" s="9" t="s">
        <v>60</v>
      </c>
      <c r="G552" s="44" t="str">
        <f t="shared" si="1"/>
        <v>Augusto</v>
      </c>
      <c r="H552" s="46" t="s">
        <v>107</v>
      </c>
      <c r="I552" s="46" t="s">
        <v>24</v>
      </c>
      <c r="J552" s="44" t="str">
        <f t="shared" si="7"/>
        <v>Não</v>
      </c>
      <c r="K552" s="47">
        <v>45013.0</v>
      </c>
      <c r="L552" s="45"/>
      <c r="M552" s="45" t="s">
        <v>79</v>
      </c>
      <c r="N552" s="48">
        <v>0.012</v>
      </c>
      <c r="O552" s="44" t="s">
        <v>24</v>
      </c>
      <c r="P552" s="49">
        <v>0.0</v>
      </c>
      <c r="Q552" s="139"/>
      <c r="R552" s="139"/>
      <c r="S552" s="45" t="s">
        <v>108</v>
      </c>
      <c r="T552" s="24" t="s">
        <v>1884</v>
      </c>
      <c r="U552" s="9" t="s">
        <v>29</v>
      </c>
      <c r="V552" s="51" t="str">
        <f t="shared" si="8"/>
        <v>Ativo</v>
      </c>
      <c r="W552" s="45"/>
      <c r="X552" s="52" t="s">
        <v>119</v>
      </c>
      <c r="Y552" s="54"/>
      <c r="Z552" s="54"/>
      <c r="AA552" s="54"/>
      <c r="AB552" s="54"/>
      <c r="AC552" s="54"/>
      <c r="AD552" s="54"/>
      <c r="AE552" s="54">
        <v>155704.76</v>
      </c>
      <c r="AF552" s="54">
        <v>156998.83</v>
      </c>
      <c r="AG552" s="54">
        <v>158275.19</v>
      </c>
      <c r="AH552" s="54">
        <v>139442.52</v>
      </c>
      <c r="AI552" s="54">
        <v>120267.44</v>
      </c>
      <c r="AJ552" s="54">
        <v>120707.61</v>
      </c>
      <c r="AK552" s="54">
        <v>100215.5</v>
      </c>
      <c r="AL552" s="54">
        <v>100240.88</v>
      </c>
      <c r="AM552" s="54">
        <v>81936.87</v>
      </c>
      <c r="AN552" s="54">
        <v>108427.76</v>
      </c>
      <c r="AO552" s="54">
        <v>97226.03</v>
      </c>
      <c r="AP552" s="53">
        <v>97848.96</v>
      </c>
      <c r="AQ552" s="53">
        <v>77652.46</v>
      </c>
      <c r="AR552" s="53">
        <v>56959.33</v>
      </c>
      <c r="AS552" s="53">
        <v>46980.76</v>
      </c>
      <c r="AT552" s="53">
        <v>47248.75</v>
      </c>
      <c r="AU552" s="53">
        <f t="array" ref="AU552">XLOOKUP(C552,'PL TOTAL D0'!A:A,'PL TOTAL D0'!C:C,"")</f>
        <v>47820.2</v>
      </c>
    </row>
    <row r="553" ht="15.75" customHeight="1">
      <c r="A553" s="41" t="s">
        <v>43</v>
      </c>
      <c r="B553" s="42" t="s">
        <v>1885</v>
      </c>
      <c r="C553" s="43" t="s">
        <v>1886</v>
      </c>
      <c r="D553" s="44" t="s">
        <v>18</v>
      </c>
      <c r="E553" s="45" t="s">
        <v>19</v>
      </c>
      <c r="F553" s="44" t="s">
        <v>213</v>
      </c>
      <c r="G553" s="44" t="str">
        <f t="shared" si="1"/>
        <v>Augusto</v>
      </c>
      <c r="H553" s="51" t="s">
        <v>147</v>
      </c>
      <c r="I553" s="51" t="s">
        <v>219</v>
      </c>
      <c r="J553" s="44" t="str">
        <f t="shared" si="7"/>
        <v>Não</v>
      </c>
      <c r="K553" s="47">
        <v>44943.0</v>
      </c>
      <c r="L553" s="45"/>
      <c r="M553" s="45" t="s">
        <v>55</v>
      </c>
      <c r="N553" s="48">
        <v>0.012</v>
      </c>
      <c r="O553" s="44" t="s">
        <v>24</v>
      </c>
      <c r="P553" s="49">
        <v>0.0</v>
      </c>
      <c r="Q553" s="60"/>
      <c r="R553" s="139"/>
      <c r="S553" s="45" t="s">
        <v>108</v>
      </c>
      <c r="T553" s="24" t="s">
        <v>1887</v>
      </c>
      <c r="U553" s="9" t="s">
        <v>19</v>
      </c>
      <c r="V553" s="51" t="str">
        <f t="shared" si="8"/>
        <v>Ativo</v>
      </c>
      <c r="W553" s="45"/>
      <c r="X553" s="52" t="s">
        <v>119</v>
      </c>
      <c r="Y553" s="54"/>
      <c r="Z553" s="54"/>
      <c r="AA553" s="54"/>
      <c r="AB553" s="54"/>
      <c r="AC553" s="54">
        <v>501159.49</v>
      </c>
      <c r="AD553" s="54">
        <v>288794.28</v>
      </c>
      <c r="AE553" s="54">
        <v>285585.79</v>
      </c>
      <c r="AF553" s="54">
        <v>242066.06</v>
      </c>
      <c r="AG553" s="54">
        <v>233418.45</v>
      </c>
      <c r="AH553" s="54">
        <v>221274.76</v>
      </c>
      <c r="AI553" s="54">
        <v>211013.95</v>
      </c>
      <c r="AJ553" s="54">
        <v>202631.36</v>
      </c>
      <c r="AK553" s="54">
        <v>199838.3</v>
      </c>
      <c r="AL553" s="54">
        <v>0.0</v>
      </c>
      <c r="AM553" s="54">
        <v>0.0</v>
      </c>
      <c r="AN553" s="54">
        <v>0.0</v>
      </c>
      <c r="AO553" s="54">
        <v>0.0</v>
      </c>
      <c r="AP553" s="53">
        <v>0.14</v>
      </c>
      <c r="AQ553" s="53">
        <v>0.14</v>
      </c>
      <c r="AR553" s="53">
        <v>0.14</v>
      </c>
      <c r="AS553" s="53">
        <v>0.14</v>
      </c>
      <c r="AT553" s="53">
        <v>0.14</v>
      </c>
      <c r="AU553" s="53">
        <f t="array" ref="AU553">XLOOKUP(C553,'PL TOTAL D0'!A:A,'PL TOTAL D0'!C:C,"")</f>
        <v>0.14</v>
      </c>
    </row>
    <row r="554" ht="15.75" customHeight="1">
      <c r="A554" s="41" t="s">
        <v>43</v>
      </c>
      <c r="B554" s="42" t="s">
        <v>1885</v>
      </c>
      <c r="C554" s="43" t="s">
        <v>1888</v>
      </c>
      <c r="D554" s="44" t="s">
        <v>18</v>
      </c>
      <c r="E554" s="45" t="s">
        <v>19</v>
      </c>
      <c r="F554" s="44" t="s">
        <v>213</v>
      </c>
      <c r="G554" s="44" t="str">
        <f t="shared" si="1"/>
        <v>#N/A</v>
      </c>
      <c r="H554" s="51" t="s">
        <v>147</v>
      </c>
      <c r="I554" s="46" t="s">
        <v>219</v>
      </c>
      <c r="J554" s="44" t="str">
        <f t="shared" si="7"/>
        <v>Não</v>
      </c>
      <c r="K554" s="47">
        <v>45163.0</v>
      </c>
      <c r="L554" s="62"/>
      <c r="M554" s="45" t="s">
        <v>47</v>
      </c>
      <c r="N554" s="48">
        <v>0.015</v>
      </c>
      <c r="O554" s="44" t="s">
        <v>48</v>
      </c>
      <c r="P554" s="49">
        <v>0.1</v>
      </c>
      <c r="Q554" s="139"/>
      <c r="R554" s="139"/>
      <c r="S554" s="45" t="s">
        <v>108</v>
      </c>
      <c r="T554" s="24" t="s">
        <v>1887</v>
      </c>
      <c r="U554" s="9" t="s">
        <v>19</v>
      </c>
      <c r="V554" s="51" t="str">
        <f t="shared" si="8"/>
        <v>Inativo</v>
      </c>
      <c r="W554" s="45"/>
      <c r="X554" s="52" t="s">
        <v>119</v>
      </c>
      <c r="Y554" s="54"/>
      <c r="Z554" s="54"/>
      <c r="AA554" s="54"/>
      <c r="AB554" s="54"/>
      <c r="AC554" s="54">
        <v>0.0</v>
      </c>
      <c r="AD554" s="54">
        <v>0.0</v>
      </c>
      <c r="AE554" s="54">
        <v>0.0</v>
      </c>
      <c r="AF554" s="54">
        <v>0.0</v>
      </c>
      <c r="AG554" s="54">
        <v>0.0</v>
      </c>
      <c r="AH554" s="54">
        <v>0.0</v>
      </c>
      <c r="AI554" s="54">
        <v>0.0</v>
      </c>
      <c r="AJ554" s="54">
        <v>0.0</v>
      </c>
      <c r="AK554" s="54">
        <v>0.0</v>
      </c>
      <c r="AL554" s="54">
        <v>0.0</v>
      </c>
      <c r="AM554" s="54">
        <v>0.0</v>
      </c>
      <c r="AN554" s="54">
        <v>0.0</v>
      </c>
      <c r="AO554" s="54">
        <v>0.0</v>
      </c>
      <c r="AP554" s="53">
        <v>0.0</v>
      </c>
      <c r="AQ554" s="53">
        <v>0.0</v>
      </c>
      <c r="AR554" s="53">
        <v>0.0</v>
      </c>
      <c r="AS554" s="53">
        <v>0.0</v>
      </c>
      <c r="AT554" s="53">
        <v>0.0</v>
      </c>
      <c r="AU554" s="53" t="str">
        <f t="array" ref="AU554">XLOOKUP(C554,'PL TOTAL D0'!A:A,'PL TOTAL D0'!C:C,"")</f>
        <v/>
      </c>
    </row>
    <row r="555" ht="15.75" customHeight="1">
      <c r="A555" s="41" t="s">
        <v>43</v>
      </c>
      <c r="B555" s="42" t="s">
        <v>1889</v>
      </c>
      <c r="C555" s="43" t="s">
        <v>1890</v>
      </c>
      <c r="D555" s="44" t="s">
        <v>18</v>
      </c>
      <c r="E555" s="45" t="s">
        <v>176</v>
      </c>
      <c r="F555" s="44" t="s">
        <v>177</v>
      </c>
      <c r="G555" s="44" t="str">
        <f t="shared" si="1"/>
        <v>Breno</v>
      </c>
      <c r="H555" s="51" t="s">
        <v>107</v>
      </c>
      <c r="I555" s="51" t="s">
        <v>24</v>
      </c>
      <c r="J555" s="44" t="str">
        <f t="shared" si="7"/>
        <v>Não</v>
      </c>
      <c r="K555" s="47">
        <v>45163.0</v>
      </c>
      <c r="L555" s="62"/>
      <c r="M555" s="45" t="s">
        <v>47</v>
      </c>
      <c r="N555" s="48">
        <v>0.015</v>
      </c>
      <c r="O555" s="44" t="s">
        <v>48</v>
      </c>
      <c r="P555" s="49">
        <v>0.1</v>
      </c>
      <c r="Q555" s="63"/>
      <c r="R555" s="60" t="s">
        <v>1891</v>
      </c>
      <c r="S555" s="45" t="s">
        <v>108</v>
      </c>
      <c r="T555" s="24" t="s">
        <v>1892</v>
      </c>
      <c r="U555" s="9" t="s">
        <v>180</v>
      </c>
      <c r="V555" s="51" t="str">
        <f t="shared" si="8"/>
        <v>Ativo</v>
      </c>
      <c r="W555" s="45"/>
      <c r="X555" s="52" t="s">
        <v>110</v>
      </c>
      <c r="Y555" s="54"/>
      <c r="Z555" s="54"/>
      <c r="AA555" s="54"/>
      <c r="AB555" s="54"/>
      <c r="AC555" s="54"/>
      <c r="AD555" s="54"/>
      <c r="AE555" s="54">
        <v>0.0</v>
      </c>
      <c r="AF555" s="54">
        <v>0.0</v>
      </c>
      <c r="AG555" s="54">
        <v>0.0</v>
      </c>
      <c r="AH555" s="54">
        <v>0.0</v>
      </c>
      <c r="AI555" s="54">
        <v>0.0</v>
      </c>
      <c r="AJ555" s="54">
        <v>0.0</v>
      </c>
      <c r="AK555" s="54">
        <v>0.0</v>
      </c>
      <c r="AL555" s="54">
        <v>0.0</v>
      </c>
      <c r="AM555" s="54">
        <v>0.0</v>
      </c>
      <c r="AN555" s="54">
        <v>708572.32</v>
      </c>
      <c r="AO555" s="54">
        <v>750481.26</v>
      </c>
      <c r="AP555" s="53">
        <v>759696.99</v>
      </c>
      <c r="AQ555" s="53">
        <v>830733.73</v>
      </c>
      <c r="AR555" s="53">
        <v>834273.8</v>
      </c>
      <c r="AS555" s="53">
        <v>912080.2</v>
      </c>
      <c r="AT555" s="53">
        <v>924384.9</v>
      </c>
      <c r="AU555" s="53">
        <f t="array" ref="AU555">XLOOKUP(C555,'PL TOTAL D0'!A:A,'PL TOTAL D0'!C:C,"")</f>
        <v>940184.3</v>
      </c>
    </row>
    <row r="556" ht="15.75" customHeight="1">
      <c r="A556" s="41" t="s">
        <v>43</v>
      </c>
      <c r="B556" s="115" t="s">
        <v>1893</v>
      </c>
      <c r="C556" s="43" t="s">
        <v>1894</v>
      </c>
      <c r="D556" s="44" t="s">
        <v>18</v>
      </c>
      <c r="E556" s="45" t="s">
        <v>176</v>
      </c>
      <c r="F556" s="44" t="s">
        <v>177</v>
      </c>
      <c r="G556" s="44" t="str">
        <f t="shared" si="1"/>
        <v>#N/A</v>
      </c>
      <c r="H556" s="46" t="s">
        <v>186</v>
      </c>
      <c r="I556" s="51" t="s">
        <v>24</v>
      </c>
      <c r="J556" s="44" t="str">
        <f t="shared" si="7"/>
        <v>Não</v>
      </c>
      <c r="K556" s="47">
        <v>45035.0</v>
      </c>
      <c r="L556" s="123">
        <v>45274.0</v>
      </c>
      <c r="M556" s="45" t="s">
        <v>55</v>
      </c>
      <c r="N556" s="48">
        <v>0.012</v>
      </c>
      <c r="O556" s="44" t="s">
        <v>24</v>
      </c>
      <c r="P556" s="49">
        <v>0.0</v>
      </c>
      <c r="Q556" s="50"/>
      <c r="R556" s="50"/>
      <c r="S556" s="45" t="s">
        <v>108</v>
      </c>
      <c r="T556" s="24" t="s">
        <v>1892</v>
      </c>
      <c r="U556" s="9" t="s">
        <v>180</v>
      </c>
      <c r="V556" s="51" t="str">
        <f t="shared" si="8"/>
        <v>Encerrado</v>
      </c>
      <c r="W556" s="45"/>
      <c r="X556" s="52"/>
      <c r="Y556" s="54"/>
      <c r="Z556" s="54"/>
      <c r="AA556" s="54"/>
      <c r="AB556" s="54"/>
      <c r="AC556" s="54"/>
      <c r="AD556" s="54"/>
      <c r="AE556" s="54">
        <v>0.0</v>
      </c>
      <c r="AF556" s="54">
        <v>701658.56</v>
      </c>
      <c r="AG556" s="54">
        <v>709432.98</v>
      </c>
      <c r="AH556" s="54">
        <v>311014.03</v>
      </c>
      <c r="AI556" s="54">
        <v>312644.16</v>
      </c>
      <c r="AJ556" s="54">
        <v>315352.28</v>
      </c>
      <c r="AK556" s="54">
        <v>317999.63</v>
      </c>
      <c r="AL556" s="54">
        <v>0.0</v>
      </c>
      <c r="AM556" s="54">
        <v>0.0</v>
      </c>
      <c r="AN556" s="54">
        <v>0.0</v>
      </c>
      <c r="AO556" s="54">
        <v>0.0</v>
      </c>
      <c r="AP556" s="53">
        <v>0.0</v>
      </c>
      <c r="AQ556" s="53">
        <v>0.0</v>
      </c>
      <c r="AR556" s="53">
        <v>0.0</v>
      </c>
      <c r="AS556" s="53">
        <v>0.0</v>
      </c>
      <c r="AT556" s="53">
        <v>0.0</v>
      </c>
      <c r="AU556" s="53" t="str">
        <f t="array" ref="AU556">XLOOKUP(C556,'PL TOTAL D0'!A:A,'PL TOTAL D0'!C:C,"")</f>
        <v/>
      </c>
    </row>
    <row r="557" ht="15.75" customHeight="1">
      <c r="A557" s="41" t="s">
        <v>43</v>
      </c>
      <c r="B557" s="66" t="s">
        <v>1895</v>
      </c>
      <c r="C557" s="71" t="s">
        <v>1896</v>
      </c>
      <c r="D557" s="44" t="s">
        <v>105</v>
      </c>
      <c r="E557" s="45" t="s">
        <v>29</v>
      </c>
      <c r="F557" s="44" t="s">
        <v>106</v>
      </c>
      <c r="G557" s="44" t="str">
        <f t="shared" si="1"/>
        <v>Augusto</v>
      </c>
      <c r="H557" s="46" t="s">
        <v>107</v>
      </c>
      <c r="I557" s="46" t="s">
        <v>24</v>
      </c>
      <c r="J557" s="44" t="str">
        <f t="shared" si="7"/>
        <v>Não</v>
      </c>
      <c r="K557" s="47">
        <v>45230.0</v>
      </c>
      <c r="L557" s="45"/>
      <c r="M557" s="45" t="s">
        <v>79</v>
      </c>
      <c r="N557" s="48">
        <v>0.012</v>
      </c>
      <c r="O557" s="44" t="s">
        <v>48</v>
      </c>
      <c r="P557" s="49">
        <v>0.1</v>
      </c>
      <c r="Q557" s="50"/>
      <c r="R557" s="50"/>
      <c r="S557" s="45" t="s">
        <v>108</v>
      </c>
      <c r="T557" s="24" t="s">
        <v>1897</v>
      </c>
      <c r="U557" s="9" t="s">
        <v>29</v>
      </c>
      <c r="V557" s="51" t="str">
        <f t="shared" si="8"/>
        <v>Ativo</v>
      </c>
      <c r="W557" s="45"/>
      <c r="X557" s="52" t="s">
        <v>119</v>
      </c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>
        <v>0.0</v>
      </c>
      <c r="AM557" s="54">
        <v>95859.72</v>
      </c>
      <c r="AN557" s="54">
        <v>129859.35</v>
      </c>
      <c r="AO557" s="54">
        <v>129787.32</v>
      </c>
      <c r="AP557" s="53">
        <v>130948.12</v>
      </c>
      <c r="AQ557" s="53">
        <v>132130.09</v>
      </c>
      <c r="AR557" s="53">
        <v>136774.62</v>
      </c>
      <c r="AS557" s="53">
        <v>137070.5</v>
      </c>
      <c r="AT557" s="53">
        <v>140396.4</v>
      </c>
      <c r="AU557" s="53">
        <f t="array" ref="AU557">XLOOKUP(C557,'PL TOTAL D0'!A:A,'PL TOTAL D0'!C:C,"")</f>
        <v>141682.7</v>
      </c>
    </row>
    <row r="558" ht="15.75" customHeight="1">
      <c r="A558" s="41" t="s">
        <v>43</v>
      </c>
      <c r="B558" s="64" t="s">
        <v>1898</v>
      </c>
      <c r="C558" s="65" t="s">
        <v>1899</v>
      </c>
      <c r="D558" s="9" t="s">
        <v>18</v>
      </c>
      <c r="E558" s="24" t="s">
        <v>29</v>
      </c>
      <c r="F558" s="9" t="s">
        <v>60</v>
      </c>
      <c r="G558" s="44" t="str">
        <f t="shared" si="1"/>
        <v>Breno</v>
      </c>
      <c r="H558" s="51" t="s">
        <v>107</v>
      </c>
      <c r="I558" s="51" t="s">
        <v>24</v>
      </c>
      <c r="J558" s="44" t="str">
        <f t="shared" si="7"/>
        <v>Não</v>
      </c>
      <c r="K558" s="57">
        <v>45407.0</v>
      </c>
      <c r="L558" s="45"/>
      <c r="M558" s="24" t="s">
        <v>55</v>
      </c>
      <c r="N558" s="58">
        <v>0.012</v>
      </c>
      <c r="O558" s="9" t="s">
        <v>24</v>
      </c>
      <c r="P558" s="59">
        <v>0.0</v>
      </c>
      <c r="Q558" s="50"/>
      <c r="R558" s="50"/>
      <c r="S558" s="24" t="s">
        <v>108</v>
      </c>
      <c r="T558" s="24" t="s">
        <v>1900</v>
      </c>
      <c r="U558" s="9" t="s">
        <v>29</v>
      </c>
      <c r="V558" s="51" t="str">
        <f t="shared" si="8"/>
        <v>Ativo</v>
      </c>
      <c r="W558" s="24" t="s">
        <v>67</v>
      </c>
      <c r="X558" s="52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3"/>
      <c r="AQ558" s="53"/>
      <c r="AR558" s="53">
        <v>0.0</v>
      </c>
      <c r="AS558" s="53">
        <v>571964.7</v>
      </c>
      <c r="AT558" s="53">
        <v>577020.3</v>
      </c>
      <c r="AU558" s="53">
        <f t="array" ref="AU558">XLOOKUP(C558,'PL TOTAL D0'!A:A,'PL TOTAL D0'!C:C,"")</f>
        <v>579952.3</v>
      </c>
    </row>
    <row r="559" ht="15.75" customHeight="1">
      <c r="A559" s="41" t="s">
        <v>43</v>
      </c>
      <c r="B559" s="97" t="s">
        <v>1901</v>
      </c>
      <c r="C559" s="71" t="s">
        <v>1902</v>
      </c>
      <c r="D559" s="44" t="s">
        <v>18</v>
      </c>
      <c r="E559" s="45" t="s">
        <v>29</v>
      </c>
      <c r="F559" s="44" t="s">
        <v>128</v>
      </c>
      <c r="G559" s="44" t="str">
        <f t="shared" si="1"/>
        <v>Augusto</v>
      </c>
      <c r="H559" s="51" t="s">
        <v>107</v>
      </c>
      <c r="I559" s="51" t="s">
        <v>24</v>
      </c>
      <c r="J559" s="44" t="str">
        <f t="shared" si="7"/>
        <v>Não</v>
      </c>
      <c r="K559" s="47">
        <v>45240.0</v>
      </c>
      <c r="L559" s="45"/>
      <c r="M559" s="93" t="s">
        <v>129</v>
      </c>
      <c r="N559" s="94">
        <v>0.0</v>
      </c>
      <c r="O559" s="95" t="s">
        <v>24</v>
      </c>
      <c r="P559" s="96">
        <v>0.0</v>
      </c>
      <c r="Q559" s="50"/>
      <c r="R559" s="50"/>
      <c r="S559" s="45" t="s">
        <v>108</v>
      </c>
      <c r="T559" s="24" t="s">
        <v>1903</v>
      </c>
      <c r="U559" s="9" t="s">
        <v>29</v>
      </c>
      <c r="V559" s="51" t="str">
        <f t="shared" si="8"/>
        <v>Ativo</v>
      </c>
      <c r="W559" s="45"/>
      <c r="X559" s="52" t="s">
        <v>119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>
        <v>502.99</v>
      </c>
      <c r="AN559" s="54">
        <v>1010.44</v>
      </c>
      <c r="AO559" s="54">
        <v>1523.78</v>
      </c>
      <c r="AP559" s="53">
        <v>2030.61</v>
      </c>
      <c r="AQ559" s="53">
        <v>2546.54</v>
      </c>
      <c r="AR559" s="53">
        <v>3065.41</v>
      </c>
      <c r="AS559" s="53">
        <v>3084.3</v>
      </c>
      <c r="AT559" s="53">
        <v>3103.8</v>
      </c>
      <c r="AU559" s="53">
        <f t="array" ref="AU559">XLOOKUP(C559,'PL TOTAL D0'!A:A,'PL TOTAL D0'!C:C,"")</f>
        <v>3718.75</v>
      </c>
    </row>
    <row r="560" ht="15.75" customHeight="1">
      <c r="A560" s="41" t="s">
        <v>43</v>
      </c>
      <c r="B560" s="42" t="s">
        <v>1904</v>
      </c>
      <c r="C560" s="43" t="s">
        <v>1905</v>
      </c>
      <c r="D560" s="44" t="s">
        <v>18</v>
      </c>
      <c r="E560" s="45" t="s">
        <v>19</v>
      </c>
      <c r="F560" s="44" t="s">
        <v>122</v>
      </c>
      <c r="G560" s="44" t="str">
        <f t="shared" si="1"/>
        <v>Augusto</v>
      </c>
      <c r="H560" s="46" t="s">
        <v>107</v>
      </c>
      <c r="I560" s="46" t="s">
        <v>24</v>
      </c>
      <c r="J560" s="44" t="str">
        <f t="shared" si="7"/>
        <v>Não</v>
      </c>
      <c r="K560" s="47">
        <v>44960.0</v>
      </c>
      <c r="L560" s="45"/>
      <c r="M560" s="45" t="s">
        <v>55</v>
      </c>
      <c r="N560" s="48">
        <v>0.012</v>
      </c>
      <c r="O560" s="44" t="s">
        <v>24</v>
      </c>
      <c r="P560" s="49">
        <v>0.0</v>
      </c>
      <c r="Q560" s="139"/>
      <c r="R560" s="139"/>
      <c r="S560" s="45" t="s">
        <v>108</v>
      </c>
      <c r="T560" s="24" t="s">
        <v>1906</v>
      </c>
      <c r="U560" s="9" t="s">
        <v>19</v>
      </c>
      <c r="V560" s="51" t="str">
        <f t="shared" si="8"/>
        <v>Ativo</v>
      </c>
      <c r="W560" s="45"/>
      <c r="X560" s="52" t="s">
        <v>119</v>
      </c>
      <c r="Y560" s="54"/>
      <c r="Z560" s="54"/>
      <c r="AA560" s="54"/>
      <c r="AB560" s="54"/>
      <c r="AC560" s="54">
        <v>0.0</v>
      </c>
      <c r="AD560" s="54">
        <v>50312.02</v>
      </c>
      <c r="AE560" s="54">
        <v>50841.72</v>
      </c>
      <c r="AF560" s="54">
        <v>1017.37</v>
      </c>
      <c r="AG560" s="54">
        <v>1027.31</v>
      </c>
      <c r="AH560" s="54">
        <v>1031.59</v>
      </c>
      <c r="AI560" s="54">
        <v>1042.93</v>
      </c>
      <c r="AJ560" s="54">
        <v>1055.11</v>
      </c>
      <c r="AK560" s="54">
        <v>1065.68</v>
      </c>
      <c r="AL560" s="54">
        <v>1077.1</v>
      </c>
      <c r="AM560" s="54">
        <v>1086.71</v>
      </c>
      <c r="AN560" s="54">
        <v>1096.69</v>
      </c>
      <c r="AO560" s="54">
        <v>1107.56</v>
      </c>
      <c r="AP560" s="53">
        <v>1116.81</v>
      </c>
      <c r="AQ560" s="53">
        <v>1126.35</v>
      </c>
      <c r="AR560" s="53">
        <v>1136.6</v>
      </c>
      <c r="AS560" s="53">
        <v>1146.31</v>
      </c>
      <c r="AT560" s="53">
        <v>1130.99</v>
      </c>
      <c r="AU560" s="53">
        <f t="array" ref="AU560">XLOOKUP(C560,'PL TOTAL D0'!A:A,'PL TOTAL D0'!C:C,"")</f>
        <v>1130.99</v>
      </c>
    </row>
    <row r="561" ht="15.75" customHeight="1">
      <c r="A561" s="41" t="s">
        <v>43</v>
      </c>
      <c r="B561" s="42" t="s">
        <v>1907</v>
      </c>
      <c r="C561" s="43" t="s">
        <v>1908</v>
      </c>
      <c r="D561" s="44" t="s">
        <v>105</v>
      </c>
      <c r="E561" s="45" t="s">
        <v>29</v>
      </c>
      <c r="F561" s="44" t="s">
        <v>106</v>
      </c>
      <c r="G561" s="44" t="str">
        <f t="shared" si="1"/>
        <v>Bruno</v>
      </c>
      <c r="H561" s="46" t="s">
        <v>107</v>
      </c>
      <c r="I561" s="46" t="s">
        <v>24</v>
      </c>
      <c r="J561" s="44" t="str">
        <f t="shared" si="7"/>
        <v>Não</v>
      </c>
      <c r="K561" s="47">
        <v>45117.0</v>
      </c>
      <c r="L561" s="45"/>
      <c r="M561" s="45" t="s">
        <v>278</v>
      </c>
      <c r="N561" s="48">
        <v>0.007</v>
      </c>
      <c r="O561" s="44" t="s">
        <v>24</v>
      </c>
      <c r="P561" s="49">
        <v>0.0</v>
      </c>
      <c r="Q561" s="50"/>
      <c r="R561" s="139"/>
      <c r="S561" s="45" t="s">
        <v>108</v>
      </c>
      <c r="T561" s="24" t="s">
        <v>1909</v>
      </c>
      <c r="U561" s="9" t="s">
        <v>791</v>
      </c>
      <c r="V561" s="51" t="str">
        <f t="shared" si="8"/>
        <v>Ativo</v>
      </c>
      <c r="W561" s="45"/>
      <c r="X561" s="52" t="s">
        <v>119</v>
      </c>
      <c r="Y561" s="54"/>
      <c r="Z561" s="54"/>
      <c r="AA561" s="54"/>
      <c r="AB561" s="54"/>
      <c r="AC561" s="54"/>
      <c r="AD561" s="54"/>
      <c r="AE561" s="54"/>
      <c r="AF561" s="54"/>
      <c r="AG561" s="54"/>
      <c r="AH561" s="54">
        <v>0.0</v>
      </c>
      <c r="AI561" s="54">
        <v>1504511.49</v>
      </c>
      <c r="AJ561" s="54">
        <v>1521108.44</v>
      </c>
      <c r="AK561" s="54">
        <v>1534401.71</v>
      </c>
      <c r="AL561" s="54">
        <v>1549643.83</v>
      </c>
      <c r="AM561" s="54">
        <v>1562135.99</v>
      </c>
      <c r="AN561" s="54">
        <v>1575438.26</v>
      </c>
      <c r="AO561" s="54">
        <v>1624131.61</v>
      </c>
      <c r="AP561" s="53">
        <v>1636332.85</v>
      </c>
      <c r="AQ561" s="53">
        <v>1650026.08</v>
      </c>
      <c r="AR561" s="53">
        <v>1663929.51</v>
      </c>
      <c r="AS561" s="53">
        <v>1676632.0</v>
      </c>
      <c r="AT561" s="53">
        <v>1689203.0</v>
      </c>
      <c r="AU561" s="53">
        <f t="array" ref="AU561">XLOOKUP(C561,'PL TOTAL D0'!A:A,'PL TOTAL D0'!C:C,"")</f>
        <v>1695081</v>
      </c>
    </row>
    <row r="562" ht="15.75" customHeight="1">
      <c r="A562" s="41" t="s">
        <v>43</v>
      </c>
      <c r="B562" s="66" t="s">
        <v>1910</v>
      </c>
      <c r="C562" s="67" t="s">
        <v>1911</v>
      </c>
      <c r="D562" s="44" t="s">
        <v>18</v>
      </c>
      <c r="E562" s="45" t="s">
        <v>176</v>
      </c>
      <c r="F562" s="44" t="s">
        <v>197</v>
      </c>
      <c r="G562" s="44" t="str">
        <f t="shared" si="1"/>
        <v>Augusto</v>
      </c>
      <c r="H562" s="51" t="s">
        <v>107</v>
      </c>
      <c r="I562" s="51" t="s">
        <v>24</v>
      </c>
      <c r="J562" s="44" t="str">
        <f t="shared" si="7"/>
        <v>Não</v>
      </c>
      <c r="K562" s="47">
        <v>45226.0</v>
      </c>
      <c r="L562" s="45"/>
      <c r="M562" s="45" t="s">
        <v>55</v>
      </c>
      <c r="N562" s="48">
        <v>0.012</v>
      </c>
      <c r="O562" s="44" t="s">
        <v>24</v>
      </c>
      <c r="P562" s="49">
        <v>0.0</v>
      </c>
      <c r="Q562" s="50"/>
      <c r="R562" s="60" t="s">
        <v>1912</v>
      </c>
      <c r="S562" s="45" t="s">
        <v>369</v>
      </c>
      <c r="T562" s="24" t="s">
        <v>1913</v>
      </c>
      <c r="U562" s="9" t="s">
        <v>180</v>
      </c>
      <c r="V562" s="51" t="str">
        <f t="shared" si="8"/>
        <v>Ativo</v>
      </c>
      <c r="W562" s="45"/>
      <c r="X562" s="52" t="s">
        <v>110</v>
      </c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>
        <v>0.0</v>
      </c>
      <c r="AM562" s="54">
        <v>0.0</v>
      </c>
      <c r="AN562" s="54">
        <v>218731.4</v>
      </c>
      <c r="AO562" s="54">
        <v>219765.25</v>
      </c>
      <c r="AP562" s="53">
        <v>250522.33</v>
      </c>
      <c r="AQ562" s="53">
        <v>252690.67</v>
      </c>
      <c r="AR562" s="53">
        <v>254558.91</v>
      </c>
      <c r="AS562" s="53">
        <v>255256.6</v>
      </c>
      <c r="AT562" s="53">
        <v>236586.0</v>
      </c>
      <c r="AU562" s="53">
        <f t="array" ref="AU562">XLOOKUP(C562,'PL TOTAL D0'!A:A,'PL TOTAL D0'!C:C,"")</f>
        <v>257409</v>
      </c>
    </row>
    <row r="563" ht="15.75" customHeight="1">
      <c r="A563" s="41" t="s">
        <v>43</v>
      </c>
      <c r="B563" s="42" t="s">
        <v>1914</v>
      </c>
      <c r="C563" s="43" t="s">
        <v>1915</v>
      </c>
      <c r="D563" s="44" t="s">
        <v>18</v>
      </c>
      <c r="E563" s="45" t="s">
        <v>19</v>
      </c>
      <c r="F563" s="44" t="s">
        <v>122</v>
      </c>
      <c r="G563" s="44" t="str">
        <f t="shared" si="1"/>
        <v>Breno</v>
      </c>
      <c r="H563" s="46" t="s">
        <v>107</v>
      </c>
      <c r="I563" s="46" t="s">
        <v>24</v>
      </c>
      <c r="J563" s="44" t="str">
        <f t="shared" si="7"/>
        <v>Sim</v>
      </c>
      <c r="K563" s="47">
        <v>44973.0</v>
      </c>
      <c r="L563" s="45"/>
      <c r="M563" s="45" t="s">
        <v>79</v>
      </c>
      <c r="N563" s="48">
        <v>0.012</v>
      </c>
      <c r="O563" s="44" t="s">
        <v>24</v>
      </c>
      <c r="P563" s="49">
        <v>0.0</v>
      </c>
      <c r="Q563" s="60" t="s">
        <v>1916</v>
      </c>
      <c r="R563" s="139"/>
      <c r="S563" s="45" t="s">
        <v>108</v>
      </c>
      <c r="T563" s="24" t="s">
        <v>1917</v>
      </c>
      <c r="U563" s="9" t="s">
        <v>19</v>
      </c>
      <c r="V563" s="51" t="str">
        <f t="shared" si="8"/>
        <v>Ativo</v>
      </c>
      <c r="W563" s="45"/>
      <c r="X563" s="52" t="s">
        <v>119</v>
      </c>
      <c r="Y563" s="54"/>
      <c r="Z563" s="54"/>
      <c r="AA563" s="54"/>
      <c r="AB563" s="54"/>
      <c r="AC563" s="54">
        <v>253551.03</v>
      </c>
      <c r="AD563" s="54">
        <v>302011.97</v>
      </c>
      <c r="AE563" s="54">
        <v>305056.61</v>
      </c>
      <c r="AF563" s="54">
        <v>307539.42</v>
      </c>
      <c r="AG563" s="54">
        <v>310265.38</v>
      </c>
      <c r="AH563" s="54">
        <v>311135.49</v>
      </c>
      <c r="AI563" s="54">
        <v>313732.45</v>
      </c>
      <c r="AJ563" s="54">
        <v>316128.0</v>
      </c>
      <c r="AK563" s="54">
        <v>317485.3</v>
      </c>
      <c r="AL563" s="54">
        <v>318618.01</v>
      </c>
      <c r="AM563" s="54">
        <v>320679.52</v>
      </c>
      <c r="AN563" s="54">
        <v>323091.99</v>
      </c>
      <c r="AO563" s="54">
        <v>424507.21</v>
      </c>
      <c r="AP563" s="53">
        <v>427282.64</v>
      </c>
      <c r="AQ563" s="53">
        <v>430912.15</v>
      </c>
      <c r="AR563" s="53">
        <v>434152.22</v>
      </c>
      <c r="AS563" s="53">
        <v>436724.0</v>
      </c>
      <c r="AT563" s="53">
        <v>440013.5</v>
      </c>
      <c r="AU563" s="53">
        <f t="array" ref="AU563">XLOOKUP(C563,'PL TOTAL D0'!A:A,'PL TOTAL D0'!C:C,"")</f>
        <v>441284.1</v>
      </c>
    </row>
    <row r="564" ht="15.75" customHeight="1">
      <c r="A564" s="6" t="s">
        <v>43</v>
      </c>
      <c r="B564" s="55" t="s">
        <v>1918</v>
      </c>
      <c r="C564" s="21" t="s">
        <v>1919</v>
      </c>
      <c r="D564" s="9" t="s">
        <v>52</v>
      </c>
      <c r="E564" s="24" t="s">
        <v>19</v>
      </c>
      <c r="F564" s="9" t="s">
        <v>53</v>
      </c>
      <c r="G564" s="44" t="str">
        <f t="shared" si="1"/>
        <v>Bruno</v>
      </c>
      <c r="H564" s="51" t="s">
        <v>107</v>
      </c>
      <c r="I564" s="51" t="s">
        <v>24</v>
      </c>
      <c r="J564" s="44" t="str">
        <f t="shared" si="7"/>
        <v>Não</v>
      </c>
      <c r="K564" s="57">
        <v>45344.0</v>
      </c>
      <c r="L564" s="45"/>
      <c r="M564" s="24" t="s">
        <v>55</v>
      </c>
      <c r="N564" s="58">
        <v>0.012</v>
      </c>
      <c r="O564" s="9" t="s">
        <v>24</v>
      </c>
      <c r="P564" s="59">
        <v>0.0</v>
      </c>
      <c r="Q564" s="50"/>
      <c r="R564" s="139"/>
      <c r="S564" s="24" t="s">
        <v>108</v>
      </c>
      <c r="T564" s="23" t="s">
        <v>1920</v>
      </c>
      <c r="U564" s="9" t="s">
        <v>19</v>
      </c>
      <c r="V564" s="51" t="str">
        <f t="shared" si="8"/>
        <v>Ativo</v>
      </c>
      <c r="W564" s="45"/>
      <c r="X564" s="52" t="s">
        <v>119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3">
        <v>1353336.36</v>
      </c>
      <c r="AQ564" s="53">
        <v>1431243.69</v>
      </c>
      <c r="AR564" s="53">
        <v>1448256.37</v>
      </c>
      <c r="AS564" s="53">
        <v>1488093.0</v>
      </c>
      <c r="AT564" s="53">
        <v>1489166.0</v>
      </c>
      <c r="AU564" s="53">
        <f t="array" ref="AU564">XLOOKUP(C564,'PL TOTAL D0'!A:A,'PL TOTAL D0'!C:C,"")</f>
        <v>1530058</v>
      </c>
    </row>
    <row r="565" ht="15.75" customHeight="1">
      <c r="A565" s="41" t="s">
        <v>43</v>
      </c>
      <c r="B565" s="126" t="s">
        <v>1921</v>
      </c>
      <c r="C565" s="140" t="s">
        <v>1922</v>
      </c>
      <c r="D565" s="44" t="s">
        <v>18</v>
      </c>
      <c r="E565" s="45" t="s">
        <v>176</v>
      </c>
      <c r="F565" s="44" t="s">
        <v>197</v>
      </c>
      <c r="G565" s="44" t="str">
        <f t="shared" si="1"/>
        <v>Augusto</v>
      </c>
      <c r="H565" s="51" t="s">
        <v>107</v>
      </c>
      <c r="I565" s="51" t="s">
        <v>24</v>
      </c>
      <c r="J565" s="44" t="str">
        <f t="shared" si="7"/>
        <v>Não</v>
      </c>
      <c r="K565" s="47">
        <v>45217.0</v>
      </c>
      <c r="L565" s="45"/>
      <c r="M565" s="45" t="s">
        <v>47</v>
      </c>
      <c r="N565" s="48">
        <v>0.015</v>
      </c>
      <c r="O565" s="44" t="s">
        <v>48</v>
      </c>
      <c r="P565" s="49">
        <v>0.1</v>
      </c>
      <c r="Q565" s="139"/>
      <c r="R565" s="139"/>
      <c r="S565" s="45" t="s">
        <v>108</v>
      </c>
      <c r="T565" s="24" t="s">
        <v>1923</v>
      </c>
      <c r="U565" s="9" t="s">
        <v>180</v>
      </c>
      <c r="V565" s="51" t="str">
        <f t="shared" si="8"/>
        <v>Ativo</v>
      </c>
      <c r="W565" s="45"/>
      <c r="X565" s="52" t="s">
        <v>110</v>
      </c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>
        <v>0.0</v>
      </c>
      <c r="AM565" s="54">
        <v>0.0</v>
      </c>
      <c r="AN565" s="54">
        <v>0.0</v>
      </c>
      <c r="AO565" s="54">
        <v>0.0</v>
      </c>
      <c r="AP565" s="53">
        <v>0.0</v>
      </c>
      <c r="AQ565" s="53">
        <v>50269.97</v>
      </c>
      <c r="AR565" s="53">
        <v>50015.82</v>
      </c>
      <c r="AS565" s="53">
        <v>49967.44</v>
      </c>
      <c r="AT565" s="53">
        <v>50246.4</v>
      </c>
      <c r="AU565" s="53">
        <f t="array" ref="AU565">XLOOKUP(C565,'PL TOTAL D0'!A:A,'PL TOTAL D0'!C:C,"")</f>
        <v>50883.2</v>
      </c>
    </row>
    <row r="566" ht="15.75" customHeight="1">
      <c r="A566" s="41" t="s">
        <v>43</v>
      </c>
      <c r="B566" s="61" t="s">
        <v>1924</v>
      </c>
      <c r="C566" s="43" t="s">
        <v>1925</v>
      </c>
      <c r="D566" s="44" t="s">
        <v>18</v>
      </c>
      <c r="E566" s="45" t="s">
        <v>176</v>
      </c>
      <c r="F566" s="44" t="s">
        <v>177</v>
      </c>
      <c r="G566" s="44" t="str">
        <f t="shared" si="1"/>
        <v>Bruno</v>
      </c>
      <c r="H566" s="46" t="s">
        <v>107</v>
      </c>
      <c r="I566" s="46" t="s">
        <v>24</v>
      </c>
      <c r="J566" s="44" t="str">
        <f t="shared" si="7"/>
        <v>Sim</v>
      </c>
      <c r="K566" s="47">
        <v>45155.0</v>
      </c>
      <c r="L566" s="45"/>
      <c r="M566" s="45" t="s">
        <v>79</v>
      </c>
      <c r="N566" s="48">
        <v>0.012</v>
      </c>
      <c r="O566" s="44" t="s">
        <v>24</v>
      </c>
      <c r="P566" s="49">
        <v>0.0</v>
      </c>
      <c r="Q566" s="60" t="s">
        <v>1926</v>
      </c>
      <c r="R566" s="74"/>
      <c r="S566" s="45" t="s">
        <v>108</v>
      </c>
      <c r="T566" s="24" t="s">
        <v>1927</v>
      </c>
      <c r="U566" s="9" t="s">
        <v>180</v>
      </c>
      <c r="V566" s="51" t="str">
        <f t="shared" si="8"/>
        <v>Ativo</v>
      </c>
      <c r="W566" s="45"/>
      <c r="X566" s="52" t="s">
        <v>110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>
        <v>254727.21</v>
      </c>
      <c r="AK566" s="54">
        <v>276438.52</v>
      </c>
      <c r="AL566" s="54">
        <v>331459.89</v>
      </c>
      <c r="AM566" s="54">
        <v>336584.66</v>
      </c>
      <c r="AN566" s="54">
        <v>341095.63</v>
      </c>
      <c r="AO566" s="54">
        <v>589795.71</v>
      </c>
      <c r="AP566" s="53">
        <v>634652.05</v>
      </c>
      <c r="AQ566" s="53">
        <v>1042902.05</v>
      </c>
      <c r="AR566" s="53">
        <v>1040002.94</v>
      </c>
      <c r="AS566" s="53">
        <v>1043852.0</v>
      </c>
      <c r="AT566" s="53">
        <v>1050678.0</v>
      </c>
      <c r="AU566" s="53">
        <f t="array" ref="AU566">XLOOKUP(C566,'PL TOTAL D0'!A:A,'PL TOTAL D0'!C:C,"")</f>
        <v>1059099</v>
      </c>
    </row>
    <row r="567" ht="15.75" customHeight="1">
      <c r="A567" s="41" t="s">
        <v>43</v>
      </c>
      <c r="B567" s="42" t="s">
        <v>1928</v>
      </c>
      <c r="C567" s="43" t="s">
        <v>1929</v>
      </c>
      <c r="D567" s="44" t="s">
        <v>18</v>
      </c>
      <c r="E567" s="45" t="s">
        <v>19</v>
      </c>
      <c r="F567" s="44" t="s">
        <v>20</v>
      </c>
      <c r="G567" s="44" t="str">
        <f t="shared" si="1"/>
        <v>#N/A</v>
      </c>
      <c r="H567" s="51" t="s">
        <v>147</v>
      </c>
      <c r="I567" s="46" t="s">
        <v>219</v>
      </c>
      <c r="J567" s="44" t="str">
        <f t="shared" si="7"/>
        <v>Não</v>
      </c>
      <c r="K567" s="47">
        <v>45163.0</v>
      </c>
      <c r="L567" s="62"/>
      <c r="M567" s="45" t="s">
        <v>55</v>
      </c>
      <c r="N567" s="48">
        <v>0.01</v>
      </c>
      <c r="O567" s="44" t="s">
        <v>24</v>
      </c>
      <c r="P567" s="49">
        <v>0.0</v>
      </c>
      <c r="Q567" s="139"/>
      <c r="R567" s="139"/>
      <c r="S567" s="45" t="s">
        <v>369</v>
      </c>
      <c r="T567" s="24" t="s">
        <v>1930</v>
      </c>
      <c r="U567" s="9" t="s">
        <v>19</v>
      </c>
      <c r="V567" s="51" t="str">
        <f t="shared" si="8"/>
        <v>Ativo</v>
      </c>
      <c r="W567" s="45"/>
      <c r="X567" s="52" t="s">
        <v>119</v>
      </c>
      <c r="Y567" s="54"/>
      <c r="Z567" s="54"/>
      <c r="AA567" s="54"/>
      <c r="AB567" s="54"/>
      <c r="AC567" s="54"/>
      <c r="AD567" s="54"/>
      <c r="AE567" s="54">
        <v>0.0</v>
      </c>
      <c r="AF567" s="54">
        <v>0.0</v>
      </c>
      <c r="AG567" s="54">
        <v>0.0</v>
      </c>
      <c r="AH567" s="54">
        <v>0.0</v>
      </c>
      <c r="AI567" s="54">
        <v>0.0</v>
      </c>
      <c r="AJ567" s="54">
        <v>0.0</v>
      </c>
      <c r="AK567" s="54">
        <v>0.0</v>
      </c>
      <c r="AL567" s="54">
        <v>0.0</v>
      </c>
      <c r="AM567" s="54">
        <v>0.0</v>
      </c>
      <c r="AN567" s="54">
        <v>0.0</v>
      </c>
      <c r="AO567" s="54">
        <v>0.0</v>
      </c>
      <c r="AP567" s="53">
        <v>0.0</v>
      </c>
      <c r="AQ567" s="53">
        <v>0.0</v>
      </c>
      <c r="AR567" s="53">
        <v>0.0</v>
      </c>
      <c r="AS567" s="53">
        <v>0.0</v>
      </c>
      <c r="AT567" s="53">
        <v>0.0</v>
      </c>
      <c r="AU567" s="53" t="str">
        <f t="array" ref="AU567">XLOOKUP(C567,'PL TOTAL D0'!A:A,'PL TOTAL D0'!C:C,"")</f>
        <v/>
      </c>
    </row>
    <row r="568" ht="15.75" customHeight="1">
      <c r="A568" s="41" t="s">
        <v>43</v>
      </c>
      <c r="B568" s="42" t="s">
        <v>1931</v>
      </c>
      <c r="C568" s="43" t="s">
        <v>1932</v>
      </c>
      <c r="D568" s="44" t="s">
        <v>18</v>
      </c>
      <c r="E568" s="45" t="s">
        <v>19</v>
      </c>
      <c r="F568" s="44" t="s">
        <v>256</v>
      </c>
      <c r="G568" s="44" t="str">
        <f t="shared" si="1"/>
        <v>Bruno</v>
      </c>
      <c r="H568" s="46" t="s">
        <v>107</v>
      </c>
      <c r="I568" s="46" t="s">
        <v>24</v>
      </c>
      <c r="J568" s="44" t="str">
        <f t="shared" si="7"/>
        <v>Não</v>
      </c>
      <c r="K568" s="47">
        <v>44958.0</v>
      </c>
      <c r="L568" s="45"/>
      <c r="M568" s="45" t="s">
        <v>55</v>
      </c>
      <c r="N568" s="48">
        <v>0.007</v>
      </c>
      <c r="O568" s="44" t="s">
        <v>24</v>
      </c>
      <c r="P568" s="49">
        <v>0.0</v>
      </c>
      <c r="Q568" s="139"/>
      <c r="R568" s="139"/>
      <c r="S568" s="45" t="s">
        <v>369</v>
      </c>
      <c r="T568" s="24" t="s">
        <v>1933</v>
      </c>
      <c r="U568" s="9" t="s">
        <v>19</v>
      </c>
      <c r="V568" s="51" t="str">
        <f t="shared" si="8"/>
        <v>Ativo</v>
      </c>
      <c r="W568" s="45"/>
      <c r="X568" s="52" t="s">
        <v>1269</v>
      </c>
      <c r="Y568" s="54"/>
      <c r="Z568" s="54"/>
      <c r="AA568" s="54"/>
      <c r="AB568" s="54"/>
      <c r="AC568" s="54">
        <v>0.0</v>
      </c>
      <c r="AD568" s="54">
        <v>2977311.65</v>
      </c>
      <c r="AE568" s="54">
        <v>1365838.92</v>
      </c>
      <c r="AF568" s="54">
        <v>1374697.27</v>
      </c>
      <c r="AG568" s="54">
        <v>1389671.12</v>
      </c>
      <c r="AH568" s="54">
        <v>1402232.72</v>
      </c>
      <c r="AI568" s="54">
        <v>1409788.24</v>
      </c>
      <c r="AJ568" s="54">
        <v>1422979.54</v>
      </c>
      <c r="AK568" s="54">
        <v>1434733.03</v>
      </c>
      <c r="AL568" s="54">
        <v>1447073.51</v>
      </c>
      <c r="AM568" s="54">
        <v>1458586.15</v>
      </c>
      <c r="AN568" s="54">
        <v>1470626.55</v>
      </c>
      <c r="AO568" s="54">
        <v>1483501.85</v>
      </c>
      <c r="AP568" s="53">
        <v>1790089.98</v>
      </c>
      <c r="AQ568" s="53">
        <v>1806232.88</v>
      </c>
      <c r="AR568" s="53">
        <v>1805004.82</v>
      </c>
      <c r="AS568" s="53">
        <v>1819494.0</v>
      </c>
      <c r="AT568" s="53">
        <v>1834511.0</v>
      </c>
      <c r="AU568" s="53">
        <f t="array" ref="AU568">XLOOKUP(C568,'PL TOTAL D0'!A:A,'PL TOTAL D0'!C:C,"")</f>
        <v>1839317</v>
      </c>
    </row>
    <row r="569" ht="15.75" customHeight="1">
      <c r="A569" s="41" t="s">
        <v>43</v>
      </c>
      <c r="B569" s="42" t="s">
        <v>1931</v>
      </c>
      <c r="C569" s="43" t="s">
        <v>1934</v>
      </c>
      <c r="D569" s="44" t="s">
        <v>18</v>
      </c>
      <c r="E569" s="45" t="s">
        <v>19</v>
      </c>
      <c r="F569" s="44" t="s">
        <v>256</v>
      </c>
      <c r="G569" s="44" t="str">
        <f t="shared" si="1"/>
        <v>Bruno</v>
      </c>
      <c r="H569" s="46" t="s">
        <v>107</v>
      </c>
      <c r="I569" s="46" t="s">
        <v>24</v>
      </c>
      <c r="J569" s="44" t="str">
        <f t="shared" si="7"/>
        <v>Não</v>
      </c>
      <c r="K569" s="47">
        <v>44998.0</v>
      </c>
      <c r="L569" s="45"/>
      <c r="M569" s="45" t="s">
        <v>55</v>
      </c>
      <c r="N569" s="48">
        <v>0.007</v>
      </c>
      <c r="O569" s="44" t="s">
        <v>24</v>
      </c>
      <c r="P569" s="49">
        <v>0.0</v>
      </c>
      <c r="Q569" s="139"/>
      <c r="R569" s="139"/>
      <c r="S569" s="45" t="s">
        <v>369</v>
      </c>
      <c r="T569" s="24" t="s">
        <v>1933</v>
      </c>
      <c r="U569" s="9" t="s">
        <v>19</v>
      </c>
      <c r="V569" s="51" t="str">
        <f t="shared" si="8"/>
        <v>Ativo</v>
      </c>
      <c r="W569" s="45"/>
      <c r="X569" s="52" t="s">
        <v>1269</v>
      </c>
      <c r="Y569" s="54"/>
      <c r="Z569" s="54"/>
      <c r="AA569" s="54"/>
      <c r="AB569" s="54"/>
      <c r="AC569" s="54">
        <v>0.0</v>
      </c>
      <c r="AD569" s="54">
        <v>0.0</v>
      </c>
      <c r="AE569" s="54">
        <v>1643644.34</v>
      </c>
      <c r="AF569" s="54">
        <v>1653139.89</v>
      </c>
      <c r="AG569" s="54">
        <v>1667434.67</v>
      </c>
      <c r="AH569" s="54">
        <v>1683033.97</v>
      </c>
      <c r="AI569" s="54">
        <v>1694859.99</v>
      </c>
      <c r="AJ569" s="54">
        <v>1710534.55</v>
      </c>
      <c r="AK569" s="54">
        <v>1716725.01</v>
      </c>
      <c r="AL569" s="54">
        <v>1732559.45</v>
      </c>
      <c r="AM569" s="54">
        <v>1744628.66</v>
      </c>
      <c r="AN569" s="54">
        <v>1759607.04</v>
      </c>
      <c r="AO569" s="54">
        <v>1772542.69</v>
      </c>
      <c r="AP569" s="53">
        <v>1786002.2</v>
      </c>
      <c r="AQ569" s="53">
        <v>1609197.92</v>
      </c>
      <c r="AR569" s="53">
        <v>1392126.01</v>
      </c>
      <c r="AS569" s="53">
        <v>1397344.0</v>
      </c>
      <c r="AT569" s="53">
        <v>1409133.0</v>
      </c>
      <c r="AU569" s="53">
        <f t="array" ref="AU569">XLOOKUP(C569,'PL TOTAL D0'!A:A,'PL TOTAL D0'!C:C,"")</f>
        <v>1414482</v>
      </c>
    </row>
    <row r="570" ht="15.75" customHeight="1">
      <c r="A570" s="41" t="s">
        <v>43</v>
      </c>
      <c r="B570" s="42" t="s">
        <v>1935</v>
      </c>
      <c r="C570" s="43" t="s">
        <v>1936</v>
      </c>
      <c r="D570" s="44" t="s">
        <v>105</v>
      </c>
      <c r="E570" s="45" t="s">
        <v>29</v>
      </c>
      <c r="F570" s="44" t="s">
        <v>412</v>
      </c>
      <c r="G570" s="44" t="str">
        <f t="shared" si="1"/>
        <v>Bruno</v>
      </c>
      <c r="H570" s="46" t="s">
        <v>107</v>
      </c>
      <c r="I570" s="46" t="s">
        <v>24</v>
      </c>
      <c r="J570" s="44" t="str">
        <f t="shared" si="7"/>
        <v>Não</v>
      </c>
      <c r="K570" s="47">
        <v>45097.0</v>
      </c>
      <c r="L570" s="45"/>
      <c r="M570" s="45" t="s">
        <v>1937</v>
      </c>
      <c r="N570" s="48">
        <v>0.01</v>
      </c>
      <c r="O570" s="44" t="s">
        <v>24</v>
      </c>
      <c r="P570" s="49">
        <v>0.0</v>
      </c>
      <c r="Q570" s="74"/>
      <c r="R570" s="74"/>
      <c r="S570" s="45" t="s">
        <v>108</v>
      </c>
      <c r="T570" s="24" t="s">
        <v>1938</v>
      </c>
      <c r="U570" s="9" t="s">
        <v>34</v>
      </c>
      <c r="V570" s="51" t="str">
        <f t="shared" si="8"/>
        <v>Ativo</v>
      </c>
      <c r="W570" s="45"/>
      <c r="X570" s="52" t="s">
        <v>110</v>
      </c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>
        <v>1162232.12</v>
      </c>
      <c r="AJ570" s="54">
        <v>1174050.43</v>
      </c>
      <c r="AK570" s="54">
        <v>1240505.75</v>
      </c>
      <c r="AL570" s="54">
        <v>1249250.74</v>
      </c>
      <c r="AM570" s="54">
        <v>2179804.13</v>
      </c>
      <c r="AN570" s="54">
        <v>2195792.98</v>
      </c>
      <c r="AO570" s="54">
        <v>2213575.45</v>
      </c>
      <c r="AP570" s="53">
        <v>2229283.49</v>
      </c>
      <c r="AQ570" s="53">
        <v>2244094.95</v>
      </c>
      <c r="AR570" s="53">
        <v>2307551.76</v>
      </c>
      <c r="AS570" s="53">
        <v>2323267.0</v>
      </c>
      <c r="AT570" s="53">
        <v>2337371.0</v>
      </c>
      <c r="AU570" s="53">
        <f t="array" ref="AU570">XLOOKUP(C570,'PL TOTAL D0'!A:A,'PL TOTAL D0'!C:C,"")</f>
        <v>2343544</v>
      </c>
    </row>
    <row r="571" ht="15.75" customHeight="1">
      <c r="A571" s="41" t="s">
        <v>43</v>
      </c>
      <c r="B571" s="42" t="s">
        <v>1939</v>
      </c>
      <c r="C571" s="43" t="s">
        <v>1940</v>
      </c>
      <c r="D571" s="44" t="s">
        <v>18</v>
      </c>
      <c r="E571" s="45" t="s">
        <v>176</v>
      </c>
      <c r="F571" s="44" t="s">
        <v>177</v>
      </c>
      <c r="G571" s="44" t="str">
        <f t="shared" si="1"/>
        <v>Augusto</v>
      </c>
      <c r="H571" s="46" t="s">
        <v>107</v>
      </c>
      <c r="I571" s="46" t="s">
        <v>24</v>
      </c>
      <c r="J571" s="44" t="str">
        <f t="shared" si="7"/>
        <v>Não</v>
      </c>
      <c r="K571" s="47">
        <v>45029.0</v>
      </c>
      <c r="L571" s="45"/>
      <c r="M571" s="45" t="s">
        <v>47</v>
      </c>
      <c r="N571" s="48">
        <v>0.015</v>
      </c>
      <c r="O571" s="44" t="s">
        <v>48</v>
      </c>
      <c r="P571" s="49">
        <v>0.1</v>
      </c>
      <c r="Q571" s="139"/>
      <c r="R571" s="139"/>
      <c r="S571" s="45" t="s">
        <v>108</v>
      </c>
      <c r="T571" s="24" t="s">
        <v>1941</v>
      </c>
      <c r="U571" s="9" t="s">
        <v>180</v>
      </c>
      <c r="V571" s="51" t="str">
        <f t="shared" si="8"/>
        <v>Ativo</v>
      </c>
      <c r="W571" s="45"/>
      <c r="X571" s="52" t="s">
        <v>110</v>
      </c>
      <c r="Y571" s="54"/>
      <c r="Z571" s="54"/>
      <c r="AA571" s="54"/>
      <c r="AB571" s="54"/>
      <c r="AC571" s="54"/>
      <c r="AD571" s="54"/>
      <c r="AE571" s="54">
        <v>0.0</v>
      </c>
      <c r="AF571" s="54">
        <v>40121.16</v>
      </c>
      <c r="AG571" s="54">
        <v>40564.96</v>
      </c>
      <c r="AH571" s="54">
        <v>44081.08</v>
      </c>
      <c r="AI571" s="54">
        <v>50609.72</v>
      </c>
      <c r="AJ571" s="54">
        <v>54230.36</v>
      </c>
      <c r="AK571" s="54">
        <v>57397.44</v>
      </c>
      <c r="AL571" s="54">
        <v>60377.08</v>
      </c>
      <c r="AM571" s="54">
        <v>64473.13</v>
      </c>
      <c r="AN571" s="54">
        <v>68654.73</v>
      </c>
      <c r="AO571" s="54">
        <v>69784.91</v>
      </c>
      <c r="AP571" s="53">
        <v>70378.04</v>
      </c>
      <c r="AQ571" s="53">
        <v>75125.82</v>
      </c>
      <c r="AR571" s="53">
        <v>112362.01</v>
      </c>
      <c r="AS571" s="53">
        <v>113909.0</v>
      </c>
      <c r="AT571" s="53">
        <v>117569.0</v>
      </c>
      <c r="AU571" s="53">
        <f t="array" ref="AU571">XLOOKUP(C571,'PL TOTAL D0'!A:A,'PL TOTAL D0'!C:C,"")</f>
        <v>121287.8</v>
      </c>
    </row>
    <row r="572" ht="15.75" customHeight="1">
      <c r="A572" s="41" t="s">
        <v>43</v>
      </c>
      <c r="B572" s="61" t="s">
        <v>1942</v>
      </c>
      <c r="C572" s="43" t="s">
        <v>1943</v>
      </c>
      <c r="D572" s="44" t="s">
        <v>18</v>
      </c>
      <c r="E572" s="45" t="s">
        <v>29</v>
      </c>
      <c r="F572" s="44" t="s">
        <v>294</v>
      </c>
      <c r="G572" s="44" t="str">
        <f t="shared" si="1"/>
        <v>#N/A</v>
      </c>
      <c r="H572" s="51" t="s">
        <v>147</v>
      </c>
      <c r="I572" s="51" t="s">
        <v>219</v>
      </c>
      <c r="J572" s="44" t="str">
        <f t="shared" si="7"/>
        <v>Não</v>
      </c>
      <c r="K572" s="47">
        <v>45001.0</v>
      </c>
      <c r="L572" s="45"/>
      <c r="M572" s="45" t="s">
        <v>129</v>
      </c>
      <c r="N572" s="48">
        <v>0.0</v>
      </c>
      <c r="O572" s="44" t="s">
        <v>24</v>
      </c>
      <c r="P572" s="49">
        <v>0.0</v>
      </c>
      <c r="Q572" s="74"/>
      <c r="R572" s="50"/>
      <c r="S572" s="45" t="s">
        <v>108</v>
      </c>
      <c r="T572" s="24" t="s">
        <v>1944</v>
      </c>
      <c r="U572" s="9" t="s">
        <v>29</v>
      </c>
      <c r="V572" s="51" t="str">
        <f t="shared" si="8"/>
        <v>Ativo</v>
      </c>
      <c r="W572" s="45"/>
      <c r="X572" s="52" t="s">
        <v>119</v>
      </c>
      <c r="Y572" s="54"/>
      <c r="Z572" s="54"/>
      <c r="AA572" s="54"/>
      <c r="AB572" s="54"/>
      <c r="AC572" s="54"/>
      <c r="AD572" s="54"/>
      <c r="AE572" s="54">
        <v>240699.04</v>
      </c>
      <c r="AF572" s="54">
        <v>242683.04</v>
      </c>
      <c r="AG572" s="54">
        <v>245715.26</v>
      </c>
      <c r="AH572" s="54">
        <v>255492.88</v>
      </c>
      <c r="AI572" s="54">
        <v>258221.49</v>
      </c>
      <c r="AJ572" s="54">
        <v>261151.03</v>
      </c>
      <c r="AK572" s="54">
        <v>213028.8</v>
      </c>
      <c r="AL572" s="54">
        <v>215140.58</v>
      </c>
      <c r="AM572" s="54">
        <v>161000.5</v>
      </c>
      <c r="AN572" s="54">
        <v>160132.44</v>
      </c>
      <c r="AO572" s="54">
        <v>71056.31</v>
      </c>
      <c r="AP572" s="53">
        <v>0.0</v>
      </c>
      <c r="AQ572" s="53">
        <v>0.0</v>
      </c>
      <c r="AR572" s="53">
        <v>0.0</v>
      </c>
      <c r="AS572" s="53">
        <v>0.0</v>
      </c>
      <c r="AT572" s="53">
        <v>0.0</v>
      </c>
      <c r="AU572" s="53" t="str">
        <f t="array" ref="AU572">XLOOKUP(C572,'PL TOTAL D0'!A:A,'PL TOTAL D0'!C:C,"")</f>
        <v/>
      </c>
    </row>
    <row r="573" ht="15.75" customHeight="1">
      <c r="A573" s="41" t="s">
        <v>43</v>
      </c>
      <c r="B573" s="42" t="s">
        <v>1945</v>
      </c>
      <c r="C573" s="43" t="s">
        <v>1946</v>
      </c>
      <c r="D573" s="44" t="s">
        <v>105</v>
      </c>
      <c r="E573" s="45" t="s">
        <v>29</v>
      </c>
      <c r="F573" s="44" t="s">
        <v>1947</v>
      </c>
      <c r="G573" s="44" t="str">
        <f t="shared" si="1"/>
        <v>Augusto</v>
      </c>
      <c r="H573" s="46" t="s">
        <v>107</v>
      </c>
      <c r="I573" s="46" t="s">
        <v>24</v>
      </c>
      <c r="J573" s="44" t="str">
        <f t="shared" si="7"/>
        <v>Não</v>
      </c>
      <c r="K573" s="47">
        <v>44929.0</v>
      </c>
      <c r="L573" s="45"/>
      <c r="M573" s="45" t="s">
        <v>55</v>
      </c>
      <c r="N573" s="48">
        <v>0.012</v>
      </c>
      <c r="O573" s="44" t="s">
        <v>24</v>
      </c>
      <c r="P573" s="49">
        <v>0.0</v>
      </c>
      <c r="Q573" s="139"/>
      <c r="R573" s="139"/>
      <c r="S573" s="45" t="s">
        <v>108</v>
      </c>
      <c r="T573" s="24" t="s">
        <v>1948</v>
      </c>
      <c r="U573" s="9" t="s">
        <v>19</v>
      </c>
      <c r="V573" s="51" t="str">
        <f t="shared" si="8"/>
        <v>Ativo</v>
      </c>
      <c r="W573" s="45"/>
      <c r="X573" s="52" t="s">
        <v>110</v>
      </c>
      <c r="Y573" s="54"/>
      <c r="Z573" s="54"/>
      <c r="AA573" s="54"/>
      <c r="AB573" s="54"/>
      <c r="AC573" s="54">
        <v>295761.97</v>
      </c>
      <c r="AD573" s="54">
        <v>297479.42</v>
      </c>
      <c r="AE573" s="54">
        <v>336452.8</v>
      </c>
      <c r="AF573" s="54">
        <v>338756.18</v>
      </c>
      <c r="AG573" s="54">
        <v>342130.28</v>
      </c>
      <c r="AH573" s="54">
        <v>344541.66</v>
      </c>
      <c r="AI573" s="54">
        <v>346952.7</v>
      </c>
      <c r="AJ573" s="54">
        <v>349411.89</v>
      </c>
      <c r="AK573" s="54">
        <v>350929.21</v>
      </c>
      <c r="AL573" s="54">
        <v>353700.83</v>
      </c>
      <c r="AM573" s="54">
        <v>355768.52</v>
      </c>
      <c r="AN573" s="54">
        <v>358487.89</v>
      </c>
      <c r="AO573" s="54">
        <v>361575.81</v>
      </c>
      <c r="AP573" s="53">
        <v>363485.83</v>
      </c>
      <c r="AQ573" s="53">
        <v>365697.18</v>
      </c>
      <c r="AR573" s="53">
        <v>368502.72</v>
      </c>
      <c r="AS573" s="53">
        <v>371274.4</v>
      </c>
      <c r="AT573" s="53">
        <v>373992.1</v>
      </c>
      <c r="AU573" s="53">
        <f t="array" ref="AU573">XLOOKUP(C573,'PL TOTAL D0'!A:A,'PL TOTAL D0'!C:C,"")</f>
        <v>374233.8</v>
      </c>
    </row>
    <row r="574" ht="15.75" customHeight="1">
      <c r="A574" s="6" t="s">
        <v>43</v>
      </c>
      <c r="B574" s="55" t="s">
        <v>1949</v>
      </c>
      <c r="C574" s="7" t="s">
        <v>1950</v>
      </c>
      <c r="D574" s="9" t="s">
        <v>18</v>
      </c>
      <c r="E574" s="24" t="s">
        <v>29</v>
      </c>
      <c r="F574" s="9" t="s">
        <v>294</v>
      </c>
      <c r="G574" s="44" t="str">
        <f t="shared" si="1"/>
        <v>Augusto</v>
      </c>
      <c r="H574" s="51" t="s">
        <v>107</v>
      </c>
      <c r="I574" s="51" t="s">
        <v>24</v>
      </c>
      <c r="J574" s="44" t="str">
        <f t="shared" si="7"/>
        <v>Sim</v>
      </c>
      <c r="K574" s="57">
        <v>45338.0</v>
      </c>
      <c r="L574" s="45"/>
      <c r="M574" s="24" t="s">
        <v>55</v>
      </c>
      <c r="N574" s="58">
        <v>0.012</v>
      </c>
      <c r="O574" s="9" t="s">
        <v>24</v>
      </c>
      <c r="P574" s="59">
        <v>0.0</v>
      </c>
      <c r="Q574" s="15" t="s">
        <v>1951</v>
      </c>
      <c r="R574" s="139"/>
      <c r="S574" s="24" t="s">
        <v>108</v>
      </c>
      <c r="T574" s="5" t="s">
        <v>1952</v>
      </c>
      <c r="U574" s="9" t="s">
        <v>29</v>
      </c>
      <c r="V574" s="51" t="str">
        <f t="shared" si="8"/>
        <v>Ativo</v>
      </c>
      <c r="W574" s="45"/>
      <c r="X574" s="52" t="s">
        <v>119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3">
        <v>422677.5</v>
      </c>
      <c r="AQ574" s="53">
        <v>256538.48</v>
      </c>
      <c r="AR574" s="53">
        <v>258707.65</v>
      </c>
      <c r="AS574" s="53">
        <v>248937.5</v>
      </c>
      <c r="AT574" s="53">
        <v>250924.6</v>
      </c>
      <c r="AU574" s="53">
        <f t="array" ref="AU574">XLOOKUP(C574,'PL TOTAL D0'!A:A,'PL TOTAL D0'!C:C,"")</f>
        <v>241744.7</v>
      </c>
    </row>
    <row r="575" ht="15.75" customHeight="1">
      <c r="A575" s="41" t="s">
        <v>43</v>
      </c>
      <c r="B575" s="42" t="s">
        <v>1953</v>
      </c>
      <c r="C575" s="43" t="s">
        <v>1954</v>
      </c>
      <c r="D575" s="44" t="s">
        <v>18</v>
      </c>
      <c r="E575" s="45" t="s">
        <v>29</v>
      </c>
      <c r="F575" s="44" t="s">
        <v>1955</v>
      </c>
      <c r="G575" s="44" t="str">
        <f t="shared" si="1"/>
        <v>Augusto</v>
      </c>
      <c r="H575" s="46" t="s">
        <v>107</v>
      </c>
      <c r="I575" s="46" t="s">
        <v>24</v>
      </c>
      <c r="J575" s="44" t="str">
        <f t="shared" si="7"/>
        <v>Não</v>
      </c>
      <c r="K575" s="47">
        <v>44994.0</v>
      </c>
      <c r="L575" s="45"/>
      <c r="M575" s="45" t="s">
        <v>55</v>
      </c>
      <c r="N575" s="48">
        <v>0.012</v>
      </c>
      <c r="O575" s="44" t="s">
        <v>24</v>
      </c>
      <c r="P575" s="49">
        <v>0.0</v>
      </c>
      <c r="Q575" s="139"/>
      <c r="R575" s="139"/>
      <c r="S575" s="45" t="s">
        <v>108</v>
      </c>
      <c r="T575" s="24" t="s">
        <v>1956</v>
      </c>
      <c r="U575" s="9" t="s">
        <v>29</v>
      </c>
      <c r="V575" s="51" t="str">
        <f t="shared" si="8"/>
        <v>Ativo</v>
      </c>
      <c r="W575" s="45"/>
      <c r="X575" s="52" t="s">
        <v>119</v>
      </c>
      <c r="Y575" s="54"/>
      <c r="Z575" s="54"/>
      <c r="AA575" s="54"/>
      <c r="AB575" s="54"/>
      <c r="AC575" s="54"/>
      <c r="AD575" s="54">
        <v>0.0</v>
      </c>
      <c r="AE575" s="54">
        <v>165623.1</v>
      </c>
      <c r="AF575" s="54">
        <v>167201.9</v>
      </c>
      <c r="AG575" s="54">
        <v>168860.19</v>
      </c>
      <c r="AH575" s="54">
        <v>170307.91</v>
      </c>
      <c r="AI575" s="54">
        <v>171767.27</v>
      </c>
      <c r="AJ575" s="54">
        <v>152684.86</v>
      </c>
      <c r="AK575" s="54">
        <v>153125.67</v>
      </c>
      <c r="AL575" s="54">
        <v>153582.35</v>
      </c>
      <c r="AM575" s="54">
        <v>155453.48</v>
      </c>
      <c r="AN575" s="54">
        <v>157002.03</v>
      </c>
      <c r="AO575" s="54">
        <v>158147.74</v>
      </c>
      <c r="AP575" s="53">
        <v>159045.38</v>
      </c>
      <c r="AQ575" s="53">
        <v>160214.99</v>
      </c>
      <c r="AR575" s="53">
        <v>160971.11</v>
      </c>
      <c r="AS575" s="53">
        <v>161089.9</v>
      </c>
      <c r="AT575" s="53">
        <v>162047.9</v>
      </c>
      <c r="AU575" s="53">
        <f t="array" ref="AU575">XLOOKUP(C575,'PL TOTAL D0'!A:A,'PL TOTAL D0'!C:C,"")</f>
        <v>162202.3</v>
      </c>
    </row>
    <row r="576" ht="15.75" customHeight="1">
      <c r="A576" s="6" t="s">
        <v>43</v>
      </c>
      <c r="B576" s="55" t="s">
        <v>1957</v>
      </c>
      <c r="C576" s="56" t="s">
        <v>1958</v>
      </c>
      <c r="D576" s="9" t="s">
        <v>52</v>
      </c>
      <c r="E576" s="24" t="s">
        <v>19</v>
      </c>
      <c r="F576" s="9" t="s">
        <v>53</v>
      </c>
      <c r="G576" s="44" t="str">
        <f t="shared" si="1"/>
        <v>Breno</v>
      </c>
      <c r="H576" s="51" t="s">
        <v>107</v>
      </c>
      <c r="I576" s="51" t="s">
        <v>24</v>
      </c>
      <c r="J576" s="44" t="str">
        <f t="shared" si="7"/>
        <v>Não</v>
      </c>
      <c r="K576" s="57">
        <v>45327.0</v>
      </c>
      <c r="L576" s="45"/>
      <c r="M576" s="11" t="s">
        <v>79</v>
      </c>
      <c r="N576" s="12">
        <v>0.012</v>
      </c>
      <c r="O576" s="13" t="s">
        <v>48</v>
      </c>
      <c r="P576" s="14">
        <v>0.1</v>
      </c>
      <c r="Q576" s="139"/>
      <c r="R576" s="139"/>
      <c r="S576" s="24" t="s">
        <v>108</v>
      </c>
      <c r="T576" s="24" t="s">
        <v>1959</v>
      </c>
      <c r="U576" s="9" t="s">
        <v>29</v>
      </c>
      <c r="V576" s="51" t="str">
        <f t="shared" si="8"/>
        <v>Ativo</v>
      </c>
      <c r="W576" s="45"/>
      <c r="X576" s="52" t="s">
        <v>119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>
        <v>0.0</v>
      </c>
      <c r="AP576" s="53">
        <v>600257.94</v>
      </c>
      <c r="AQ576" s="53">
        <v>603404.57</v>
      </c>
      <c r="AR576" s="53">
        <v>681852.95</v>
      </c>
      <c r="AS576" s="53">
        <v>681714.3</v>
      </c>
      <c r="AT576" s="53">
        <v>705913.4</v>
      </c>
      <c r="AU576" s="53">
        <f t="array" ref="AU576">XLOOKUP(C576,'PL TOTAL D0'!A:A,'PL TOTAL D0'!C:C,"")</f>
        <v>712727</v>
      </c>
    </row>
    <row r="577" ht="15.75" customHeight="1">
      <c r="A577" s="41" t="s">
        <v>43</v>
      </c>
      <c r="B577" s="42" t="s">
        <v>1960</v>
      </c>
      <c r="C577" s="43" t="s">
        <v>1961</v>
      </c>
      <c r="D577" s="44" t="s">
        <v>18</v>
      </c>
      <c r="E577" s="45" t="s">
        <v>19</v>
      </c>
      <c r="F577" s="44" t="s">
        <v>20</v>
      </c>
      <c r="G577" s="44" t="str">
        <f t="shared" si="1"/>
        <v>Augusto</v>
      </c>
      <c r="H577" s="46" t="s">
        <v>107</v>
      </c>
      <c r="I577" s="46" t="s">
        <v>24</v>
      </c>
      <c r="J577" s="44" t="str">
        <f t="shared" si="7"/>
        <v>Sim</v>
      </c>
      <c r="K577" s="47">
        <v>45098.0</v>
      </c>
      <c r="L577" s="62"/>
      <c r="M577" s="45" t="s">
        <v>55</v>
      </c>
      <c r="N577" s="48">
        <v>0.012</v>
      </c>
      <c r="O577" s="44" t="s">
        <v>24</v>
      </c>
      <c r="P577" s="49">
        <v>0.0</v>
      </c>
      <c r="Q577" s="76" t="s">
        <v>1962</v>
      </c>
      <c r="R577" s="50"/>
      <c r="S577" s="45" t="s">
        <v>108</v>
      </c>
      <c r="T577" s="24" t="s">
        <v>1963</v>
      </c>
      <c r="U577" s="9" t="s">
        <v>19</v>
      </c>
      <c r="V577" s="51" t="str">
        <f t="shared" si="8"/>
        <v>Ativo</v>
      </c>
      <c r="W577" s="45"/>
      <c r="X577" s="52" t="s">
        <v>119</v>
      </c>
      <c r="Y577" s="54"/>
      <c r="Z577" s="54"/>
      <c r="AA577" s="54"/>
      <c r="AB577" s="54"/>
      <c r="AC577" s="54"/>
      <c r="AD577" s="54"/>
      <c r="AE577" s="54"/>
      <c r="AF577" s="54"/>
      <c r="AG577" s="54"/>
      <c r="AH577" s="54">
        <v>28087.71</v>
      </c>
      <c r="AI577" s="54">
        <v>353259.52</v>
      </c>
      <c r="AJ577" s="54">
        <v>356967.54</v>
      </c>
      <c r="AK577" s="54">
        <v>359380.24</v>
      </c>
      <c r="AL577" s="54">
        <v>362555.21</v>
      </c>
      <c r="AM577" s="54">
        <v>365243.39</v>
      </c>
      <c r="AN577" s="54">
        <v>367695.2</v>
      </c>
      <c r="AO577" s="54">
        <v>370412.66</v>
      </c>
      <c r="AP577" s="53">
        <v>372718.31</v>
      </c>
      <c r="AQ577" s="53">
        <v>125398.61</v>
      </c>
      <c r="AR577" s="53">
        <v>126260.57</v>
      </c>
      <c r="AS577" s="53">
        <v>94273.79</v>
      </c>
      <c r="AT577" s="53">
        <v>95027.58</v>
      </c>
      <c r="AU577" s="53">
        <f t="array" ref="AU577">XLOOKUP(C577,'PL TOTAL D0'!A:A,'PL TOTAL D0'!C:C,"")</f>
        <v>95310.58</v>
      </c>
    </row>
    <row r="578" ht="15.75" customHeight="1">
      <c r="A578" s="41" t="s">
        <v>43</v>
      </c>
      <c r="B578" s="42" t="s">
        <v>1964</v>
      </c>
      <c r="C578" s="43" t="s">
        <v>1965</v>
      </c>
      <c r="D578" s="44" t="s">
        <v>18</v>
      </c>
      <c r="E578" s="45" t="s">
        <v>29</v>
      </c>
      <c r="F578" s="44" t="s">
        <v>60</v>
      </c>
      <c r="G578" s="44" t="str">
        <f t="shared" si="1"/>
        <v>Augusto</v>
      </c>
      <c r="H578" s="51" t="s">
        <v>107</v>
      </c>
      <c r="I578" s="51" t="s">
        <v>24</v>
      </c>
      <c r="J578" s="44" t="str">
        <f t="shared" si="7"/>
        <v>Não</v>
      </c>
      <c r="K578" s="47">
        <v>44928.0</v>
      </c>
      <c r="L578" s="45"/>
      <c r="M578" s="24" t="s">
        <v>79</v>
      </c>
      <c r="N578" s="48">
        <v>0.0</v>
      </c>
      <c r="O578" s="44" t="s">
        <v>24</v>
      </c>
      <c r="P578" s="49">
        <v>0.0</v>
      </c>
      <c r="Q578" s="139"/>
      <c r="R578" s="139"/>
      <c r="S578" s="45" t="s">
        <v>108</v>
      </c>
      <c r="T578" s="24" t="s">
        <v>1966</v>
      </c>
      <c r="U578" s="9" t="s">
        <v>29</v>
      </c>
      <c r="V578" s="51" t="str">
        <f t="shared" si="8"/>
        <v>Ativo</v>
      </c>
      <c r="W578" s="45"/>
      <c r="X578" s="52" t="s">
        <v>119</v>
      </c>
      <c r="Y578" s="54"/>
      <c r="Z578" s="54"/>
      <c r="AA578" s="54"/>
      <c r="AB578" s="54">
        <v>64015.93</v>
      </c>
      <c r="AC578" s="54">
        <v>59888.92</v>
      </c>
      <c r="AD578" s="54">
        <v>44917.04</v>
      </c>
      <c r="AE578" s="54">
        <v>46776.24</v>
      </c>
      <c r="AF578" s="54">
        <v>51910.5</v>
      </c>
      <c r="AG578" s="54">
        <v>56248.95</v>
      </c>
      <c r="AH578" s="54">
        <v>56870.02</v>
      </c>
      <c r="AI578" s="54">
        <v>41471.87</v>
      </c>
      <c r="AJ578" s="54">
        <v>46115.8</v>
      </c>
      <c r="AK578" s="54">
        <v>42232.68</v>
      </c>
      <c r="AL578" s="54">
        <v>39568.06</v>
      </c>
      <c r="AM578" s="54">
        <v>43508.72</v>
      </c>
      <c r="AN578" s="54">
        <v>64045.57</v>
      </c>
      <c r="AO578" s="54">
        <v>66948.91</v>
      </c>
      <c r="AP578" s="53">
        <v>67122.48</v>
      </c>
      <c r="AQ578" s="53">
        <v>68171.38</v>
      </c>
      <c r="AR578" s="53">
        <v>68787.96</v>
      </c>
      <c r="AS578" s="53">
        <v>69355.69</v>
      </c>
      <c r="AT578" s="53">
        <v>65966.85</v>
      </c>
      <c r="AU578" s="53">
        <f t="array" ref="AU578">XLOOKUP(C578,'PL TOTAL D0'!A:A,'PL TOTAL D0'!C:C,"")</f>
        <v>66658.45</v>
      </c>
    </row>
    <row r="579" ht="15.75" customHeight="1">
      <c r="A579" s="41" t="s">
        <v>43</v>
      </c>
      <c r="B579" s="42" t="s">
        <v>1967</v>
      </c>
      <c r="C579" s="43" t="s">
        <v>1968</v>
      </c>
      <c r="D579" s="44" t="s">
        <v>18</v>
      </c>
      <c r="E579" s="45" t="s">
        <v>176</v>
      </c>
      <c r="F579" s="44" t="s">
        <v>177</v>
      </c>
      <c r="G579" s="44" t="str">
        <f t="shared" si="1"/>
        <v>Augusto</v>
      </c>
      <c r="H579" s="51" t="s">
        <v>107</v>
      </c>
      <c r="I579" s="51" t="s">
        <v>24</v>
      </c>
      <c r="J579" s="44" t="str">
        <f t="shared" si="7"/>
        <v>Não</v>
      </c>
      <c r="K579" s="47">
        <v>45163.0</v>
      </c>
      <c r="L579" s="62"/>
      <c r="M579" s="45" t="s">
        <v>47</v>
      </c>
      <c r="N579" s="48">
        <v>0.015</v>
      </c>
      <c r="O579" s="44" t="s">
        <v>48</v>
      </c>
      <c r="P579" s="49">
        <v>0.1</v>
      </c>
      <c r="Q579" s="63"/>
      <c r="R579" s="60" t="s">
        <v>1969</v>
      </c>
      <c r="S579" s="45" t="s">
        <v>108</v>
      </c>
      <c r="T579" s="24" t="s">
        <v>1970</v>
      </c>
      <c r="U579" s="9" t="s">
        <v>180</v>
      </c>
      <c r="V579" s="51" t="str">
        <f t="shared" si="8"/>
        <v>Ativo</v>
      </c>
      <c r="W579" s="45"/>
      <c r="X579" s="52" t="s">
        <v>110</v>
      </c>
      <c r="Y579" s="54"/>
      <c r="Z579" s="54"/>
      <c r="AA579" s="54"/>
      <c r="AB579" s="54"/>
      <c r="AC579" s="54"/>
      <c r="AD579" s="54"/>
      <c r="AE579" s="54">
        <v>0.0</v>
      </c>
      <c r="AF579" s="54">
        <v>0.0</v>
      </c>
      <c r="AG579" s="54">
        <v>0.0</v>
      </c>
      <c r="AH579" s="54">
        <v>0.0</v>
      </c>
      <c r="AI579" s="54">
        <v>0.0</v>
      </c>
      <c r="AJ579" s="54">
        <v>0.0</v>
      </c>
      <c r="AK579" s="54">
        <v>0.0</v>
      </c>
      <c r="AL579" s="54">
        <v>0.0</v>
      </c>
      <c r="AM579" s="54">
        <v>0.0</v>
      </c>
      <c r="AN579" s="54">
        <v>0.0</v>
      </c>
      <c r="AO579" s="54">
        <v>138546.58</v>
      </c>
      <c r="AP579" s="53">
        <v>139562.43</v>
      </c>
      <c r="AQ579" s="53">
        <v>140246.64</v>
      </c>
      <c r="AR579" s="53">
        <v>139258.12</v>
      </c>
      <c r="AS579" s="53">
        <v>138801.3</v>
      </c>
      <c r="AT579" s="53">
        <v>139604.8</v>
      </c>
      <c r="AU579" s="53">
        <f t="array" ref="AU579">XLOOKUP(C579,'PL TOTAL D0'!A:A,'PL TOTAL D0'!C:C,"")</f>
        <v>141453.7</v>
      </c>
    </row>
    <row r="580" ht="15.75" customHeight="1">
      <c r="A580" s="41" t="s">
        <v>43</v>
      </c>
      <c r="B580" s="115" t="s">
        <v>1971</v>
      </c>
      <c r="C580" s="43" t="s">
        <v>1972</v>
      </c>
      <c r="D580" s="44" t="s">
        <v>18</v>
      </c>
      <c r="E580" s="45" t="s">
        <v>176</v>
      </c>
      <c r="F580" s="44" t="s">
        <v>177</v>
      </c>
      <c r="G580" s="44" t="str">
        <f t="shared" si="1"/>
        <v>#N/A</v>
      </c>
      <c r="H580" s="46" t="s">
        <v>186</v>
      </c>
      <c r="I580" s="51" t="s">
        <v>24</v>
      </c>
      <c r="J580" s="44" t="str">
        <f t="shared" si="7"/>
        <v>Não</v>
      </c>
      <c r="K580" s="47">
        <v>45035.0</v>
      </c>
      <c r="L580" s="123">
        <v>45273.0</v>
      </c>
      <c r="M580" s="45" t="s">
        <v>55</v>
      </c>
      <c r="N580" s="48">
        <v>0.012</v>
      </c>
      <c r="O580" s="44" t="s">
        <v>24</v>
      </c>
      <c r="P580" s="49">
        <v>0.0</v>
      </c>
      <c r="Q580" s="60"/>
      <c r="R580" s="60"/>
      <c r="S580" s="45" t="s">
        <v>108</v>
      </c>
      <c r="T580" s="24" t="s">
        <v>1970</v>
      </c>
      <c r="U580" s="9" t="s">
        <v>180</v>
      </c>
      <c r="V580" s="51" t="str">
        <f t="shared" si="8"/>
        <v>Encerrado</v>
      </c>
      <c r="W580" s="45"/>
      <c r="X580" s="52"/>
      <c r="Y580" s="54"/>
      <c r="Z580" s="54"/>
      <c r="AA580" s="54"/>
      <c r="AB580" s="54"/>
      <c r="AC580" s="54"/>
      <c r="AD580" s="54"/>
      <c r="AE580" s="54">
        <v>0.0</v>
      </c>
      <c r="AF580" s="54">
        <v>701737.29</v>
      </c>
      <c r="AG580" s="54">
        <v>709516.96</v>
      </c>
      <c r="AH580" s="54">
        <v>311081.44</v>
      </c>
      <c r="AI580" s="54">
        <v>313149.4</v>
      </c>
      <c r="AJ580" s="54">
        <v>313634.66</v>
      </c>
      <c r="AK580" s="54">
        <v>3.86</v>
      </c>
      <c r="AL580" s="54">
        <v>3.86</v>
      </c>
      <c r="AM580" s="54">
        <v>3.86</v>
      </c>
      <c r="AN580" s="54">
        <v>0.0</v>
      </c>
      <c r="AO580" s="54">
        <v>0.0</v>
      </c>
      <c r="AP580" s="53">
        <v>0.0</v>
      </c>
      <c r="AQ580" s="53">
        <v>0.0</v>
      </c>
      <c r="AR580" s="53">
        <v>0.0</v>
      </c>
      <c r="AS580" s="53">
        <v>0.0</v>
      </c>
      <c r="AT580" s="53">
        <v>0.0</v>
      </c>
      <c r="AU580" s="53" t="str">
        <f t="array" ref="AU580">XLOOKUP(C580,'PL TOTAL D0'!A:A,'PL TOTAL D0'!C:C,"")</f>
        <v/>
      </c>
    </row>
    <row r="581" ht="15.75" customHeight="1">
      <c r="A581" s="41" t="s">
        <v>43</v>
      </c>
      <c r="B581" s="42" t="s">
        <v>1973</v>
      </c>
      <c r="C581" s="43" t="s">
        <v>1974</v>
      </c>
      <c r="D581" s="44" t="s">
        <v>18</v>
      </c>
      <c r="E581" s="45" t="s">
        <v>176</v>
      </c>
      <c r="F581" s="44" t="s">
        <v>532</v>
      </c>
      <c r="G581" s="44" t="str">
        <f t="shared" si="1"/>
        <v>#N/A</v>
      </c>
      <c r="H581" s="46" t="s">
        <v>147</v>
      </c>
      <c r="I581" s="46" t="s">
        <v>219</v>
      </c>
      <c r="J581" s="44" t="str">
        <f t="shared" si="7"/>
        <v>Não</v>
      </c>
      <c r="K581" s="47">
        <v>45163.0</v>
      </c>
      <c r="L581" s="62"/>
      <c r="M581" s="45" t="s">
        <v>55</v>
      </c>
      <c r="N581" s="48">
        <v>0.007</v>
      </c>
      <c r="O581" s="44" t="s">
        <v>24</v>
      </c>
      <c r="P581" s="49">
        <v>0.0</v>
      </c>
      <c r="Q581" s="139"/>
      <c r="R581" s="50" t="s">
        <v>1032</v>
      </c>
      <c r="S581" s="45" t="s">
        <v>108</v>
      </c>
      <c r="T581" s="24" t="s">
        <v>1975</v>
      </c>
      <c r="U581" s="9" t="s">
        <v>34</v>
      </c>
      <c r="V581" s="51" t="str">
        <f t="shared" si="8"/>
        <v>Ativo</v>
      </c>
      <c r="W581" s="45"/>
      <c r="X581" s="52" t="s">
        <v>110</v>
      </c>
      <c r="Y581" s="54"/>
      <c r="Z581" s="54"/>
      <c r="AA581" s="54"/>
      <c r="AB581" s="54"/>
      <c r="AC581" s="54"/>
      <c r="AD581" s="54"/>
      <c r="AE581" s="54"/>
      <c r="AF581" s="54">
        <v>0.0</v>
      </c>
      <c r="AG581" s="54">
        <v>0.0</v>
      </c>
      <c r="AH581" s="54">
        <v>0.0</v>
      </c>
      <c r="AI581" s="54">
        <v>0.0</v>
      </c>
      <c r="AJ581" s="54">
        <v>0.0</v>
      </c>
      <c r="AK581" s="54">
        <v>0.0</v>
      </c>
      <c r="AL581" s="54">
        <v>0.0</v>
      </c>
      <c r="AM581" s="54">
        <v>0.0</v>
      </c>
      <c r="AN581" s="54">
        <v>0.0</v>
      </c>
      <c r="AO581" s="54">
        <v>0.0</v>
      </c>
      <c r="AP581" s="53">
        <v>0.0</v>
      </c>
      <c r="AQ581" s="53">
        <v>0.0</v>
      </c>
      <c r="AR581" s="53">
        <v>0.0</v>
      </c>
      <c r="AS581" s="53">
        <v>0.0</v>
      </c>
      <c r="AT581" s="53">
        <v>0.0</v>
      </c>
      <c r="AU581" s="53" t="str">
        <f t="array" ref="AU581">XLOOKUP(C581,'PL TOTAL D0'!A:A,'PL TOTAL D0'!C:C,"")</f>
        <v/>
      </c>
    </row>
    <row r="582" ht="15.75" customHeight="1">
      <c r="A582" s="41" t="s">
        <v>43</v>
      </c>
      <c r="B582" s="42" t="s">
        <v>1976</v>
      </c>
      <c r="C582" s="43" t="s">
        <v>1977</v>
      </c>
      <c r="D582" s="44" t="s">
        <v>18</v>
      </c>
      <c r="E582" s="45" t="s">
        <v>176</v>
      </c>
      <c r="F582" s="44" t="s">
        <v>177</v>
      </c>
      <c r="G582" s="44" t="str">
        <f t="shared" si="1"/>
        <v>#N/A</v>
      </c>
      <c r="H582" s="46" t="s">
        <v>147</v>
      </c>
      <c r="I582" s="46" t="s">
        <v>219</v>
      </c>
      <c r="J582" s="44" t="str">
        <f t="shared" si="7"/>
        <v>Não</v>
      </c>
      <c r="K582" s="47">
        <v>45163.0</v>
      </c>
      <c r="L582" s="62"/>
      <c r="M582" s="45" t="s">
        <v>55</v>
      </c>
      <c r="N582" s="48">
        <v>0.012</v>
      </c>
      <c r="O582" s="44" t="s">
        <v>24</v>
      </c>
      <c r="P582" s="49">
        <v>0.0</v>
      </c>
      <c r="Q582" s="139"/>
      <c r="R582" s="230" t="s">
        <v>1978</v>
      </c>
      <c r="S582" s="45" t="s">
        <v>108</v>
      </c>
      <c r="T582" s="24" t="s">
        <v>1979</v>
      </c>
      <c r="U582" s="9" t="s">
        <v>180</v>
      </c>
      <c r="V582" s="51" t="str">
        <f t="shared" si="8"/>
        <v>Ativo</v>
      </c>
      <c r="W582" s="45"/>
      <c r="X582" s="52" t="s">
        <v>110</v>
      </c>
      <c r="Y582" s="54"/>
      <c r="Z582" s="54"/>
      <c r="AA582" s="54"/>
      <c r="AB582" s="54"/>
      <c r="AC582" s="54"/>
      <c r="AD582" s="54"/>
      <c r="AE582" s="54">
        <v>0.0</v>
      </c>
      <c r="AF582" s="54">
        <v>0.0</v>
      </c>
      <c r="AG582" s="54">
        <v>0.0</v>
      </c>
      <c r="AH582" s="54">
        <v>0.0</v>
      </c>
      <c r="AI582" s="54">
        <v>0.0</v>
      </c>
      <c r="AJ582" s="54">
        <v>0.0</v>
      </c>
      <c r="AK582" s="54">
        <v>0.0</v>
      </c>
      <c r="AL582" s="54">
        <v>0.0</v>
      </c>
      <c r="AM582" s="54">
        <v>0.0</v>
      </c>
      <c r="AN582" s="54">
        <v>0.0</v>
      </c>
      <c r="AO582" s="54">
        <v>0.0</v>
      </c>
      <c r="AP582" s="53">
        <v>0.0</v>
      </c>
      <c r="AQ582" s="53">
        <v>0.0</v>
      </c>
      <c r="AR582" s="53">
        <v>0.0</v>
      </c>
      <c r="AS582" s="53">
        <v>0.0</v>
      </c>
      <c r="AT582" s="53">
        <v>0.0</v>
      </c>
      <c r="AU582" s="53" t="str">
        <f t="array" ref="AU582">XLOOKUP(C582,'PL TOTAL D0'!A:A,'PL TOTAL D0'!C:C,"")</f>
        <v/>
      </c>
    </row>
    <row r="583" ht="15.75" customHeight="1">
      <c r="A583" s="41" t="s">
        <v>43</v>
      </c>
      <c r="B583" s="42" t="s">
        <v>1980</v>
      </c>
      <c r="C583" s="43" t="s">
        <v>1981</v>
      </c>
      <c r="D583" s="44" t="s">
        <v>105</v>
      </c>
      <c r="E583" s="45" t="s">
        <v>29</v>
      </c>
      <c r="F583" s="44" t="s">
        <v>106</v>
      </c>
      <c r="G583" s="44" t="str">
        <f t="shared" si="1"/>
        <v>Breno</v>
      </c>
      <c r="H583" s="46" t="s">
        <v>107</v>
      </c>
      <c r="I583" s="46" t="s">
        <v>24</v>
      </c>
      <c r="J583" s="44" t="str">
        <f t="shared" si="7"/>
        <v>Não</v>
      </c>
      <c r="K583" s="47">
        <v>45082.0</v>
      </c>
      <c r="L583" s="62"/>
      <c r="M583" s="45" t="s">
        <v>269</v>
      </c>
      <c r="N583" s="48">
        <v>0.018</v>
      </c>
      <c r="O583" s="44" t="s">
        <v>48</v>
      </c>
      <c r="P583" s="49">
        <v>0.2</v>
      </c>
      <c r="Q583" s="74"/>
      <c r="R583" s="74"/>
      <c r="S583" s="45" t="s">
        <v>108</v>
      </c>
      <c r="T583" s="24" t="s">
        <v>1982</v>
      </c>
      <c r="U583" s="9" t="s">
        <v>29</v>
      </c>
      <c r="V583" s="51" t="str">
        <f t="shared" si="8"/>
        <v>Ativo</v>
      </c>
      <c r="W583" s="45"/>
      <c r="X583" s="52" t="s">
        <v>110</v>
      </c>
      <c r="Y583" s="54"/>
      <c r="Z583" s="54"/>
      <c r="AA583" s="54"/>
      <c r="AB583" s="54"/>
      <c r="AC583" s="54"/>
      <c r="AD583" s="54"/>
      <c r="AE583" s="54"/>
      <c r="AF583" s="54">
        <v>0.0</v>
      </c>
      <c r="AG583" s="54">
        <v>0.0</v>
      </c>
      <c r="AH583" s="54">
        <v>623400.99</v>
      </c>
      <c r="AI583" s="54">
        <v>681159.69</v>
      </c>
      <c r="AJ583" s="54">
        <v>701601.4</v>
      </c>
      <c r="AK583" s="54">
        <v>692743.23</v>
      </c>
      <c r="AL583" s="54">
        <v>688107.42</v>
      </c>
      <c r="AM583" s="54">
        <v>701645.17</v>
      </c>
      <c r="AN583" s="54">
        <v>721860.49</v>
      </c>
      <c r="AO583" s="54">
        <v>688520.55</v>
      </c>
      <c r="AP583" s="53">
        <v>695565.07</v>
      </c>
      <c r="AQ583" s="53">
        <v>703252.34</v>
      </c>
      <c r="AR583" s="53">
        <v>688431.26</v>
      </c>
      <c r="AS583" s="53">
        <v>680296.0</v>
      </c>
      <c r="AT583" s="53">
        <v>681713.6</v>
      </c>
      <c r="AU583" s="53">
        <f t="array" ref="AU583">XLOOKUP(C583,'PL TOTAL D0'!A:A,'PL TOTAL D0'!C:C,"")</f>
        <v>699387</v>
      </c>
    </row>
    <row r="584" ht="15.75" customHeight="1">
      <c r="A584" s="41" t="s">
        <v>43</v>
      </c>
      <c r="B584" s="42" t="s">
        <v>1983</v>
      </c>
      <c r="C584" s="43" t="s">
        <v>1984</v>
      </c>
      <c r="D584" s="44" t="s">
        <v>18</v>
      </c>
      <c r="E584" s="45" t="s">
        <v>19</v>
      </c>
      <c r="F584" s="44" t="s">
        <v>20</v>
      </c>
      <c r="G584" s="44" t="str">
        <f t="shared" si="1"/>
        <v>Augusto</v>
      </c>
      <c r="H584" s="51" t="s">
        <v>107</v>
      </c>
      <c r="I584" s="51" t="s">
        <v>24</v>
      </c>
      <c r="J584" s="44" t="str">
        <f t="shared" si="7"/>
        <v>Não</v>
      </c>
      <c r="K584" s="47">
        <v>44994.0</v>
      </c>
      <c r="L584" s="45"/>
      <c r="M584" s="24" t="s">
        <v>55</v>
      </c>
      <c r="N584" s="58">
        <v>0.012</v>
      </c>
      <c r="O584" s="9" t="s">
        <v>24</v>
      </c>
      <c r="P584" s="59">
        <v>0.0</v>
      </c>
      <c r="Q584" s="73"/>
      <c r="R584" s="73" t="s">
        <v>593</v>
      </c>
      <c r="S584" s="45" t="s">
        <v>108</v>
      </c>
      <c r="T584" s="24" t="s">
        <v>1985</v>
      </c>
      <c r="U584" s="9" t="s">
        <v>19</v>
      </c>
      <c r="V584" s="51" t="str">
        <f t="shared" si="8"/>
        <v>Ativo</v>
      </c>
      <c r="W584" s="45"/>
      <c r="X584" s="52" t="s">
        <v>119</v>
      </c>
      <c r="Y584" s="54"/>
      <c r="Z584" s="54"/>
      <c r="AA584" s="54"/>
      <c r="AB584" s="54"/>
      <c r="AC584" s="54"/>
      <c r="AD584" s="54">
        <v>0.0</v>
      </c>
      <c r="AE584" s="54">
        <v>104644.9</v>
      </c>
      <c r="AF584" s="54">
        <v>104992.36</v>
      </c>
      <c r="AG584" s="54">
        <v>106366.95</v>
      </c>
      <c r="AH584" s="54">
        <v>107455.17</v>
      </c>
      <c r="AI584" s="54">
        <v>108307.08</v>
      </c>
      <c r="AJ584" s="54">
        <v>109381.01</v>
      </c>
      <c r="AK584" s="54">
        <v>110181.84</v>
      </c>
      <c r="AL584" s="54">
        <v>110541.69</v>
      </c>
      <c r="AM584" s="54">
        <v>111342.3</v>
      </c>
      <c r="AN584" s="54">
        <v>112177.45</v>
      </c>
      <c r="AO584" s="54">
        <v>113123.62</v>
      </c>
      <c r="AP584" s="53">
        <v>113982.99</v>
      </c>
      <c r="AQ584" s="53">
        <v>114402.67</v>
      </c>
      <c r="AR584" s="53">
        <v>115227.91</v>
      </c>
      <c r="AS584" s="53">
        <v>115999.5</v>
      </c>
      <c r="AT584" s="53">
        <v>116865.8</v>
      </c>
      <c r="AU584" s="53">
        <f t="array" ref="AU584">XLOOKUP(C584,'PL TOTAL D0'!A:A,'PL TOTAL D0'!C:C,"")</f>
        <v>116297.2</v>
      </c>
    </row>
    <row r="585" ht="15.75" customHeight="1">
      <c r="A585" s="41" t="s">
        <v>43</v>
      </c>
      <c r="B585" s="64" t="s">
        <v>1986</v>
      </c>
      <c r="C585" s="65" t="s">
        <v>1987</v>
      </c>
      <c r="D585" s="9" t="s">
        <v>18</v>
      </c>
      <c r="E585" s="24" t="s">
        <v>29</v>
      </c>
      <c r="F585" s="9" t="s">
        <v>632</v>
      </c>
      <c r="G585" s="44" t="str">
        <f t="shared" si="1"/>
        <v>Breno</v>
      </c>
      <c r="H585" s="51" t="s">
        <v>107</v>
      </c>
      <c r="I585" s="51" t="s">
        <v>24</v>
      </c>
      <c r="J585" s="44" t="str">
        <f t="shared" si="7"/>
        <v>Não</v>
      </c>
      <c r="K585" s="57">
        <v>45408.0</v>
      </c>
      <c r="L585" s="45"/>
      <c r="M585" s="24" t="s">
        <v>55</v>
      </c>
      <c r="N585" s="58">
        <v>0.012</v>
      </c>
      <c r="O585" s="9" t="s">
        <v>24</v>
      </c>
      <c r="P585" s="59">
        <v>0.0</v>
      </c>
      <c r="Q585" s="73"/>
      <c r="R585" s="73"/>
      <c r="S585" s="24" t="s">
        <v>108</v>
      </c>
      <c r="T585" s="24" t="s">
        <v>1988</v>
      </c>
      <c r="U585" s="9" t="s">
        <v>29</v>
      </c>
      <c r="V585" s="51" t="str">
        <f t="shared" si="8"/>
        <v>Ativo</v>
      </c>
      <c r="W585" s="24" t="s">
        <v>75</v>
      </c>
      <c r="X585" s="52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3"/>
      <c r="AQ585" s="53"/>
      <c r="AR585" s="53">
        <v>0.0</v>
      </c>
      <c r="AS585" s="53">
        <v>469224.4</v>
      </c>
      <c r="AT585" s="53">
        <v>472897.3</v>
      </c>
      <c r="AU585" s="53">
        <f t="array" ref="AU585">XLOOKUP(C585,'PL TOTAL D0'!A:A,'PL TOTAL D0'!C:C,"")</f>
        <v>474587.3</v>
      </c>
    </row>
    <row r="586" ht="15.75" customHeight="1">
      <c r="A586" s="41" t="s">
        <v>43</v>
      </c>
      <c r="B586" s="119" t="s">
        <v>1989</v>
      </c>
      <c r="C586" s="120" t="s">
        <v>1990</v>
      </c>
      <c r="D586" s="9" t="s">
        <v>18</v>
      </c>
      <c r="E586" s="24" t="s">
        <v>29</v>
      </c>
      <c r="F586" s="9" t="s">
        <v>632</v>
      </c>
      <c r="G586" s="44" t="str">
        <f t="shared" si="1"/>
        <v>Augusto</v>
      </c>
      <c r="H586" s="51" t="s">
        <v>123</v>
      </c>
      <c r="I586" s="51" t="s">
        <v>24</v>
      </c>
      <c r="J586" s="44" t="str">
        <f t="shared" si="7"/>
        <v>Não</v>
      </c>
      <c r="K586" s="57">
        <v>45461.0</v>
      </c>
      <c r="L586" s="45"/>
      <c r="M586" s="24" t="s">
        <v>55</v>
      </c>
      <c r="N586" s="58">
        <v>0.012</v>
      </c>
      <c r="O586" s="9" t="s">
        <v>24</v>
      </c>
      <c r="P586" s="59">
        <v>0.0</v>
      </c>
      <c r="Q586" s="73"/>
      <c r="R586" s="73"/>
      <c r="S586" s="24" t="s">
        <v>108</v>
      </c>
      <c r="T586" s="24" t="s">
        <v>1991</v>
      </c>
      <c r="U586" s="9" t="s">
        <v>34</v>
      </c>
      <c r="V586" s="51" t="str">
        <f t="shared" si="8"/>
        <v>Ativo</v>
      </c>
      <c r="W586" s="24" t="s">
        <v>75</v>
      </c>
      <c r="X586" s="52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3"/>
      <c r="AQ586" s="53"/>
      <c r="AR586" s="53"/>
      <c r="AS586" s="53"/>
      <c r="AT586" s="53">
        <v>0.0</v>
      </c>
      <c r="AU586" s="53">
        <f t="array" ref="AU586">XLOOKUP(C586,'PL TOTAL D0'!A:A,'PL TOTAL D0'!C:C,"")</f>
        <v>38084.03</v>
      </c>
    </row>
    <row r="587" ht="15.75" customHeight="1">
      <c r="A587" s="41" t="s">
        <v>43</v>
      </c>
      <c r="B587" s="42" t="s">
        <v>1992</v>
      </c>
      <c r="C587" s="43" t="s">
        <v>1993</v>
      </c>
      <c r="D587" s="44" t="s">
        <v>105</v>
      </c>
      <c r="E587" s="45" t="s">
        <v>29</v>
      </c>
      <c r="F587" s="44" t="s">
        <v>106</v>
      </c>
      <c r="G587" s="44" t="str">
        <f t="shared" si="1"/>
        <v>Bruno</v>
      </c>
      <c r="H587" s="51" t="s">
        <v>147</v>
      </c>
      <c r="I587" s="46" t="s">
        <v>24</v>
      </c>
      <c r="J587" s="44" t="str">
        <f t="shared" si="7"/>
        <v>Sim</v>
      </c>
      <c r="K587" s="47">
        <v>45089.0</v>
      </c>
      <c r="L587" s="45"/>
      <c r="M587" s="45" t="s">
        <v>614</v>
      </c>
      <c r="N587" s="48">
        <v>0.008</v>
      </c>
      <c r="O587" s="44" t="s">
        <v>24</v>
      </c>
      <c r="P587" s="49">
        <v>0.0</v>
      </c>
      <c r="Q587" s="231" t="s">
        <v>1994</v>
      </c>
      <c r="R587" s="50"/>
      <c r="S587" s="45" t="s">
        <v>108</v>
      </c>
      <c r="T587" s="24" t="s">
        <v>1995</v>
      </c>
      <c r="U587" s="9" t="s">
        <v>29</v>
      </c>
      <c r="V587" s="51" t="str">
        <f t="shared" si="8"/>
        <v>Ativo</v>
      </c>
      <c r="W587" s="45"/>
      <c r="X587" s="52" t="s">
        <v>119</v>
      </c>
      <c r="Y587" s="54"/>
      <c r="Z587" s="54"/>
      <c r="AA587" s="54"/>
      <c r="AB587" s="54"/>
      <c r="AC587" s="54"/>
      <c r="AD587" s="54"/>
      <c r="AE587" s="54"/>
      <c r="AF587" s="54">
        <v>0.0</v>
      </c>
      <c r="AG587" s="54">
        <v>0.0</v>
      </c>
      <c r="AH587" s="54">
        <v>844672.09</v>
      </c>
      <c r="AI587" s="54">
        <v>1470305.87</v>
      </c>
      <c r="AJ587" s="54">
        <v>1550885.26</v>
      </c>
      <c r="AK587" s="54">
        <v>1818215.96</v>
      </c>
      <c r="AL587" s="54">
        <v>1901777.71</v>
      </c>
      <c r="AM587" s="54">
        <v>1783134.08</v>
      </c>
      <c r="AN587" s="54">
        <v>2044607.24</v>
      </c>
      <c r="AO587" s="54">
        <v>2055002.86</v>
      </c>
      <c r="AP587" s="53">
        <v>2110226.61</v>
      </c>
      <c r="AQ587" s="53">
        <v>2137864.26</v>
      </c>
      <c r="AR587" s="53">
        <v>2137697.55</v>
      </c>
      <c r="AS587" s="53">
        <v>2147145.0</v>
      </c>
      <c r="AT587" s="53">
        <v>2223661.0</v>
      </c>
      <c r="AU587" s="53">
        <f t="array" ref="AU587">XLOOKUP(C587,'PL TOTAL D0'!A:A,'PL TOTAL D0'!C:C,"")</f>
        <v>2237957</v>
      </c>
    </row>
    <row r="588" ht="15.75" customHeight="1">
      <c r="A588" s="41" t="s">
        <v>43</v>
      </c>
      <c r="B588" s="42" t="s">
        <v>1996</v>
      </c>
      <c r="C588" s="43" t="s">
        <v>1997</v>
      </c>
      <c r="D588" s="44" t="s">
        <v>18</v>
      </c>
      <c r="E588" s="45" t="s">
        <v>29</v>
      </c>
      <c r="F588" s="44" t="s">
        <v>168</v>
      </c>
      <c r="G588" s="44" t="str">
        <f t="shared" si="1"/>
        <v>Breno</v>
      </c>
      <c r="H588" s="46" t="s">
        <v>107</v>
      </c>
      <c r="I588" s="46" t="s">
        <v>24</v>
      </c>
      <c r="J588" s="44" t="str">
        <f t="shared" si="7"/>
        <v>Não</v>
      </c>
      <c r="K588" s="47">
        <v>44986.0</v>
      </c>
      <c r="L588" s="45"/>
      <c r="M588" s="45" t="s">
        <v>55</v>
      </c>
      <c r="N588" s="48">
        <v>0.012</v>
      </c>
      <c r="O588" s="44" t="s">
        <v>24</v>
      </c>
      <c r="P588" s="49">
        <v>0.0</v>
      </c>
      <c r="Q588" s="139"/>
      <c r="R588" s="139"/>
      <c r="S588" s="45" t="s">
        <v>108</v>
      </c>
      <c r="T588" s="24" t="s">
        <v>1998</v>
      </c>
      <c r="U588" s="9" t="s">
        <v>29</v>
      </c>
      <c r="V588" s="51" t="str">
        <f t="shared" si="8"/>
        <v>Ativo</v>
      </c>
      <c r="W588" s="45"/>
      <c r="X588" s="52" t="s">
        <v>119</v>
      </c>
      <c r="Y588" s="54"/>
      <c r="Z588" s="54"/>
      <c r="AA588" s="54"/>
      <c r="AB588" s="54"/>
      <c r="AC588" s="54"/>
      <c r="AD588" s="54">
        <v>0.0</v>
      </c>
      <c r="AE588" s="54">
        <v>397131.76</v>
      </c>
      <c r="AF588" s="54">
        <v>400319.23</v>
      </c>
      <c r="AG588" s="54">
        <v>403819.67</v>
      </c>
      <c r="AH588" s="54">
        <v>407595.85</v>
      </c>
      <c r="AI588" s="54">
        <v>410402.21</v>
      </c>
      <c r="AJ588" s="54">
        <v>413976.63</v>
      </c>
      <c r="AK588" s="54">
        <v>416683.62</v>
      </c>
      <c r="AL588" s="54">
        <v>420357.87</v>
      </c>
      <c r="AM588" s="54">
        <v>423410.5</v>
      </c>
      <c r="AN588" s="54">
        <v>426737.93</v>
      </c>
      <c r="AO588" s="54">
        <v>429986.35</v>
      </c>
      <c r="AP588" s="53">
        <v>433344.55</v>
      </c>
      <c r="AQ588" s="53">
        <v>436678.49</v>
      </c>
      <c r="AR588" s="53">
        <v>437700.48</v>
      </c>
      <c r="AS588" s="53">
        <v>439555.1</v>
      </c>
      <c r="AT588" s="53">
        <v>443043.9</v>
      </c>
      <c r="AU588" s="53">
        <f t="array" ref="AU588">XLOOKUP(C588,'PL TOTAL D0'!A:A,'PL TOTAL D0'!C:C,"")</f>
        <v>444516.9</v>
      </c>
    </row>
    <row r="589" ht="17.25" customHeight="1">
      <c r="A589" s="41" t="s">
        <v>43</v>
      </c>
      <c r="B589" s="42" t="s">
        <v>1999</v>
      </c>
      <c r="C589" s="43" t="s">
        <v>2000</v>
      </c>
      <c r="D589" s="44" t="s">
        <v>18</v>
      </c>
      <c r="E589" s="45" t="s">
        <v>29</v>
      </c>
      <c r="F589" s="44" t="s">
        <v>168</v>
      </c>
      <c r="G589" s="44" t="str">
        <f t="shared" si="1"/>
        <v>Augusto</v>
      </c>
      <c r="H589" s="46" t="s">
        <v>107</v>
      </c>
      <c r="I589" s="46" t="s">
        <v>24</v>
      </c>
      <c r="J589" s="44" t="str">
        <f t="shared" si="7"/>
        <v>Não</v>
      </c>
      <c r="K589" s="47">
        <v>44973.0</v>
      </c>
      <c r="L589" s="45"/>
      <c r="M589" s="45" t="s">
        <v>55</v>
      </c>
      <c r="N589" s="48">
        <v>0.012</v>
      </c>
      <c r="O589" s="44" t="s">
        <v>24</v>
      </c>
      <c r="P589" s="49">
        <v>0.0</v>
      </c>
      <c r="Q589" s="139"/>
      <c r="R589" s="139"/>
      <c r="S589" s="45" t="s">
        <v>108</v>
      </c>
      <c r="T589" s="24" t="s">
        <v>2001</v>
      </c>
      <c r="U589" s="9" t="s">
        <v>29</v>
      </c>
      <c r="V589" s="51" t="str">
        <f t="shared" si="8"/>
        <v>Ativo</v>
      </c>
      <c r="W589" s="45"/>
      <c r="X589" s="52" t="s">
        <v>119</v>
      </c>
      <c r="Y589" s="54"/>
      <c r="Z589" s="54"/>
      <c r="AA589" s="54"/>
      <c r="AB589" s="54"/>
      <c r="AC589" s="54">
        <v>0.0</v>
      </c>
      <c r="AD589" s="54">
        <v>22406.26</v>
      </c>
      <c r="AE589" s="54">
        <v>123178.45</v>
      </c>
      <c r="AF589" s="54">
        <v>125221.88</v>
      </c>
      <c r="AG589" s="54">
        <v>127766.28</v>
      </c>
      <c r="AH589" s="54">
        <v>128997.24</v>
      </c>
      <c r="AI589" s="54">
        <v>129836.83</v>
      </c>
      <c r="AJ589" s="54">
        <v>135579.88</v>
      </c>
      <c r="AK589" s="54">
        <v>135977.64</v>
      </c>
      <c r="AL589" s="54">
        <v>136319.08</v>
      </c>
      <c r="AM589" s="54">
        <v>142388.81</v>
      </c>
      <c r="AN589" s="54">
        <v>143984.23</v>
      </c>
      <c r="AO589" s="54">
        <v>144825.19</v>
      </c>
      <c r="AP589" s="53">
        <v>145769.92</v>
      </c>
      <c r="AQ589" s="53">
        <v>146841.97</v>
      </c>
      <c r="AR589" s="53">
        <v>147818.6</v>
      </c>
      <c r="AS589" s="53">
        <v>147654.4</v>
      </c>
      <c r="AT589" s="53">
        <v>127532.7</v>
      </c>
      <c r="AU589" s="53">
        <f t="array" ref="AU589">XLOOKUP(C589,'PL TOTAL D0'!A:A,'PL TOTAL D0'!C:C,"")</f>
        <v>127965.1</v>
      </c>
    </row>
    <row r="590" ht="17.25" customHeight="1">
      <c r="A590" s="41" t="s">
        <v>43</v>
      </c>
      <c r="B590" s="97" t="s">
        <v>2002</v>
      </c>
      <c r="C590" s="157" t="s">
        <v>2003</v>
      </c>
      <c r="D590" s="44" t="s">
        <v>18</v>
      </c>
      <c r="E590" s="45" t="s">
        <v>29</v>
      </c>
      <c r="F590" s="44" t="s">
        <v>128</v>
      </c>
      <c r="G590" s="44" t="str">
        <f t="shared" si="1"/>
        <v>Augusto</v>
      </c>
      <c r="H590" s="46" t="s">
        <v>107</v>
      </c>
      <c r="I590" s="51" t="s">
        <v>24</v>
      </c>
      <c r="J590" s="44" t="str">
        <f t="shared" si="7"/>
        <v>Não</v>
      </c>
      <c r="K590" s="47">
        <v>45259.0</v>
      </c>
      <c r="L590" s="45"/>
      <c r="M590" s="45" t="s">
        <v>55</v>
      </c>
      <c r="N590" s="94">
        <v>0.012</v>
      </c>
      <c r="O590" s="95" t="s">
        <v>24</v>
      </c>
      <c r="P590" s="96">
        <v>0.0</v>
      </c>
      <c r="Q590" s="139"/>
      <c r="R590" s="184"/>
      <c r="S590" s="45" t="s">
        <v>108</v>
      </c>
      <c r="T590" s="24" t="s">
        <v>2004</v>
      </c>
      <c r="U590" s="9" t="s">
        <v>29</v>
      </c>
      <c r="V590" s="51" t="str">
        <f t="shared" si="8"/>
        <v>Ativo</v>
      </c>
      <c r="W590" s="45"/>
      <c r="X590" s="52" t="s">
        <v>119</v>
      </c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>
        <v>20010.0</v>
      </c>
      <c r="AN590" s="54">
        <v>40308.46</v>
      </c>
      <c r="AO590" s="54">
        <v>40674.87</v>
      </c>
      <c r="AP590" s="53">
        <v>61072.64</v>
      </c>
      <c r="AQ590" s="53">
        <v>71720.31</v>
      </c>
      <c r="AR590" s="53">
        <v>72330.27</v>
      </c>
      <c r="AS590" s="53">
        <v>93021.66</v>
      </c>
      <c r="AT590" s="53">
        <v>93785.62</v>
      </c>
      <c r="AU590" s="53">
        <f t="array" ref="AU590">XLOOKUP(C590,'PL TOTAL D0'!A:A,'PL TOTAL D0'!C:C,"")</f>
        <v>94116.02</v>
      </c>
    </row>
    <row r="591" ht="15.75" customHeight="1">
      <c r="A591" s="41" t="s">
        <v>43</v>
      </c>
      <c r="B591" s="42" t="s">
        <v>2005</v>
      </c>
      <c r="C591" s="81" t="s">
        <v>2006</v>
      </c>
      <c r="D591" s="44" t="s">
        <v>18</v>
      </c>
      <c r="E591" s="45" t="s">
        <v>176</v>
      </c>
      <c r="F591" s="44" t="s">
        <v>177</v>
      </c>
      <c r="G591" s="44" t="str">
        <f t="shared" si="1"/>
        <v>#N/A</v>
      </c>
      <c r="H591" s="51" t="s">
        <v>186</v>
      </c>
      <c r="I591" s="51" t="s">
        <v>24</v>
      </c>
      <c r="J591" s="44" t="str">
        <f t="shared" si="7"/>
        <v>Não</v>
      </c>
      <c r="K591" s="47">
        <v>45111.0</v>
      </c>
      <c r="L591" s="68">
        <v>45433.0</v>
      </c>
      <c r="M591" s="45" t="s">
        <v>269</v>
      </c>
      <c r="N591" s="48">
        <v>0.02</v>
      </c>
      <c r="O591" s="44" t="s">
        <v>48</v>
      </c>
      <c r="P591" s="49">
        <v>0.2</v>
      </c>
      <c r="Q591" s="60"/>
      <c r="R591" s="139"/>
      <c r="S591" s="45" t="s">
        <v>108</v>
      </c>
      <c r="T591" s="24" t="s">
        <v>2007</v>
      </c>
      <c r="U591" s="9" t="s">
        <v>180</v>
      </c>
      <c r="V591" s="51" t="str">
        <f t="shared" si="8"/>
        <v>Encerrado</v>
      </c>
      <c r="W591" s="45"/>
      <c r="X591" s="52" t="s">
        <v>110</v>
      </c>
      <c r="Y591" s="54"/>
      <c r="Z591" s="54"/>
      <c r="AA591" s="54"/>
      <c r="AB591" s="54"/>
      <c r="AC591" s="54"/>
      <c r="AD591" s="54"/>
      <c r="AE591" s="54">
        <v>0.0</v>
      </c>
      <c r="AF591" s="54">
        <v>0.0</v>
      </c>
      <c r="AG591" s="54">
        <v>0.0</v>
      </c>
      <c r="AH591" s="54">
        <v>0.0</v>
      </c>
      <c r="AI591" s="54">
        <v>650405.77</v>
      </c>
      <c r="AJ591" s="54">
        <v>679714.54</v>
      </c>
      <c r="AK591" s="54">
        <v>776296.78</v>
      </c>
      <c r="AL591" s="54">
        <v>796616.21</v>
      </c>
      <c r="AM591" s="54">
        <v>823802.9</v>
      </c>
      <c r="AN591" s="54">
        <v>945272.34</v>
      </c>
      <c r="AO591" s="54">
        <v>972610.18</v>
      </c>
      <c r="AP591" s="53">
        <v>981430.06</v>
      </c>
      <c r="AQ591" s="53">
        <v>0.0</v>
      </c>
      <c r="AR591" s="53">
        <v>0.0</v>
      </c>
      <c r="AS591" s="53">
        <v>0.0</v>
      </c>
      <c r="AT591" s="53">
        <v>0.0</v>
      </c>
      <c r="AU591" s="53" t="str">
        <f t="array" ref="AU591">XLOOKUP(C591,'PL TOTAL D0'!A:A,'PL TOTAL D0'!C:C,"")</f>
        <v/>
      </c>
    </row>
    <row r="592" ht="15.75" customHeight="1">
      <c r="A592" s="41" t="s">
        <v>43</v>
      </c>
      <c r="B592" s="42" t="s">
        <v>2005</v>
      </c>
      <c r="C592" s="81" t="s">
        <v>2008</v>
      </c>
      <c r="D592" s="44" t="s">
        <v>18</v>
      </c>
      <c r="E592" s="45" t="s">
        <v>176</v>
      </c>
      <c r="F592" s="44" t="s">
        <v>177</v>
      </c>
      <c r="G592" s="44" t="str">
        <f t="shared" si="1"/>
        <v>#N/A</v>
      </c>
      <c r="H592" s="51" t="s">
        <v>186</v>
      </c>
      <c r="I592" s="46" t="s">
        <v>24</v>
      </c>
      <c r="J592" s="44" t="str">
        <f t="shared" si="7"/>
        <v>Não</v>
      </c>
      <c r="K592" s="47">
        <v>45035.0</v>
      </c>
      <c r="L592" s="82">
        <v>45433.0</v>
      </c>
      <c r="M592" s="45" t="s">
        <v>55</v>
      </c>
      <c r="N592" s="48">
        <v>0.012</v>
      </c>
      <c r="O592" s="44" t="s">
        <v>24</v>
      </c>
      <c r="P592" s="49">
        <v>0.0</v>
      </c>
      <c r="Q592" s="60"/>
      <c r="R592" s="139"/>
      <c r="S592" s="45" t="s">
        <v>108</v>
      </c>
      <c r="T592" s="24" t="s">
        <v>2007</v>
      </c>
      <c r="U592" s="9" t="s">
        <v>180</v>
      </c>
      <c r="V592" s="51" t="str">
        <f t="shared" si="8"/>
        <v>Encerrado</v>
      </c>
      <c r="W592" s="45"/>
      <c r="X592" s="52" t="s">
        <v>110</v>
      </c>
      <c r="Y592" s="54"/>
      <c r="Z592" s="54"/>
      <c r="AA592" s="54"/>
      <c r="AB592" s="54"/>
      <c r="AC592" s="54"/>
      <c r="AD592" s="54"/>
      <c r="AE592" s="54">
        <v>0.0</v>
      </c>
      <c r="AF592" s="54">
        <v>3193690.29</v>
      </c>
      <c r="AG592" s="54">
        <v>3353269.63</v>
      </c>
      <c r="AH592" s="54">
        <v>3483183.91</v>
      </c>
      <c r="AI592" s="54">
        <v>2892594.6</v>
      </c>
      <c r="AJ592" s="54">
        <v>2920496.59</v>
      </c>
      <c r="AK592" s="54">
        <v>2943857.57</v>
      </c>
      <c r="AL592" s="54">
        <v>2969879.49</v>
      </c>
      <c r="AM592" s="54">
        <v>2991246.35</v>
      </c>
      <c r="AN592" s="54">
        <v>3010215.04</v>
      </c>
      <c r="AO592" s="54">
        <v>3038251.64</v>
      </c>
      <c r="AP592" s="53">
        <v>3063154.49</v>
      </c>
      <c r="AQ592" s="53">
        <v>0.0</v>
      </c>
      <c r="AR592" s="53">
        <v>0.0</v>
      </c>
      <c r="AS592" s="53">
        <v>0.0</v>
      </c>
      <c r="AT592" s="53">
        <v>0.0</v>
      </c>
      <c r="AU592" s="53" t="str">
        <f t="array" ref="AU592">XLOOKUP(C592,'PL TOTAL D0'!A:A,'PL TOTAL D0'!C:C,"")</f>
        <v/>
      </c>
    </row>
    <row r="593" ht="15.75" customHeight="1">
      <c r="A593" s="41" t="s">
        <v>43</v>
      </c>
      <c r="B593" s="42" t="s">
        <v>2009</v>
      </c>
      <c r="C593" s="43" t="s">
        <v>2010</v>
      </c>
      <c r="D593" s="44" t="s">
        <v>18</v>
      </c>
      <c r="E593" s="45" t="s">
        <v>19</v>
      </c>
      <c r="F593" s="44" t="s">
        <v>20</v>
      </c>
      <c r="G593" s="44" t="str">
        <f t="shared" si="1"/>
        <v>Augusto</v>
      </c>
      <c r="H593" s="51" t="s">
        <v>107</v>
      </c>
      <c r="I593" s="51" t="s">
        <v>24</v>
      </c>
      <c r="J593" s="44" t="str">
        <f t="shared" si="7"/>
        <v>Não</v>
      </c>
      <c r="K593" s="47">
        <v>45100.0</v>
      </c>
      <c r="L593" s="62"/>
      <c r="M593" s="24" t="s">
        <v>139</v>
      </c>
      <c r="N593" s="48">
        <v>0.012</v>
      </c>
      <c r="O593" s="9" t="s">
        <v>48</v>
      </c>
      <c r="P593" s="59">
        <v>0.1</v>
      </c>
      <c r="Q593" s="139"/>
      <c r="R593" s="139"/>
      <c r="S593" s="45" t="s">
        <v>108</v>
      </c>
      <c r="T593" s="24" t="s">
        <v>2011</v>
      </c>
      <c r="U593" s="9" t="s">
        <v>504</v>
      </c>
      <c r="V593" s="51" t="str">
        <f t="shared" si="8"/>
        <v>Ativo</v>
      </c>
      <c r="W593" s="45"/>
      <c r="X593" s="52" t="s">
        <v>119</v>
      </c>
      <c r="Y593" s="54"/>
      <c r="Z593" s="54"/>
      <c r="AA593" s="54"/>
      <c r="AB593" s="54"/>
      <c r="AC593" s="54"/>
      <c r="AD593" s="54"/>
      <c r="AE593" s="54"/>
      <c r="AF593" s="54"/>
      <c r="AG593" s="54"/>
      <c r="AH593" s="54">
        <v>30059.16</v>
      </c>
      <c r="AI593" s="54">
        <v>30326.11</v>
      </c>
      <c r="AJ593" s="54">
        <v>30619.31</v>
      </c>
      <c r="AK593" s="54">
        <v>30857.14</v>
      </c>
      <c r="AL593" s="54">
        <v>31138.01</v>
      </c>
      <c r="AM593" s="54">
        <v>31371.26</v>
      </c>
      <c r="AN593" s="54">
        <v>31623.21</v>
      </c>
      <c r="AO593" s="54">
        <v>31807.61</v>
      </c>
      <c r="AP593" s="53">
        <v>32038.04</v>
      </c>
      <c r="AQ593" s="53">
        <v>32287.35</v>
      </c>
      <c r="AR593" s="53">
        <v>32413.05</v>
      </c>
      <c r="AS593" s="53">
        <v>32572.88</v>
      </c>
      <c r="AT593" s="53">
        <v>32652.24</v>
      </c>
      <c r="AU593" s="53">
        <f t="array" ref="AU593">XLOOKUP(C593,'PL TOTAL D0'!A:A,'PL TOTAL D0'!C:C,"")</f>
        <v>32814.45</v>
      </c>
    </row>
    <row r="594" ht="15.75" customHeight="1">
      <c r="A594" s="41" t="s">
        <v>43</v>
      </c>
      <c r="B594" s="55" t="s">
        <v>2012</v>
      </c>
      <c r="C594" s="56" t="s">
        <v>2013</v>
      </c>
      <c r="D594" s="9" t="s">
        <v>18</v>
      </c>
      <c r="E594" s="24" t="s">
        <v>29</v>
      </c>
      <c r="F594" s="9" t="s">
        <v>60</v>
      </c>
      <c r="G594" s="44" t="str">
        <f t="shared" si="1"/>
        <v>Augusto</v>
      </c>
      <c r="H594" s="51" t="s">
        <v>107</v>
      </c>
      <c r="I594" s="51" t="s">
        <v>24</v>
      </c>
      <c r="J594" s="44" t="str">
        <f t="shared" si="7"/>
        <v>Não</v>
      </c>
      <c r="K594" s="57">
        <v>45315.0</v>
      </c>
      <c r="L594" s="62"/>
      <c r="M594" s="24" t="s">
        <v>129</v>
      </c>
      <c r="N594" s="58">
        <v>0.0</v>
      </c>
      <c r="O594" s="9" t="s">
        <v>24</v>
      </c>
      <c r="P594" s="59">
        <v>0.0</v>
      </c>
      <c r="Q594" s="139"/>
      <c r="R594" s="139"/>
      <c r="S594" s="24" t="s">
        <v>108</v>
      </c>
      <c r="T594" s="24" t="s">
        <v>2014</v>
      </c>
      <c r="U594" s="9" t="s">
        <v>19</v>
      </c>
      <c r="V594" s="51" t="str">
        <f t="shared" si="8"/>
        <v>Ativo</v>
      </c>
      <c r="W594" s="45"/>
      <c r="X594" s="52" t="s">
        <v>119</v>
      </c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>
        <v>0.0</v>
      </c>
      <c r="AP594" s="53">
        <v>0.0</v>
      </c>
      <c r="AQ594" s="53">
        <v>5028.95</v>
      </c>
      <c r="AR594" s="53">
        <v>6584.48</v>
      </c>
      <c r="AS594" s="53">
        <v>8630.3</v>
      </c>
      <c r="AT594" s="53">
        <v>10708.81</v>
      </c>
      <c r="AU594" s="53">
        <f t="array" ref="AU594">XLOOKUP(C594,'PL TOTAL D0'!A:A,'PL TOTAL D0'!C:C,"")</f>
        <v>15769.76</v>
      </c>
    </row>
    <row r="595" ht="15.75" customHeight="1">
      <c r="A595" s="41" t="s">
        <v>43</v>
      </c>
      <c r="B595" s="97" t="s">
        <v>2015</v>
      </c>
      <c r="C595" s="71" t="s">
        <v>2016</v>
      </c>
      <c r="D595" s="44" t="s">
        <v>18</v>
      </c>
      <c r="E595" s="45" t="s">
        <v>19</v>
      </c>
      <c r="F595" s="44" t="s">
        <v>20</v>
      </c>
      <c r="G595" s="44" t="str">
        <f t="shared" si="1"/>
        <v>Breno</v>
      </c>
      <c r="H595" s="51" t="s">
        <v>107</v>
      </c>
      <c r="I595" s="46" t="s">
        <v>24</v>
      </c>
      <c r="J595" s="44" t="str">
        <f t="shared" si="7"/>
        <v>Sim</v>
      </c>
      <c r="K595" s="47">
        <v>45233.0</v>
      </c>
      <c r="L595" s="62"/>
      <c r="M595" s="24" t="s">
        <v>79</v>
      </c>
      <c r="N595" s="48">
        <v>0.012</v>
      </c>
      <c r="O595" s="9" t="s">
        <v>48</v>
      </c>
      <c r="P595" s="59">
        <v>0.1</v>
      </c>
      <c r="Q595" s="76" t="s">
        <v>1962</v>
      </c>
      <c r="R595" s="232" t="s">
        <v>2017</v>
      </c>
      <c r="S595" s="45" t="s">
        <v>108</v>
      </c>
      <c r="T595" s="24" t="s">
        <v>2018</v>
      </c>
      <c r="U595" s="9" t="s">
        <v>19</v>
      </c>
      <c r="V595" s="51" t="str">
        <f t="shared" si="8"/>
        <v>Ativo</v>
      </c>
      <c r="W595" s="45"/>
      <c r="X595" s="52" t="s">
        <v>119</v>
      </c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>
        <v>2000000.0</v>
      </c>
      <c r="AM595" s="54">
        <v>2015353.51</v>
      </c>
      <c r="AN595" s="54">
        <v>2034452.33</v>
      </c>
      <c r="AO595" s="54">
        <v>2047708.22</v>
      </c>
      <c r="AP595" s="53">
        <v>1556016.05</v>
      </c>
      <c r="AQ595" s="53">
        <v>1063307.91</v>
      </c>
      <c r="AR595" s="53">
        <v>755626.29</v>
      </c>
      <c r="AS595" s="53">
        <v>549567.6</v>
      </c>
      <c r="AT595" s="53">
        <v>452228.3</v>
      </c>
      <c r="AU595" s="53">
        <f t="array" ref="AU595">XLOOKUP(C595,'PL TOTAL D0'!A:A,'PL TOTAL D0'!C:C,"")</f>
        <v>406574.5</v>
      </c>
    </row>
    <row r="596" ht="15.75" customHeight="1">
      <c r="A596" s="41" t="s">
        <v>43</v>
      </c>
      <c r="B596" s="61" t="s">
        <v>2019</v>
      </c>
      <c r="C596" s="43" t="s">
        <v>2020</v>
      </c>
      <c r="D596" s="44" t="s">
        <v>18</v>
      </c>
      <c r="E596" s="45" t="s">
        <v>176</v>
      </c>
      <c r="F596" s="44" t="s">
        <v>177</v>
      </c>
      <c r="G596" s="44" t="str">
        <f t="shared" si="1"/>
        <v>Augusto</v>
      </c>
      <c r="H596" s="46" t="s">
        <v>107</v>
      </c>
      <c r="I596" s="46" t="s">
        <v>24</v>
      </c>
      <c r="J596" s="44" t="str">
        <f t="shared" si="7"/>
        <v>Não</v>
      </c>
      <c r="K596" s="47">
        <v>45056.0</v>
      </c>
      <c r="L596" s="62"/>
      <c r="M596" s="45" t="s">
        <v>55</v>
      </c>
      <c r="N596" s="48">
        <v>0.012</v>
      </c>
      <c r="O596" s="44" t="s">
        <v>24</v>
      </c>
      <c r="P596" s="49">
        <v>0.0</v>
      </c>
      <c r="Q596" s="139"/>
      <c r="R596" s="50" t="s">
        <v>2021</v>
      </c>
      <c r="S596" s="45" t="s">
        <v>108</v>
      </c>
      <c r="T596" s="24" t="s">
        <v>2022</v>
      </c>
      <c r="U596" s="9" t="s">
        <v>152</v>
      </c>
      <c r="V596" s="51" t="str">
        <f t="shared" si="8"/>
        <v>Ativo</v>
      </c>
      <c r="W596" s="45"/>
      <c r="X596" s="52" t="s">
        <v>110</v>
      </c>
      <c r="Y596" s="54"/>
      <c r="Z596" s="54"/>
      <c r="AA596" s="54"/>
      <c r="AB596" s="54"/>
      <c r="AC596" s="54"/>
      <c r="AD596" s="54"/>
      <c r="AE596" s="54">
        <v>0.0</v>
      </c>
      <c r="AF596" s="54">
        <v>0.0</v>
      </c>
      <c r="AG596" s="54">
        <v>0.0</v>
      </c>
      <c r="AH596" s="54">
        <v>341945.34</v>
      </c>
      <c r="AI596" s="54">
        <v>345033.68</v>
      </c>
      <c r="AJ596" s="54">
        <v>348396.55</v>
      </c>
      <c r="AK596" s="54">
        <v>351124.95</v>
      </c>
      <c r="AL596" s="54">
        <v>354086.89</v>
      </c>
      <c r="AM596" s="54">
        <v>356598.26</v>
      </c>
      <c r="AN596" s="54">
        <v>359308.27</v>
      </c>
      <c r="AO596" s="54">
        <v>362599.84</v>
      </c>
      <c r="AP596" s="53">
        <v>365566.08</v>
      </c>
      <c r="AQ596" s="53">
        <v>337962.6</v>
      </c>
      <c r="AR596" s="53">
        <v>340466.57</v>
      </c>
      <c r="AS596" s="53">
        <v>326997.2</v>
      </c>
      <c r="AT596" s="53">
        <v>313661.8</v>
      </c>
      <c r="AU596" s="53">
        <f t="array" ref="AU596">XLOOKUP(C596,'PL TOTAL D0'!A:A,'PL TOTAL D0'!C:C,"")</f>
        <v>314625.8</v>
      </c>
    </row>
    <row r="597" ht="15.75" customHeight="1">
      <c r="A597" s="41" t="s">
        <v>43</v>
      </c>
      <c r="B597" s="61" t="s">
        <v>2019</v>
      </c>
      <c r="C597" s="43" t="s">
        <v>2023</v>
      </c>
      <c r="D597" s="44" t="s">
        <v>18</v>
      </c>
      <c r="E597" s="45" t="s">
        <v>176</v>
      </c>
      <c r="F597" s="44" t="s">
        <v>177</v>
      </c>
      <c r="G597" s="44" t="str">
        <f t="shared" si="1"/>
        <v>Breno</v>
      </c>
      <c r="H597" s="46" t="s">
        <v>107</v>
      </c>
      <c r="I597" s="46" t="s">
        <v>24</v>
      </c>
      <c r="J597" s="44" t="str">
        <f t="shared" si="7"/>
        <v>Não</v>
      </c>
      <c r="K597" s="47">
        <v>45034.0</v>
      </c>
      <c r="L597" s="45"/>
      <c r="M597" s="45" t="s">
        <v>194</v>
      </c>
      <c r="N597" s="48">
        <v>0.008</v>
      </c>
      <c r="O597" s="44" t="s">
        <v>195</v>
      </c>
      <c r="P597" s="49">
        <v>0.1</v>
      </c>
      <c r="Q597" s="139"/>
      <c r="R597" s="139"/>
      <c r="S597" s="45" t="s">
        <v>108</v>
      </c>
      <c r="T597" s="24" t="s">
        <v>2022</v>
      </c>
      <c r="U597" s="9" t="s">
        <v>152</v>
      </c>
      <c r="V597" s="51" t="str">
        <f t="shared" si="8"/>
        <v>Ativo</v>
      </c>
      <c r="W597" s="45"/>
      <c r="X597" s="52" t="s">
        <v>110</v>
      </c>
      <c r="Y597" s="54"/>
      <c r="Z597" s="54"/>
      <c r="AA597" s="54"/>
      <c r="AB597" s="54"/>
      <c r="AC597" s="54"/>
      <c r="AD597" s="54"/>
      <c r="AE597" s="54">
        <v>0.0</v>
      </c>
      <c r="AF597" s="54">
        <v>545084.31</v>
      </c>
      <c r="AG597" s="54">
        <v>579285.01</v>
      </c>
      <c r="AH597" s="54">
        <v>604195.66</v>
      </c>
      <c r="AI597" s="54">
        <v>619206.82</v>
      </c>
      <c r="AJ597" s="54">
        <v>624915.15</v>
      </c>
      <c r="AK597" s="54">
        <v>629675.94</v>
      </c>
      <c r="AL597" s="54">
        <v>618554.44</v>
      </c>
      <c r="AM597" s="54">
        <v>629953.34</v>
      </c>
      <c r="AN597" s="54">
        <v>645323.53</v>
      </c>
      <c r="AO597" s="54">
        <v>645658.4</v>
      </c>
      <c r="AP597" s="53">
        <v>658727.99</v>
      </c>
      <c r="AQ597" s="53">
        <v>663847.98</v>
      </c>
      <c r="AR597" s="53">
        <v>654171.76</v>
      </c>
      <c r="AS597" s="53">
        <v>651639.8</v>
      </c>
      <c r="AT597" s="53">
        <v>647001.2</v>
      </c>
      <c r="AU597" s="53">
        <f t="array" ref="AU597">XLOOKUP(C597,'PL TOTAL D0'!A:A,'PL TOTAL D0'!C:C,"")</f>
        <v>655085</v>
      </c>
    </row>
    <row r="598" ht="15.75" customHeight="1">
      <c r="A598" s="41" t="s">
        <v>43</v>
      </c>
      <c r="B598" s="61" t="s">
        <v>2019</v>
      </c>
      <c r="C598" s="43" t="s">
        <v>2024</v>
      </c>
      <c r="D598" s="44" t="s">
        <v>18</v>
      </c>
      <c r="E598" s="45" t="s">
        <v>176</v>
      </c>
      <c r="F598" s="44" t="s">
        <v>177</v>
      </c>
      <c r="G598" s="44" t="str">
        <f t="shared" si="1"/>
        <v>Breno</v>
      </c>
      <c r="H598" s="46" t="s">
        <v>107</v>
      </c>
      <c r="I598" s="46" t="s">
        <v>24</v>
      </c>
      <c r="J598" s="44" t="str">
        <f t="shared" si="7"/>
        <v>Sim</v>
      </c>
      <c r="K598" s="47">
        <v>45034.0</v>
      </c>
      <c r="L598" s="45"/>
      <c r="M598" s="45" t="s">
        <v>55</v>
      </c>
      <c r="N598" s="48">
        <v>0.012</v>
      </c>
      <c r="O598" s="44" t="s">
        <v>24</v>
      </c>
      <c r="P598" s="49">
        <v>0.0</v>
      </c>
      <c r="Q598" s="73" t="s">
        <v>2025</v>
      </c>
      <c r="R598" s="74"/>
      <c r="S598" s="45" t="s">
        <v>108</v>
      </c>
      <c r="T598" s="24" t="s">
        <v>2022</v>
      </c>
      <c r="U598" s="9" t="s">
        <v>152</v>
      </c>
      <c r="V598" s="51" t="str">
        <f t="shared" si="8"/>
        <v>Ativo</v>
      </c>
      <c r="W598" s="45"/>
      <c r="X598" s="52" t="s">
        <v>110</v>
      </c>
      <c r="Y598" s="54"/>
      <c r="Z598" s="54"/>
      <c r="AA598" s="54"/>
      <c r="AB598" s="54"/>
      <c r="AC598" s="54"/>
      <c r="AD598" s="54"/>
      <c r="AE598" s="54">
        <v>0.0</v>
      </c>
      <c r="AF598" s="54">
        <v>773689.8</v>
      </c>
      <c r="AG598" s="54">
        <v>959768.12</v>
      </c>
      <c r="AH598" s="54">
        <v>621659.37</v>
      </c>
      <c r="AI598" s="54">
        <v>564875.41</v>
      </c>
      <c r="AJ598" s="54">
        <v>570213.32</v>
      </c>
      <c r="AK598" s="54">
        <v>566734.95</v>
      </c>
      <c r="AL598" s="54">
        <v>559509.81</v>
      </c>
      <c r="AM598" s="54">
        <v>563466.37</v>
      </c>
      <c r="AN598" s="54">
        <v>567959.82</v>
      </c>
      <c r="AO598" s="54">
        <v>572510.06</v>
      </c>
      <c r="AP598" s="53">
        <v>566750.13</v>
      </c>
      <c r="AQ598" s="53">
        <v>554805.92</v>
      </c>
      <c r="AR598" s="53">
        <v>546484.35</v>
      </c>
      <c r="AS598" s="53">
        <v>550537.5</v>
      </c>
      <c r="AT598" s="53">
        <v>553943.7</v>
      </c>
      <c r="AU598" s="53">
        <f t="array" ref="AU598">XLOOKUP(C598,'PL TOTAL D0'!A:A,'PL TOTAL D0'!C:C,"")</f>
        <v>555865.2</v>
      </c>
    </row>
    <row r="599" ht="15.75" customHeight="1">
      <c r="A599" s="41" t="s">
        <v>43</v>
      </c>
      <c r="B599" s="42" t="s">
        <v>2026</v>
      </c>
      <c r="C599" s="43" t="s">
        <v>2027</v>
      </c>
      <c r="D599" s="44" t="s">
        <v>18</v>
      </c>
      <c r="E599" s="45" t="s">
        <v>176</v>
      </c>
      <c r="F599" s="44" t="s">
        <v>197</v>
      </c>
      <c r="G599" s="44" t="str">
        <f t="shared" si="1"/>
        <v>Augusto</v>
      </c>
      <c r="H599" s="46" t="s">
        <v>107</v>
      </c>
      <c r="I599" s="46" t="s">
        <v>24</v>
      </c>
      <c r="J599" s="44" t="str">
        <f t="shared" si="7"/>
        <v>Não</v>
      </c>
      <c r="K599" s="47">
        <v>45159.0</v>
      </c>
      <c r="L599" s="62"/>
      <c r="M599" s="45" t="s">
        <v>47</v>
      </c>
      <c r="N599" s="48">
        <v>0.015</v>
      </c>
      <c r="O599" s="44" t="s">
        <v>48</v>
      </c>
      <c r="P599" s="49">
        <v>0.1</v>
      </c>
      <c r="Q599" s="74"/>
      <c r="R599" s="60" t="s">
        <v>2028</v>
      </c>
      <c r="S599" s="45" t="s">
        <v>108</v>
      </c>
      <c r="T599" s="24" t="s">
        <v>2029</v>
      </c>
      <c r="U599" s="9" t="s">
        <v>791</v>
      </c>
      <c r="V599" s="51" t="str">
        <f t="shared" si="8"/>
        <v>Ativo</v>
      </c>
      <c r="W599" s="45"/>
      <c r="X599" s="52" t="s">
        <v>110</v>
      </c>
      <c r="Y599" s="54"/>
      <c r="Z599" s="54"/>
      <c r="AA599" s="54"/>
      <c r="AB599" s="54"/>
      <c r="AC599" s="54">
        <v>0.0</v>
      </c>
      <c r="AD599" s="54">
        <v>0.0</v>
      </c>
      <c r="AE599" s="54">
        <v>0.0</v>
      </c>
      <c r="AF599" s="54">
        <v>0.0</v>
      </c>
      <c r="AG599" s="54">
        <v>0.0</v>
      </c>
      <c r="AH599" s="54">
        <v>0.0</v>
      </c>
      <c r="AI599" s="54">
        <v>0.0</v>
      </c>
      <c r="AJ599" s="54">
        <v>169304.0</v>
      </c>
      <c r="AK599" s="54">
        <v>178411.71</v>
      </c>
      <c r="AL599" s="54">
        <v>178119.97</v>
      </c>
      <c r="AM599" s="54">
        <v>182529.06</v>
      </c>
      <c r="AN599" s="54">
        <v>186264.3</v>
      </c>
      <c r="AO599" s="54">
        <v>183385.5</v>
      </c>
      <c r="AP599" s="53">
        <v>184894.13</v>
      </c>
      <c r="AQ599" s="53">
        <v>185296.17</v>
      </c>
      <c r="AR599" s="53">
        <v>183844.14</v>
      </c>
      <c r="AS599" s="53">
        <v>183219.6</v>
      </c>
      <c r="AT599" s="53">
        <v>184367.2</v>
      </c>
      <c r="AU599" s="53">
        <f t="array" ref="AU599">XLOOKUP(C599,'PL TOTAL D0'!A:A,'PL TOTAL D0'!C:C,"")</f>
        <v>187160.9</v>
      </c>
    </row>
    <row r="600" ht="15.75" customHeight="1">
      <c r="A600" s="6" t="s">
        <v>43</v>
      </c>
      <c r="B600" s="20" t="s">
        <v>2030</v>
      </c>
      <c r="C600" s="21" t="s">
        <v>2031</v>
      </c>
      <c r="D600" s="9" t="s">
        <v>18</v>
      </c>
      <c r="E600" s="24" t="s">
        <v>29</v>
      </c>
      <c r="F600" s="9" t="s">
        <v>128</v>
      </c>
      <c r="G600" s="44" t="str">
        <f t="shared" si="1"/>
        <v>Augusto</v>
      </c>
      <c r="H600" s="51" t="s">
        <v>107</v>
      </c>
      <c r="I600" s="51" t="s">
        <v>24</v>
      </c>
      <c r="J600" s="44" t="str">
        <f t="shared" si="7"/>
        <v>Não</v>
      </c>
      <c r="K600" s="57">
        <v>44996.0</v>
      </c>
      <c r="L600" s="62"/>
      <c r="M600" s="24" t="s">
        <v>47</v>
      </c>
      <c r="N600" s="58">
        <v>0.015</v>
      </c>
      <c r="O600" s="9" t="s">
        <v>48</v>
      </c>
      <c r="P600" s="59">
        <v>0.0</v>
      </c>
      <c r="Q600" s="60"/>
      <c r="R600" s="60"/>
      <c r="S600" s="24" t="s">
        <v>108</v>
      </c>
      <c r="T600" s="23" t="s">
        <v>2032</v>
      </c>
      <c r="U600" s="9" t="s">
        <v>29</v>
      </c>
      <c r="V600" s="51" t="str">
        <f t="shared" si="8"/>
        <v>Ativo</v>
      </c>
      <c r="W600" s="45"/>
      <c r="X600" s="52" t="s">
        <v>119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3"/>
      <c r="AQ600" s="53">
        <v>0.0</v>
      </c>
      <c r="AR600" s="53">
        <v>154173.34</v>
      </c>
      <c r="AS600" s="53">
        <v>157791.6</v>
      </c>
      <c r="AT600" s="53">
        <v>163154.2</v>
      </c>
      <c r="AU600" s="53">
        <f t="array" ref="AU600">XLOOKUP(C600,'PL TOTAL D0'!A:A,'PL TOTAL D0'!C:C,"")</f>
        <v>170372.5</v>
      </c>
    </row>
    <row r="601" ht="15.75" customHeight="1">
      <c r="A601" s="41" t="s">
        <v>43</v>
      </c>
      <c r="B601" s="66" t="s">
        <v>2033</v>
      </c>
      <c r="C601" s="81" t="s">
        <v>2034</v>
      </c>
      <c r="D601" s="44" t="s">
        <v>105</v>
      </c>
      <c r="E601" s="45" t="s">
        <v>29</v>
      </c>
      <c r="F601" s="44" t="s">
        <v>412</v>
      </c>
      <c r="G601" s="44" t="str">
        <f t="shared" si="1"/>
        <v>#N/A</v>
      </c>
      <c r="H601" s="51" t="s">
        <v>186</v>
      </c>
      <c r="I601" s="51" t="s">
        <v>24</v>
      </c>
      <c r="J601" s="44" t="str">
        <f t="shared" si="7"/>
        <v>Não</v>
      </c>
      <c r="K601" s="47">
        <v>45177.0</v>
      </c>
      <c r="L601" s="68">
        <v>45449.0</v>
      </c>
      <c r="M601" s="45" t="s">
        <v>55</v>
      </c>
      <c r="N601" s="48">
        <v>0.005</v>
      </c>
      <c r="O601" s="44" t="s">
        <v>24</v>
      </c>
      <c r="P601" s="49">
        <v>0.0</v>
      </c>
      <c r="Q601" s="233"/>
      <c r="R601" s="60" t="s">
        <v>239</v>
      </c>
      <c r="S601" s="45" t="s">
        <v>108</v>
      </c>
      <c r="T601" s="24" t="s">
        <v>2035</v>
      </c>
      <c r="U601" s="9" t="s">
        <v>29</v>
      </c>
      <c r="V601" s="51" t="str">
        <f t="shared" si="8"/>
        <v>Encerrado</v>
      </c>
      <c r="W601" s="45"/>
      <c r="X601" s="52" t="s">
        <v>110</v>
      </c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>
        <v>218126.16</v>
      </c>
      <c r="AK601" s="54">
        <v>239118.78</v>
      </c>
      <c r="AL601" s="54">
        <v>244551.99</v>
      </c>
      <c r="AM601" s="54">
        <v>0.0</v>
      </c>
      <c r="AN601" s="54">
        <v>0.0</v>
      </c>
      <c r="AO601" s="54">
        <v>0.0</v>
      </c>
      <c r="AP601" s="53">
        <v>0.0</v>
      </c>
      <c r="AQ601" s="53">
        <v>0.0</v>
      </c>
      <c r="AR601" s="53">
        <v>0.0</v>
      </c>
      <c r="AS601" s="53">
        <v>0.0</v>
      </c>
      <c r="AT601" s="53">
        <v>0.0</v>
      </c>
      <c r="AU601" s="53" t="str">
        <f t="array" ref="AU601">XLOOKUP(C601,'PL TOTAL D0'!A:A,'PL TOTAL D0'!C:C,"")</f>
        <v/>
      </c>
    </row>
    <row r="602" ht="15.75" customHeight="1">
      <c r="A602" s="41" t="s">
        <v>43</v>
      </c>
      <c r="B602" s="61" t="s">
        <v>2036</v>
      </c>
      <c r="C602" s="43" t="s">
        <v>2037</v>
      </c>
      <c r="D602" s="44" t="s">
        <v>105</v>
      </c>
      <c r="E602" s="45" t="s">
        <v>29</v>
      </c>
      <c r="F602" s="44" t="s">
        <v>106</v>
      </c>
      <c r="G602" s="44" t="str">
        <f t="shared" si="1"/>
        <v>Breno</v>
      </c>
      <c r="H602" s="46" t="s">
        <v>107</v>
      </c>
      <c r="I602" s="46" t="s">
        <v>24</v>
      </c>
      <c r="J602" s="44" t="str">
        <f t="shared" si="7"/>
        <v>Não</v>
      </c>
      <c r="K602" s="62">
        <v>45105.0</v>
      </c>
      <c r="L602" s="62"/>
      <c r="M602" s="45" t="s">
        <v>47</v>
      </c>
      <c r="N602" s="117">
        <v>0.016</v>
      </c>
      <c r="O602" s="45" t="s">
        <v>48</v>
      </c>
      <c r="P602" s="118">
        <v>0.2</v>
      </c>
      <c r="Q602" s="50"/>
      <c r="R602" s="50"/>
      <c r="S602" s="45" t="s">
        <v>369</v>
      </c>
      <c r="T602" s="24" t="s">
        <v>2038</v>
      </c>
      <c r="U602" s="24" t="s">
        <v>34</v>
      </c>
      <c r="V602" s="51" t="str">
        <f t="shared" si="8"/>
        <v>Ativo</v>
      </c>
      <c r="W602" s="45"/>
      <c r="X602" s="52" t="s">
        <v>119</v>
      </c>
      <c r="Y602" s="234"/>
      <c r="Z602" s="234"/>
      <c r="AA602" s="234"/>
      <c r="AB602" s="234"/>
      <c r="AC602" s="234"/>
      <c r="AD602" s="234"/>
      <c r="AE602" s="234"/>
      <c r="AF602" s="54">
        <v>0.0</v>
      </c>
      <c r="AG602" s="54">
        <v>0.0</v>
      </c>
      <c r="AH602" s="54">
        <v>297526.94</v>
      </c>
      <c r="AI602" s="54">
        <v>483333.15</v>
      </c>
      <c r="AJ602" s="54">
        <v>491270.74</v>
      </c>
      <c r="AK602" s="54">
        <v>494652.08</v>
      </c>
      <c r="AL602" s="54">
        <v>495607.59</v>
      </c>
      <c r="AM602" s="54">
        <v>506447.09</v>
      </c>
      <c r="AN602" s="54">
        <v>516749.55</v>
      </c>
      <c r="AO602" s="54">
        <v>505670.98</v>
      </c>
      <c r="AP602" s="53">
        <v>459026.09</v>
      </c>
      <c r="AQ602" s="53">
        <v>463317.5</v>
      </c>
      <c r="AR602" s="53">
        <v>459552.18</v>
      </c>
      <c r="AS602" s="53">
        <v>456077.4</v>
      </c>
      <c r="AT602" s="53">
        <v>458283.0</v>
      </c>
      <c r="AU602" s="53">
        <f t="array" ref="AU602">XLOOKUP(C602,'PL TOTAL D0'!A:A,'PL TOTAL D0'!C:C,"")</f>
        <v>434582.1</v>
      </c>
    </row>
    <row r="603" ht="15.75" customHeight="1">
      <c r="A603" s="41" t="s">
        <v>43</v>
      </c>
      <c r="B603" s="42" t="s">
        <v>2039</v>
      </c>
      <c r="C603" s="43" t="s">
        <v>2040</v>
      </c>
      <c r="D603" s="44" t="s">
        <v>18</v>
      </c>
      <c r="E603" s="45" t="s">
        <v>19</v>
      </c>
      <c r="F603" s="45" t="s">
        <v>213</v>
      </c>
      <c r="G603" s="44" t="str">
        <f t="shared" si="1"/>
        <v>Bruno</v>
      </c>
      <c r="H603" s="46" t="s">
        <v>107</v>
      </c>
      <c r="I603" s="46" t="s">
        <v>24</v>
      </c>
      <c r="J603" s="44" t="str">
        <f t="shared" si="7"/>
        <v>Não</v>
      </c>
      <c r="K603" s="62">
        <v>45162.0</v>
      </c>
      <c r="L603" s="45"/>
      <c r="M603" s="45" t="s">
        <v>55</v>
      </c>
      <c r="N603" s="117">
        <v>0.012</v>
      </c>
      <c r="O603" s="44" t="s">
        <v>24</v>
      </c>
      <c r="P603" s="49">
        <v>0.0</v>
      </c>
      <c r="Q603" s="74"/>
      <c r="R603" s="74"/>
      <c r="S603" s="45" t="s">
        <v>369</v>
      </c>
      <c r="T603" s="24" t="s">
        <v>2041</v>
      </c>
      <c r="U603" s="24" t="s">
        <v>19</v>
      </c>
      <c r="V603" s="51" t="str">
        <f t="shared" si="8"/>
        <v>Ativo</v>
      </c>
      <c r="W603" s="45"/>
      <c r="X603" s="52" t="s">
        <v>119</v>
      </c>
      <c r="Y603" s="234"/>
      <c r="Z603" s="234"/>
      <c r="AA603" s="234"/>
      <c r="AB603" s="234"/>
      <c r="AC603" s="234"/>
      <c r="AD603" s="234"/>
      <c r="AE603" s="234"/>
      <c r="AF603" s="54"/>
      <c r="AG603" s="54"/>
      <c r="AH603" s="54"/>
      <c r="AI603" s="54"/>
      <c r="AJ603" s="54">
        <v>450929.66</v>
      </c>
      <c r="AK603" s="54">
        <v>454884.96</v>
      </c>
      <c r="AL603" s="54">
        <v>459118.81</v>
      </c>
      <c r="AM603" s="54">
        <v>461300.92</v>
      </c>
      <c r="AN603" s="54">
        <v>966123.99</v>
      </c>
      <c r="AO603" s="54">
        <v>975509.87</v>
      </c>
      <c r="AP603" s="53">
        <v>983112.91</v>
      </c>
      <c r="AQ603" s="53">
        <v>990177.55</v>
      </c>
      <c r="AR603" s="53">
        <v>996757.63</v>
      </c>
      <c r="AS603" s="53">
        <v>1004683.0</v>
      </c>
      <c r="AT603" s="53">
        <v>1012349.0</v>
      </c>
      <c r="AU603" s="53">
        <f t="array" ref="AU603">XLOOKUP(C603,'PL TOTAL D0'!A:A,'PL TOTAL D0'!C:C,"")</f>
        <v>1015360</v>
      </c>
    </row>
    <row r="604" ht="15.75" customHeight="1">
      <c r="A604" s="41" t="s">
        <v>43</v>
      </c>
      <c r="B604" s="61" t="s">
        <v>2042</v>
      </c>
      <c r="C604" s="43" t="s">
        <v>2043</v>
      </c>
      <c r="D604" s="44" t="s">
        <v>18</v>
      </c>
      <c r="E604" s="45" t="s">
        <v>19</v>
      </c>
      <c r="F604" s="45" t="s">
        <v>20</v>
      </c>
      <c r="G604" s="44" t="str">
        <f t="shared" si="1"/>
        <v>Augusto</v>
      </c>
      <c r="H604" s="51" t="s">
        <v>107</v>
      </c>
      <c r="I604" s="51" t="s">
        <v>24</v>
      </c>
      <c r="J604" s="44" t="str">
        <f t="shared" si="7"/>
        <v>Não</v>
      </c>
      <c r="K604" s="62">
        <v>44998.0</v>
      </c>
      <c r="L604" s="45"/>
      <c r="M604" s="24" t="s">
        <v>55</v>
      </c>
      <c r="N604" s="214">
        <v>0.012</v>
      </c>
      <c r="O604" s="24" t="s">
        <v>24</v>
      </c>
      <c r="P604" s="216">
        <v>0.0</v>
      </c>
      <c r="Q604" s="73"/>
      <c r="R604" s="73" t="s">
        <v>593</v>
      </c>
      <c r="S604" s="45" t="s">
        <v>108</v>
      </c>
      <c r="T604" s="24" t="s">
        <v>2044</v>
      </c>
      <c r="U604" s="24" t="s">
        <v>19</v>
      </c>
      <c r="V604" s="51" t="str">
        <f t="shared" si="8"/>
        <v>Ativo</v>
      </c>
      <c r="W604" s="45"/>
      <c r="X604" s="52" t="s">
        <v>119</v>
      </c>
      <c r="Y604" s="234"/>
      <c r="Z604" s="234"/>
      <c r="AA604" s="234"/>
      <c r="AB604" s="234"/>
      <c r="AC604" s="234"/>
      <c r="AD604" s="234"/>
      <c r="AE604" s="54">
        <v>104644.56</v>
      </c>
      <c r="AF604" s="54">
        <v>105009.13</v>
      </c>
      <c r="AG604" s="54">
        <v>106396.79</v>
      </c>
      <c r="AH604" s="54">
        <v>107496.6</v>
      </c>
      <c r="AI604" s="54">
        <v>108349.8</v>
      </c>
      <c r="AJ604" s="54">
        <v>109392.57</v>
      </c>
      <c r="AK604" s="54">
        <v>110247.12</v>
      </c>
      <c r="AL604" s="54">
        <v>110627.56</v>
      </c>
      <c r="AM604" s="54">
        <v>111444.63</v>
      </c>
      <c r="AN604" s="54">
        <v>112292.46</v>
      </c>
      <c r="AO604" s="54">
        <v>113253.94</v>
      </c>
      <c r="AP604" s="53">
        <v>114113.36</v>
      </c>
      <c r="AQ604" s="53">
        <v>114480.81</v>
      </c>
      <c r="AR604" s="53">
        <v>115185.13</v>
      </c>
      <c r="AS604" s="53">
        <v>116080.1</v>
      </c>
      <c r="AT604" s="53">
        <v>116953.1</v>
      </c>
      <c r="AU604" s="53">
        <f t="array" ref="AU604">XLOOKUP(C604,'PL TOTAL D0'!A:A,'PL TOTAL D0'!C:C,"")</f>
        <v>116403.9</v>
      </c>
    </row>
    <row r="605" ht="15.75" customHeight="1">
      <c r="A605" s="41" t="s">
        <v>43</v>
      </c>
      <c r="B605" s="42" t="s">
        <v>2045</v>
      </c>
      <c r="C605" s="43" t="s">
        <v>2046</v>
      </c>
      <c r="D605" s="44" t="s">
        <v>105</v>
      </c>
      <c r="E605" s="45" t="s">
        <v>29</v>
      </c>
      <c r="F605" s="44" t="s">
        <v>2047</v>
      </c>
      <c r="G605" s="44" t="str">
        <f t="shared" si="1"/>
        <v>#N/A</v>
      </c>
      <c r="H605" s="46" t="s">
        <v>186</v>
      </c>
      <c r="I605" s="46" t="s">
        <v>24</v>
      </c>
      <c r="J605" s="44" t="str">
        <f t="shared" si="7"/>
        <v>Não</v>
      </c>
      <c r="K605" s="47">
        <v>44932.0</v>
      </c>
      <c r="L605" s="123">
        <v>45259.0</v>
      </c>
      <c r="M605" s="45" t="s">
        <v>55</v>
      </c>
      <c r="N605" s="48">
        <v>0.012</v>
      </c>
      <c r="O605" s="44" t="s">
        <v>24</v>
      </c>
      <c r="P605" s="49">
        <v>0.0</v>
      </c>
      <c r="Q605" s="139"/>
      <c r="R605" s="139"/>
      <c r="S605" s="45" t="s">
        <v>108</v>
      </c>
      <c r="T605" s="24" t="s">
        <v>2048</v>
      </c>
      <c r="U605" s="9" t="s">
        <v>34</v>
      </c>
      <c r="V605" s="51" t="str">
        <f t="shared" si="8"/>
        <v>Encerrado</v>
      </c>
      <c r="W605" s="45"/>
      <c r="X605" s="52"/>
      <c r="Y605" s="54"/>
      <c r="Z605" s="54"/>
      <c r="AA605" s="54"/>
      <c r="AB605" s="54"/>
      <c r="AC605" s="54"/>
      <c r="AD605" s="54">
        <v>802748.34</v>
      </c>
      <c r="AE605" s="54">
        <v>913671.31</v>
      </c>
      <c r="AF605" s="54">
        <v>918724.54</v>
      </c>
      <c r="AG605" s="54">
        <v>579356.6</v>
      </c>
      <c r="AH605" s="54">
        <v>583264.52</v>
      </c>
      <c r="AI605" s="54">
        <v>584594.91</v>
      </c>
      <c r="AJ605" s="54">
        <v>585634.41</v>
      </c>
      <c r="AK605" s="54">
        <v>587784.24</v>
      </c>
      <c r="AL605" s="54">
        <v>588943.46</v>
      </c>
      <c r="AM605" s="54">
        <v>0.0</v>
      </c>
      <c r="AN605" s="54">
        <v>0.0</v>
      </c>
      <c r="AO605" s="54">
        <v>0.0</v>
      </c>
      <c r="AP605" s="53">
        <v>0.0</v>
      </c>
      <c r="AQ605" s="53">
        <v>0.0</v>
      </c>
      <c r="AR605" s="53">
        <v>0.0</v>
      </c>
      <c r="AS605" s="53">
        <v>0.0</v>
      </c>
      <c r="AT605" s="53">
        <v>0.0</v>
      </c>
      <c r="AU605" s="53" t="str">
        <f t="array" ref="AU605">XLOOKUP(C605,'PL TOTAL D0'!A:A,'PL TOTAL D0'!C:C,"")</f>
        <v/>
      </c>
    </row>
    <row r="606" ht="15.75" customHeight="1">
      <c r="A606" s="41" t="s">
        <v>43</v>
      </c>
      <c r="B606" s="42" t="s">
        <v>2049</v>
      </c>
      <c r="C606" s="43" t="s">
        <v>2050</v>
      </c>
      <c r="D606" s="44" t="s">
        <v>18</v>
      </c>
      <c r="E606" s="45" t="s">
        <v>19</v>
      </c>
      <c r="F606" s="44" t="s">
        <v>122</v>
      </c>
      <c r="G606" s="44" t="str">
        <f t="shared" si="1"/>
        <v>Bruno</v>
      </c>
      <c r="H606" s="46" t="s">
        <v>107</v>
      </c>
      <c r="I606" s="46" t="s">
        <v>24</v>
      </c>
      <c r="J606" s="44" t="str">
        <f t="shared" si="7"/>
        <v>Não</v>
      </c>
      <c r="K606" s="47">
        <v>44946.0</v>
      </c>
      <c r="L606" s="45"/>
      <c r="M606" s="45" t="s">
        <v>55</v>
      </c>
      <c r="N606" s="48">
        <v>0.007</v>
      </c>
      <c r="O606" s="44" t="s">
        <v>24</v>
      </c>
      <c r="P606" s="49">
        <v>0.0</v>
      </c>
      <c r="Q606" s="139"/>
      <c r="R606" s="139"/>
      <c r="S606" s="45" t="s">
        <v>108</v>
      </c>
      <c r="T606" s="24" t="s">
        <v>2051</v>
      </c>
      <c r="U606" s="9" t="s">
        <v>19</v>
      </c>
      <c r="V606" s="51" t="str">
        <f t="shared" si="8"/>
        <v>Ativo</v>
      </c>
      <c r="W606" s="45"/>
      <c r="X606" s="52" t="s">
        <v>110</v>
      </c>
      <c r="Y606" s="54"/>
      <c r="Z606" s="54"/>
      <c r="AA606" s="54"/>
      <c r="AB606" s="54"/>
      <c r="AC606" s="54">
        <v>849130.06</v>
      </c>
      <c r="AD606" s="54">
        <v>876298.99</v>
      </c>
      <c r="AE606" s="54">
        <v>877861.49</v>
      </c>
      <c r="AF606" s="54">
        <v>883858.74</v>
      </c>
      <c r="AG606" s="54">
        <v>890507.37</v>
      </c>
      <c r="AH606" s="54">
        <v>896950.17</v>
      </c>
      <c r="AI606" s="54">
        <v>904259.97</v>
      </c>
      <c r="AJ606" s="54">
        <v>912107.56</v>
      </c>
      <c r="AK606" s="54">
        <v>929489.91</v>
      </c>
      <c r="AL606" s="54">
        <v>937853.27</v>
      </c>
      <c r="AM606" s="54">
        <v>969637.0</v>
      </c>
      <c r="AN606" s="54">
        <v>987498.22</v>
      </c>
      <c r="AO606" s="54">
        <v>895831.28</v>
      </c>
      <c r="AP606" s="53">
        <v>1000404.98</v>
      </c>
      <c r="AQ606" s="53">
        <v>1153441.88</v>
      </c>
      <c r="AR606" s="53">
        <v>1296844.74</v>
      </c>
      <c r="AS606" s="53">
        <v>1307658.0</v>
      </c>
      <c r="AT606" s="53">
        <v>1302396.0</v>
      </c>
      <c r="AU606" s="53">
        <f t="array" ref="AU606">XLOOKUP(C606,'PL TOTAL D0'!A:A,'PL TOTAL D0'!C:C,"")</f>
        <v>1294719</v>
      </c>
    </row>
    <row r="607" ht="15.75" customHeight="1">
      <c r="A607" s="41" t="s">
        <v>43</v>
      </c>
      <c r="B607" s="42" t="s">
        <v>2052</v>
      </c>
      <c r="C607" s="43" t="s">
        <v>2053</v>
      </c>
      <c r="D607" s="44" t="s">
        <v>18</v>
      </c>
      <c r="E607" s="45" t="s">
        <v>19</v>
      </c>
      <c r="F607" s="44" t="s">
        <v>122</v>
      </c>
      <c r="G607" s="44" t="str">
        <f t="shared" si="1"/>
        <v>Augusto</v>
      </c>
      <c r="H607" s="46" t="s">
        <v>107</v>
      </c>
      <c r="I607" s="46" t="s">
        <v>24</v>
      </c>
      <c r="J607" s="44" t="str">
        <f t="shared" si="7"/>
        <v>Sim</v>
      </c>
      <c r="K607" s="47">
        <v>45030.0</v>
      </c>
      <c r="L607" s="45"/>
      <c r="M607" s="45" t="s">
        <v>55</v>
      </c>
      <c r="N607" s="48">
        <v>0.012</v>
      </c>
      <c r="O607" s="44" t="s">
        <v>24</v>
      </c>
      <c r="P607" s="49">
        <v>0.0</v>
      </c>
      <c r="Q607" s="60" t="s">
        <v>2054</v>
      </c>
      <c r="R607" s="139"/>
      <c r="S607" s="45" t="s">
        <v>108</v>
      </c>
      <c r="T607" s="24" t="s">
        <v>2051</v>
      </c>
      <c r="U607" s="9" t="s">
        <v>19</v>
      </c>
      <c r="V607" s="51" t="str">
        <f t="shared" si="8"/>
        <v>Ativo</v>
      </c>
      <c r="W607" s="45"/>
      <c r="X607" s="52" t="s">
        <v>110</v>
      </c>
      <c r="Y607" s="54"/>
      <c r="Z607" s="54"/>
      <c r="AA607" s="54"/>
      <c r="AB607" s="54"/>
      <c r="AC607" s="54"/>
      <c r="AD607" s="54"/>
      <c r="AE607" s="54">
        <v>0.0</v>
      </c>
      <c r="AF607" s="54">
        <v>49866.06</v>
      </c>
      <c r="AG607" s="54">
        <v>50389.96</v>
      </c>
      <c r="AH607" s="54">
        <v>50830.05</v>
      </c>
      <c r="AI607" s="54">
        <v>51225.61</v>
      </c>
      <c r="AJ607" s="54">
        <v>51722.59</v>
      </c>
      <c r="AK607" s="54">
        <v>52143.83</v>
      </c>
      <c r="AL607" s="54">
        <v>52450.33</v>
      </c>
      <c r="AM607" s="54">
        <v>52839.24</v>
      </c>
      <c r="AN607" s="54">
        <v>53233.35</v>
      </c>
      <c r="AO607" s="54">
        <v>53566.67</v>
      </c>
      <c r="AP607" s="53">
        <v>53987.41</v>
      </c>
      <c r="AQ607" s="53">
        <v>154454.13</v>
      </c>
      <c r="AR607" s="53">
        <v>205889.6</v>
      </c>
      <c r="AS607" s="53">
        <v>207476.4</v>
      </c>
      <c r="AT607" s="53">
        <v>209130.0</v>
      </c>
      <c r="AU607" s="53">
        <f t="array" ref="AU607">XLOOKUP(C607,'PL TOTAL D0'!A:A,'PL TOTAL D0'!C:C,"")</f>
        <v>209815.4</v>
      </c>
    </row>
    <row r="608" ht="15.75" customHeight="1">
      <c r="A608" s="41" t="s">
        <v>43</v>
      </c>
      <c r="B608" s="235" t="s">
        <v>2055</v>
      </c>
      <c r="C608" s="43" t="s">
        <v>2056</v>
      </c>
      <c r="D608" s="44" t="s">
        <v>18</v>
      </c>
      <c r="E608" s="45" t="s">
        <v>19</v>
      </c>
      <c r="F608" s="44" t="s">
        <v>213</v>
      </c>
      <c r="G608" s="44" t="str">
        <f t="shared" si="1"/>
        <v>Breno</v>
      </c>
      <c r="H608" s="46" t="s">
        <v>107</v>
      </c>
      <c r="I608" s="46" t="s">
        <v>24</v>
      </c>
      <c r="J608" s="44" t="str">
        <f t="shared" si="7"/>
        <v>Não</v>
      </c>
      <c r="K608" s="47">
        <v>45086.0</v>
      </c>
      <c r="L608" s="45"/>
      <c r="M608" s="45" t="s">
        <v>55</v>
      </c>
      <c r="N608" s="48">
        <v>0.012</v>
      </c>
      <c r="O608" s="44" t="s">
        <v>24</v>
      </c>
      <c r="P608" s="49">
        <v>0.0</v>
      </c>
      <c r="Q608" s="139"/>
      <c r="R608" s="139"/>
      <c r="S608" s="45" t="s">
        <v>108</v>
      </c>
      <c r="T608" s="24" t="s">
        <v>2057</v>
      </c>
      <c r="U608" s="9" t="s">
        <v>19</v>
      </c>
      <c r="V608" s="51" t="str">
        <f t="shared" si="8"/>
        <v>Ativo</v>
      </c>
      <c r="W608" s="45"/>
      <c r="X608" s="52" t="s">
        <v>119</v>
      </c>
      <c r="Y608" s="54"/>
      <c r="Z608" s="54"/>
      <c r="AA608" s="54"/>
      <c r="AB608" s="54"/>
      <c r="AC608" s="54"/>
      <c r="AD608" s="54"/>
      <c r="AE608" s="54"/>
      <c r="AF608" s="54">
        <v>0.0</v>
      </c>
      <c r="AG608" s="54">
        <v>0.0</v>
      </c>
      <c r="AH608" s="54">
        <v>449191.02</v>
      </c>
      <c r="AI608" s="54">
        <v>451876.08</v>
      </c>
      <c r="AJ608" s="54">
        <v>454771.05</v>
      </c>
      <c r="AK608" s="54">
        <v>454815.67</v>
      </c>
      <c r="AL608" s="54">
        <v>455268.96</v>
      </c>
      <c r="AM608" s="54">
        <v>459331.33</v>
      </c>
      <c r="AN608" s="54">
        <v>463926.66</v>
      </c>
      <c r="AO608" s="54">
        <v>467515.65</v>
      </c>
      <c r="AP608" s="53">
        <v>470343.37</v>
      </c>
      <c r="AQ608" s="53">
        <v>473331.37</v>
      </c>
      <c r="AR608" s="53">
        <v>471690.24</v>
      </c>
      <c r="AS608" s="53">
        <v>474405.0</v>
      </c>
      <c r="AT608" s="53">
        <v>475544.0</v>
      </c>
      <c r="AU608" s="53">
        <f t="array" ref="AU608">XLOOKUP(C608,'PL TOTAL D0'!A:A,'PL TOTAL D0'!C:C,"")</f>
        <v>477076.2</v>
      </c>
    </row>
    <row r="609" ht="15.75" customHeight="1">
      <c r="A609" s="41" t="s">
        <v>43</v>
      </c>
      <c r="B609" s="55" t="s">
        <v>2058</v>
      </c>
      <c r="C609" s="43" t="s">
        <v>2059</v>
      </c>
      <c r="D609" s="44" t="s">
        <v>18</v>
      </c>
      <c r="E609" s="45" t="s">
        <v>29</v>
      </c>
      <c r="F609" s="44" t="s">
        <v>60</v>
      </c>
      <c r="G609" s="44" t="str">
        <f t="shared" si="1"/>
        <v>Bruno</v>
      </c>
      <c r="H609" s="46" t="s">
        <v>107</v>
      </c>
      <c r="I609" s="46" t="s">
        <v>24</v>
      </c>
      <c r="J609" s="44" t="str">
        <f t="shared" si="7"/>
        <v>Sim</v>
      </c>
      <c r="K609" s="47">
        <v>44992.0</v>
      </c>
      <c r="L609" s="45"/>
      <c r="M609" s="45" t="s">
        <v>55</v>
      </c>
      <c r="N609" s="48">
        <v>0.008</v>
      </c>
      <c r="O609" s="44" t="s">
        <v>24</v>
      </c>
      <c r="P609" s="49">
        <v>0.0</v>
      </c>
      <c r="Q609" s="60" t="s">
        <v>2060</v>
      </c>
      <c r="R609" s="139"/>
      <c r="S609" s="45" t="s">
        <v>108</v>
      </c>
      <c r="T609" s="24" t="s">
        <v>2061</v>
      </c>
      <c r="U609" s="9" t="s">
        <v>29</v>
      </c>
      <c r="V609" s="51" t="str">
        <f t="shared" si="8"/>
        <v>Ativo</v>
      </c>
      <c r="W609" s="45"/>
      <c r="X609" s="52" t="s">
        <v>110</v>
      </c>
      <c r="Y609" s="54"/>
      <c r="Z609" s="54"/>
      <c r="AA609" s="54"/>
      <c r="AB609" s="54"/>
      <c r="AC609" s="54"/>
      <c r="AD609" s="54">
        <v>0.0</v>
      </c>
      <c r="AE609" s="54">
        <v>1893864.24</v>
      </c>
      <c r="AF609" s="54">
        <v>2000594.47</v>
      </c>
      <c r="AG609" s="54">
        <v>2168757.62</v>
      </c>
      <c r="AH609" s="54">
        <v>2206209.9</v>
      </c>
      <c r="AI609" s="54">
        <v>2223135.83</v>
      </c>
      <c r="AJ609" s="54">
        <v>2249409.44</v>
      </c>
      <c r="AK609" s="54">
        <v>2268957.8</v>
      </c>
      <c r="AL609" s="54">
        <v>2277468.78</v>
      </c>
      <c r="AM609" s="54">
        <v>2351206.03</v>
      </c>
      <c r="AN609" s="54">
        <v>2493194.17</v>
      </c>
      <c r="AO609" s="54">
        <v>2548688.83</v>
      </c>
      <c r="AP609" s="53">
        <v>2571543.79</v>
      </c>
      <c r="AQ609" s="53">
        <v>2795806.8</v>
      </c>
      <c r="AR609" s="53">
        <v>2804842.65</v>
      </c>
      <c r="AS609" s="53">
        <v>2877093.0</v>
      </c>
      <c r="AT609" s="53">
        <v>2894067.0</v>
      </c>
      <c r="AU609" s="53">
        <f t="array" ref="AU609">XLOOKUP(C609,'PL TOTAL D0'!A:A,'PL TOTAL D0'!C:C,"")</f>
        <v>3000887</v>
      </c>
    </row>
    <row r="610" ht="15.75" customHeight="1">
      <c r="A610" s="41" t="s">
        <v>43</v>
      </c>
      <c r="B610" s="55" t="s">
        <v>2062</v>
      </c>
      <c r="C610" s="56" t="s">
        <v>2063</v>
      </c>
      <c r="D610" s="9" t="s">
        <v>105</v>
      </c>
      <c r="E610" s="24" t="s">
        <v>29</v>
      </c>
      <c r="F610" s="9" t="s">
        <v>146</v>
      </c>
      <c r="G610" s="44" t="str">
        <f t="shared" si="1"/>
        <v>#N/A</v>
      </c>
      <c r="H610" s="51" t="s">
        <v>147</v>
      </c>
      <c r="I610" s="51" t="s">
        <v>148</v>
      </c>
      <c r="J610" s="44" t="str">
        <f t="shared" si="7"/>
        <v>Não</v>
      </c>
      <c r="K610" s="57">
        <v>45455.0</v>
      </c>
      <c r="L610" s="45"/>
      <c r="M610" s="24" t="s">
        <v>149</v>
      </c>
      <c r="N610" s="58">
        <v>0.003</v>
      </c>
      <c r="O610" s="9" t="s">
        <v>24</v>
      </c>
      <c r="P610" s="59">
        <v>0.0</v>
      </c>
      <c r="Q610" s="60"/>
      <c r="R610" s="139"/>
      <c r="S610" s="24" t="s">
        <v>108</v>
      </c>
      <c r="T610" s="24" t="s">
        <v>2064</v>
      </c>
      <c r="U610" s="9" t="s">
        <v>152</v>
      </c>
      <c r="V610" s="51" t="str">
        <f t="shared" si="8"/>
        <v>Ativo</v>
      </c>
      <c r="W610" s="24" t="s">
        <v>75</v>
      </c>
      <c r="X610" s="52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3"/>
      <c r="AQ610" s="53"/>
      <c r="AR610" s="53"/>
      <c r="AS610" s="53"/>
      <c r="AT610" s="53">
        <v>0.0</v>
      </c>
      <c r="AU610" s="53" t="str">
        <f t="array" ref="AU610">XLOOKUP(C610,'PL TOTAL D0'!A:A,'PL TOTAL D0'!C:C,"")</f>
        <v/>
      </c>
    </row>
    <row r="611" ht="15.75" customHeight="1">
      <c r="A611" s="41" t="s">
        <v>43</v>
      </c>
      <c r="B611" s="42" t="s">
        <v>2065</v>
      </c>
      <c r="C611" s="43" t="s">
        <v>2066</v>
      </c>
      <c r="D611" s="44" t="s">
        <v>18</v>
      </c>
      <c r="E611" s="45" t="s">
        <v>176</v>
      </c>
      <c r="F611" s="44" t="s">
        <v>177</v>
      </c>
      <c r="G611" s="44" t="str">
        <f t="shared" si="1"/>
        <v>Augusto</v>
      </c>
      <c r="H611" s="46" t="s">
        <v>107</v>
      </c>
      <c r="I611" s="46" t="s">
        <v>24</v>
      </c>
      <c r="J611" s="44" t="str">
        <f t="shared" si="7"/>
        <v>Não</v>
      </c>
      <c r="K611" s="47">
        <v>45260.0</v>
      </c>
      <c r="L611" s="45"/>
      <c r="M611" s="45" t="s">
        <v>190</v>
      </c>
      <c r="N611" s="48">
        <v>0.025</v>
      </c>
      <c r="O611" s="44" t="s">
        <v>191</v>
      </c>
      <c r="P611" s="49">
        <v>0.2</v>
      </c>
      <c r="Q611" s="74"/>
      <c r="R611" s="50"/>
      <c r="S611" s="45" t="s">
        <v>108</v>
      </c>
      <c r="T611" s="24" t="s">
        <v>2067</v>
      </c>
      <c r="U611" s="9" t="s">
        <v>180</v>
      </c>
      <c r="V611" s="51" t="str">
        <f t="shared" si="8"/>
        <v>Ativo</v>
      </c>
      <c r="W611" s="45"/>
      <c r="X611" s="52" t="s">
        <v>110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>
        <v>0.0</v>
      </c>
      <c r="AN611" s="54">
        <v>36835.9</v>
      </c>
      <c r="AO611" s="54">
        <v>36047.55</v>
      </c>
      <c r="AP611" s="53">
        <v>38109.64</v>
      </c>
      <c r="AQ611" s="53">
        <v>40194.98</v>
      </c>
      <c r="AR611" s="53">
        <v>40411.36</v>
      </c>
      <c r="AS611" s="53">
        <v>40485.71</v>
      </c>
      <c r="AT611" s="53">
        <v>42057.79</v>
      </c>
      <c r="AU611" s="53">
        <f t="array" ref="AU611">XLOOKUP(C611,'PL TOTAL D0'!A:A,'PL TOTAL D0'!C:C,"")</f>
        <v>43856.45</v>
      </c>
    </row>
    <row r="612" ht="15.75" customHeight="1">
      <c r="A612" s="41" t="s">
        <v>43</v>
      </c>
      <c r="B612" s="42" t="s">
        <v>2065</v>
      </c>
      <c r="C612" s="43" t="s">
        <v>2068</v>
      </c>
      <c r="D612" s="44" t="s">
        <v>18</v>
      </c>
      <c r="E612" s="45" t="s">
        <v>176</v>
      </c>
      <c r="F612" s="44" t="s">
        <v>177</v>
      </c>
      <c r="G612" s="44" t="str">
        <f t="shared" si="1"/>
        <v>Augusto</v>
      </c>
      <c r="H612" s="46" t="s">
        <v>107</v>
      </c>
      <c r="I612" s="46" t="s">
        <v>24</v>
      </c>
      <c r="J612" s="44" t="str">
        <f t="shared" si="7"/>
        <v>Não</v>
      </c>
      <c r="K612" s="47">
        <v>45071.0</v>
      </c>
      <c r="L612" s="45"/>
      <c r="M612" s="45" t="s">
        <v>79</v>
      </c>
      <c r="N612" s="48">
        <v>0.012</v>
      </c>
      <c r="O612" s="44" t="s">
        <v>24</v>
      </c>
      <c r="P612" s="49">
        <v>0.0</v>
      </c>
      <c r="Q612" s="74"/>
      <c r="R612" s="60" t="s">
        <v>2069</v>
      </c>
      <c r="S612" s="45" t="s">
        <v>108</v>
      </c>
      <c r="T612" s="24" t="s">
        <v>2067</v>
      </c>
      <c r="U612" s="9" t="s">
        <v>180</v>
      </c>
      <c r="V612" s="51" t="str">
        <f t="shared" si="8"/>
        <v>Ativo</v>
      </c>
      <c r="W612" s="45"/>
      <c r="X612" s="52" t="s">
        <v>110</v>
      </c>
      <c r="Y612" s="54"/>
      <c r="Z612" s="54"/>
      <c r="AA612" s="54"/>
      <c r="AB612" s="54"/>
      <c r="AC612" s="54"/>
      <c r="AD612" s="54"/>
      <c r="AE612" s="54">
        <v>0.0</v>
      </c>
      <c r="AF612" s="54">
        <v>4494.36</v>
      </c>
      <c r="AG612" s="54">
        <v>9048.26</v>
      </c>
      <c r="AH612" s="54">
        <v>59569.73</v>
      </c>
      <c r="AI612" s="54">
        <v>64630.92</v>
      </c>
      <c r="AJ612" s="54">
        <v>69593.19</v>
      </c>
      <c r="AK612" s="54">
        <v>73684.92</v>
      </c>
      <c r="AL612" s="54">
        <v>78381.66</v>
      </c>
      <c r="AM612" s="54">
        <v>83617.39</v>
      </c>
      <c r="AN612" s="54">
        <v>89160.8</v>
      </c>
      <c r="AO612" s="54">
        <v>93530.33</v>
      </c>
      <c r="AP612" s="53">
        <v>98857.87</v>
      </c>
      <c r="AQ612" s="53">
        <v>104300.0</v>
      </c>
      <c r="AR612" s="53">
        <v>108339.94</v>
      </c>
      <c r="AS612" s="53">
        <v>113573.9</v>
      </c>
      <c r="AT612" s="53">
        <v>119364.1</v>
      </c>
      <c r="AU612" s="53">
        <f t="array" ref="AU612">XLOOKUP(C612,'PL TOTAL D0'!A:A,'PL TOTAL D0'!C:C,"")</f>
        <v>120450.3</v>
      </c>
    </row>
    <row r="613" ht="15.75" customHeight="1">
      <c r="A613" s="41" t="s">
        <v>43</v>
      </c>
      <c r="B613" s="42" t="s">
        <v>2070</v>
      </c>
      <c r="C613" s="43" t="s">
        <v>2071</v>
      </c>
      <c r="D613" s="44" t="s">
        <v>18</v>
      </c>
      <c r="E613" s="45" t="s">
        <v>19</v>
      </c>
      <c r="F613" s="44" t="s">
        <v>256</v>
      </c>
      <c r="G613" s="44" t="str">
        <f t="shared" si="1"/>
        <v>Augusto</v>
      </c>
      <c r="H613" s="46" t="s">
        <v>107</v>
      </c>
      <c r="I613" s="46" t="s">
        <v>24</v>
      </c>
      <c r="J613" s="44" t="str">
        <f t="shared" si="7"/>
        <v>Não</v>
      </c>
      <c r="K613" s="47">
        <v>44951.0</v>
      </c>
      <c r="L613" s="45"/>
      <c r="M613" s="45" t="s">
        <v>269</v>
      </c>
      <c r="N613" s="48">
        <v>0.025</v>
      </c>
      <c r="O613" s="44" t="s">
        <v>48</v>
      </c>
      <c r="P613" s="49">
        <v>0.2</v>
      </c>
      <c r="Q613" s="139"/>
      <c r="R613" s="139"/>
      <c r="S613" s="45" t="s">
        <v>108</v>
      </c>
      <c r="T613" s="24" t="s">
        <v>2072</v>
      </c>
      <c r="U613" s="9" t="s">
        <v>29</v>
      </c>
      <c r="V613" s="51" t="str">
        <f t="shared" si="8"/>
        <v>Ativo</v>
      </c>
      <c r="W613" s="45"/>
      <c r="X613" s="52" t="s">
        <v>119</v>
      </c>
      <c r="Y613" s="54"/>
      <c r="Z613" s="54"/>
      <c r="AA613" s="54"/>
      <c r="AB613" s="54">
        <v>0.5</v>
      </c>
      <c r="AC613" s="54">
        <v>129462.59</v>
      </c>
      <c r="AD613" s="54">
        <v>144797.29</v>
      </c>
      <c r="AE613" s="54">
        <v>145316.61</v>
      </c>
      <c r="AF613" s="54">
        <v>145842.39</v>
      </c>
      <c r="AG613" s="54">
        <v>147938.64</v>
      </c>
      <c r="AH613" s="54">
        <v>152357.62</v>
      </c>
      <c r="AI613" s="54">
        <v>156012.55</v>
      </c>
      <c r="AJ613" s="54">
        <v>154568.8</v>
      </c>
      <c r="AK613" s="54">
        <v>194407.84</v>
      </c>
      <c r="AL613" s="54">
        <v>193488.64</v>
      </c>
      <c r="AM613" s="54">
        <v>200174.42</v>
      </c>
      <c r="AN613" s="54">
        <v>205376.18</v>
      </c>
      <c r="AO613" s="54">
        <v>197933.0</v>
      </c>
      <c r="AP613" s="53">
        <v>199573.02</v>
      </c>
      <c r="AQ613" s="53">
        <v>216644.68</v>
      </c>
      <c r="AR613" s="53">
        <v>213157.32</v>
      </c>
      <c r="AS613" s="53">
        <v>210811.6</v>
      </c>
      <c r="AT613" s="53">
        <v>211610.3</v>
      </c>
      <c r="AU613" s="53">
        <f t="array" ref="AU613">XLOOKUP(C613,'PL TOTAL D0'!A:A,'PL TOTAL D0'!C:C,"")</f>
        <v>215874.7</v>
      </c>
    </row>
    <row r="614" ht="15.75" customHeight="1">
      <c r="A614" s="41" t="s">
        <v>43</v>
      </c>
      <c r="B614" s="42" t="s">
        <v>2073</v>
      </c>
      <c r="C614" s="43" t="s">
        <v>2074</v>
      </c>
      <c r="D614" s="44" t="s">
        <v>18</v>
      </c>
      <c r="E614" s="45" t="s">
        <v>29</v>
      </c>
      <c r="F614" s="9" t="s">
        <v>632</v>
      </c>
      <c r="G614" s="44" t="str">
        <f t="shared" si="1"/>
        <v>Augusto</v>
      </c>
      <c r="H614" s="51" t="s">
        <v>147</v>
      </c>
      <c r="I614" s="51" t="s">
        <v>219</v>
      </c>
      <c r="J614" s="44" t="str">
        <f t="shared" si="7"/>
        <v>Não</v>
      </c>
      <c r="K614" s="47">
        <v>45042.0</v>
      </c>
      <c r="L614" s="45"/>
      <c r="M614" s="45" t="s">
        <v>269</v>
      </c>
      <c r="N614" s="48">
        <v>0.02</v>
      </c>
      <c r="O614" s="44" t="s">
        <v>48</v>
      </c>
      <c r="P614" s="49">
        <v>0.2</v>
      </c>
      <c r="Q614" s="60"/>
      <c r="R614" s="70" t="s">
        <v>2075</v>
      </c>
      <c r="S614" s="45" t="s">
        <v>108</v>
      </c>
      <c r="T614" s="24" t="s">
        <v>2076</v>
      </c>
      <c r="U614" s="9" t="s">
        <v>29</v>
      </c>
      <c r="V614" s="51" t="str">
        <f t="shared" si="8"/>
        <v>Ativo</v>
      </c>
      <c r="W614" s="45"/>
      <c r="X614" s="52" t="s">
        <v>119</v>
      </c>
      <c r="Y614" s="54"/>
      <c r="Z614" s="54"/>
      <c r="AA614" s="54"/>
      <c r="AB614" s="54"/>
      <c r="AC614" s="54"/>
      <c r="AD614" s="54"/>
      <c r="AE614" s="54"/>
      <c r="AF614" s="54">
        <v>504162.28</v>
      </c>
      <c r="AG614" s="54">
        <v>618853.27</v>
      </c>
      <c r="AH614" s="54">
        <v>636897.62</v>
      </c>
      <c r="AI614" s="54">
        <v>652844.08</v>
      </c>
      <c r="AJ614" s="54">
        <v>641406.1</v>
      </c>
      <c r="AK614" s="54">
        <v>642259.74</v>
      </c>
      <c r="AL614" s="54">
        <v>635116.45</v>
      </c>
      <c r="AM614" s="54">
        <v>657145.17</v>
      </c>
      <c r="AN614" s="54">
        <v>674875.78</v>
      </c>
      <c r="AO614" s="54">
        <v>651865.15</v>
      </c>
      <c r="AP614" s="53">
        <v>575384.85</v>
      </c>
      <c r="AQ614" s="53">
        <v>582727.07</v>
      </c>
      <c r="AR614" s="53">
        <v>918.37</v>
      </c>
      <c r="AS614" s="53">
        <v>918.37</v>
      </c>
      <c r="AT614" s="53">
        <v>967.08</v>
      </c>
      <c r="AU614" s="53">
        <f t="array" ref="AU614">XLOOKUP(C614,'PL TOTAL D0'!A:A,'PL TOTAL D0'!C:C,"")</f>
        <v>967.08</v>
      </c>
    </row>
    <row r="615" ht="15.75" customHeight="1">
      <c r="A615" s="41" t="s">
        <v>43</v>
      </c>
      <c r="B615" s="61" t="s">
        <v>2077</v>
      </c>
      <c r="C615" s="43" t="s">
        <v>2078</v>
      </c>
      <c r="D615" s="44" t="s">
        <v>105</v>
      </c>
      <c r="E615" s="45" t="s">
        <v>29</v>
      </c>
      <c r="F615" s="44" t="s">
        <v>2079</v>
      </c>
      <c r="G615" s="44" t="str">
        <f t="shared" si="1"/>
        <v>Augusto</v>
      </c>
      <c r="H615" s="51" t="s">
        <v>147</v>
      </c>
      <c r="I615" s="46" t="s">
        <v>24</v>
      </c>
      <c r="J615" s="44" t="str">
        <f t="shared" si="7"/>
        <v>Sim</v>
      </c>
      <c r="K615" s="47">
        <v>45012.0</v>
      </c>
      <c r="L615" s="45"/>
      <c r="M615" s="45" t="s">
        <v>47</v>
      </c>
      <c r="N615" s="48">
        <v>0.015</v>
      </c>
      <c r="O615" s="44" t="s">
        <v>48</v>
      </c>
      <c r="P615" s="49">
        <v>0.1</v>
      </c>
      <c r="Q615" s="174" t="s">
        <v>2080</v>
      </c>
      <c r="R615" s="139"/>
      <c r="S615" s="45" t="s">
        <v>108</v>
      </c>
      <c r="T615" s="24" t="s">
        <v>2081</v>
      </c>
      <c r="U615" s="9" t="s">
        <v>29</v>
      </c>
      <c r="V615" s="51" t="str">
        <f t="shared" si="8"/>
        <v>Ativo</v>
      </c>
      <c r="W615" s="45"/>
      <c r="X615" s="52" t="s">
        <v>119</v>
      </c>
      <c r="Y615" s="54"/>
      <c r="Z615" s="54"/>
      <c r="AA615" s="54"/>
      <c r="AB615" s="54"/>
      <c r="AC615" s="54"/>
      <c r="AD615" s="54"/>
      <c r="AE615" s="54">
        <v>350337.58</v>
      </c>
      <c r="AF615" s="54">
        <v>351903.67</v>
      </c>
      <c r="AG615" s="54">
        <v>340102.23</v>
      </c>
      <c r="AH615" s="54">
        <v>332995.49</v>
      </c>
      <c r="AI615" s="54">
        <v>314336.41</v>
      </c>
      <c r="AJ615" s="54">
        <v>242316.62</v>
      </c>
      <c r="AK615" s="54">
        <v>213072.17</v>
      </c>
      <c r="AL615" s="54">
        <v>172288.07</v>
      </c>
      <c r="AM615" s="54">
        <v>135635.54</v>
      </c>
      <c r="AN615" s="54">
        <v>82464.94</v>
      </c>
      <c r="AO615" s="54">
        <v>50275.19</v>
      </c>
      <c r="AP615" s="53">
        <v>16773.51</v>
      </c>
      <c r="AQ615" s="53">
        <v>16731.64</v>
      </c>
      <c r="AR615" s="53">
        <v>16735.57</v>
      </c>
      <c r="AS615" s="53">
        <v>16733.84</v>
      </c>
      <c r="AT615" s="53">
        <v>16736.52</v>
      </c>
      <c r="AU615" s="53">
        <f t="array" ref="AU615">XLOOKUP(C615,'PL TOTAL D0'!A:A,'PL TOTAL D0'!C:C,"")</f>
        <v>16727.76</v>
      </c>
    </row>
    <row r="616" ht="15.75" customHeight="1">
      <c r="A616" s="41" t="s">
        <v>43</v>
      </c>
      <c r="B616" s="115" t="s">
        <v>2082</v>
      </c>
      <c r="C616" s="56" t="s">
        <v>2083</v>
      </c>
      <c r="D616" s="9" t="s">
        <v>105</v>
      </c>
      <c r="E616" s="24" t="s">
        <v>29</v>
      </c>
      <c r="F616" s="9" t="s">
        <v>2084</v>
      </c>
      <c r="G616" s="44" t="str">
        <f t="shared" si="1"/>
        <v>Bruno</v>
      </c>
      <c r="H616" s="51" t="s">
        <v>123</v>
      </c>
      <c r="I616" s="51" t="s">
        <v>24</v>
      </c>
      <c r="J616" s="44" t="str">
        <f t="shared" si="7"/>
        <v>Não</v>
      </c>
      <c r="K616" s="57">
        <v>45469.0</v>
      </c>
      <c r="L616" s="45"/>
      <c r="M616" s="24" t="s">
        <v>47</v>
      </c>
      <c r="N616" s="58">
        <v>0.01</v>
      </c>
      <c r="O616" s="9" t="s">
        <v>48</v>
      </c>
      <c r="P616" s="59">
        <v>0.1</v>
      </c>
      <c r="Q616" s="174"/>
      <c r="R616" s="139"/>
      <c r="S616" s="24" t="s">
        <v>108</v>
      </c>
      <c r="T616" s="24" t="s">
        <v>2085</v>
      </c>
      <c r="U616" s="9" t="s">
        <v>29</v>
      </c>
      <c r="V616" s="51" t="str">
        <f t="shared" si="8"/>
        <v>Ativo</v>
      </c>
      <c r="W616" s="24" t="s">
        <v>75</v>
      </c>
      <c r="X616" s="52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3"/>
      <c r="AQ616" s="53"/>
      <c r="AR616" s="53"/>
      <c r="AS616" s="53"/>
      <c r="AT616" s="53">
        <v>1026925.0</v>
      </c>
      <c r="AU616" s="53">
        <f t="array" ref="AU616">XLOOKUP(C616,'PL TOTAL D0'!A:A,'PL TOTAL D0'!C:C,"")</f>
        <v>1038650</v>
      </c>
    </row>
    <row r="617" ht="15.75" customHeight="1">
      <c r="A617" s="6" t="s">
        <v>43</v>
      </c>
      <c r="B617" s="55" t="s">
        <v>2086</v>
      </c>
      <c r="C617" s="56" t="s">
        <v>2087</v>
      </c>
      <c r="D617" s="9" t="s">
        <v>18</v>
      </c>
      <c r="E617" s="24" t="s">
        <v>29</v>
      </c>
      <c r="F617" s="9" t="s">
        <v>128</v>
      </c>
      <c r="G617" s="44" t="str">
        <f t="shared" si="1"/>
        <v>#N/A</v>
      </c>
      <c r="H617" s="51" t="s">
        <v>107</v>
      </c>
      <c r="I617" s="51" t="s">
        <v>24</v>
      </c>
      <c r="J617" s="44" t="str">
        <f t="shared" si="7"/>
        <v>Não</v>
      </c>
      <c r="K617" s="57">
        <v>45341.0</v>
      </c>
      <c r="L617" s="45"/>
      <c r="M617" s="24" t="s">
        <v>139</v>
      </c>
      <c r="N617" s="58">
        <v>0.01</v>
      </c>
      <c r="O617" s="9" t="s">
        <v>48</v>
      </c>
      <c r="P617" s="59">
        <v>0.0</v>
      </c>
      <c r="Q617" s="60"/>
      <c r="R617" s="139"/>
      <c r="S617" s="24" t="s">
        <v>108</v>
      </c>
      <c r="T617" s="24" t="s">
        <v>2088</v>
      </c>
      <c r="U617" s="9" t="s">
        <v>29</v>
      </c>
      <c r="V617" s="51" t="str">
        <f t="shared" si="8"/>
        <v>Ativo</v>
      </c>
      <c r="W617" s="45"/>
      <c r="X617" s="52" t="s">
        <v>119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3">
        <v>35089.67</v>
      </c>
      <c r="AQ617" s="53">
        <v>54451.84</v>
      </c>
      <c r="AR617" s="53">
        <v>54735.12</v>
      </c>
      <c r="AS617" s="53">
        <v>40428.39</v>
      </c>
      <c r="AT617" s="53">
        <v>0.0</v>
      </c>
      <c r="AU617" s="53" t="str">
        <f t="array" ref="AU617">XLOOKUP(C617,'PL TOTAL D0'!A:A,'PL TOTAL D0'!C:C,"")</f>
        <v/>
      </c>
    </row>
    <row r="618" ht="15.75" customHeight="1">
      <c r="A618" s="41" t="s">
        <v>43</v>
      </c>
      <c r="B618" s="42" t="s">
        <v>2089</v>
      </c>
      <c r="C618" s="43" t="s">
        <v>2090</v>
      </c>
      <c r="D618" s="44" t="s">
        <v>18</v>
      </c>
      <c r="E618" s="45" t="s">
        <v>29</v>
      </c>
      <c r="F618" s="44" t="s">
        <v>60</v>
      </c>
      <c r="G618" s="44" t="str">
        <f t="shared" si="1"/>
        <v>Augusto</v>
      </c>
      <c r="H618" s="51" t="s">
        <v>107</v>
      </c>
      <c r="I618" s="51" t="s">
        <v>24</v>
      </c>
      <c r="J618" s="44" t="str">
        <f t="shared" si="7"/>
        <v>Não</v>
      </c>
      <c r="K618" s="47">
        <v>45041.0</v>
      </c>
      <c r="L618" s="45"/>
      <c r="M618" s="45" t="s">
        <v>55</v>
      </c>
      <c r="N618" s="48">
        <v>0.007</v>
      </c>
      <c r="O618" s="44" t="s">
        <v>24</v>
      </c>
      <c r="P618" s="49">
        <v>0.0</v>
      </c>
      <c r="Q618" s="139"/>
      <c r="R618" s="139"/>
      <c r="S618" s="45" t="s">
        <v>108</v>
      </c>
      <c r="T618" s="24" t="s">
        <v>2091</v>
      </c>
      <c r="U618" s="9" t="s">
        <v>29</v>
      </c>
      <c r="V618" s="51" t="str">
        <f t="shared" si="8"/>
        <v>Ativo</v>
      </c>
      <c r="W618" s="45"/>
      <c r="X618" s="52" t="s">
        <v>119</v>
      </c>
      <c r="Y618" s="54"/>
      <c r="Z618" s="54"/>
      <c r="AA618" s="54"/>
      <c r="AB618" s="54"/>
      <c r="AC618" s="54"/>
      <c r="AD618" s="54"/>
      <c r="AE618" s="54">
        <v>0.0</v>
      </c>
      <c r="AF618" s="54">
        <v>107406.13</v>
      </c>
      <c r="AG618" s="54">
        <v>108108.28</v>
      </c>
      <c r="AH618" s="54">
        <v>107124.87</v>
      </c>
      <c r="AI618" s="54">
        <v>107989.96</v>
      </c>
      <c r="AJ618" s="54">
        <v>108656.69</v>
      </c>
      <c r="AK618" s="54">
        <v>109097.2</v>
      </c>
      <c r="AL618" s="54">
        <v>107631.81</v>
      </c>
      <c r="AM618" s="54">
        <v>109898.82</v>
      </c>
      <c r="AN618" s="54">
        <v>122192.3</v>
      </c>
      <c r="AO618" s="54">
        <v>138269.42</v>
      </c>
      <c r="AP618" s="53">
        <v>139093.12</v>
      </c>
      <c r="AQ618" s="53">
        <v>140285.0</v>
      </c>
      <c r="AR618" s="53">
        <v>155862.91</v>
      </c>
      <c r="AS618" s="53">
        <v>140794.6</v>
      </c>
      <c r="AT618" s="53">
        <v>141707.2</v>
      </c>
      <c r="AU618" s="53">
        <f t="array" ref="AU618">XLOOKUP(C618,'PL TOTAL D0'!A:A,'PL TOTAL D0'!C:C,"")</f>
        <v>138192.4</v>
      </c>
    </row>
    <row r="619" ht="15.75" customHeight="1">
      <c r="A619" s="41" t="s">
        <v>43</v>
      </c>
      <c r="B619" s="66" t="s">
        <v>2092</v>
      </c>
      <c r="C619" s="43" t="s">
        <v>2093</v>
      </c>
      <c r="D619" s="44" t="s">
        <v>18</v>
      </c>
      <c r="E619" s="45" t="s">
        <v>29</v>
      </c>
      <c r="F619" s="44" t="s">
        <v>294</v>
      </c>
      <c r="G619" s="44" t="str">
        <f t="shared" si="1"/>
        <v>#N/A</v>
      </c>
      <c r="H619" s="51" t="s">
        <v>147</v>
      </c>
      <c r="I619" s="46" t="s">
        <v>161</v>
      </c>
      <c r="J619" s="44" t="str">
        <f t="shared" si="7"/>
        <v>Não</v>
      </c>
      <c r="K619" s="47">
        <v>45218.0</v>
      </c>
      <c r="L619" s="45"/>
      <c r="M619" s="45" t="s">
        <v>129</v>
      </c>
      <c r="N619" s="48">
        <v>0.0</v>
      </c>
      <c r="O619" s="44" t="s">
        <v>24</v>
      </c>
      <c r="P619" s="49">
        <v>0.0</v>
      </c>
      <c r="Q619" s="139"/>
      <c r="R619" s="139"/>
      <c r="S619" s="45" t="s">
        <v>369</v>
      </c>
      <c r="T619" s="24" t="s">
        <v>2094</v>
      </c>
      <c r="U619" s="9" t="s">
        <v>29</v>
      </c>
      <c r="V619" s="51" t="str">
        <f t="shared" si="8"/>
        <v>Ativo</v>
      </c>
      <c r="W619" s="45"/>
      <c r="X619" s="52" t="s">
        <v>119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>
        <v>0.0</v>
      </c>
      <c r="AM619" s="54">
        <v>0.0</v>
      </c>
      <c r="AN619" s="54">
        <v>0.0</v>
      </c>
      <c r="AO619" s="54">
        <v>0.0</v>
      </c>
      <c r="AP619" s="53">
        <v>0.0</v>
      </c>
      <c r="AQ619" s="53">
        <v>0.0</v>
      </c>
      <c r="AR619" s="53">
        <v>0.0</v>
      </c>
      <c r="AS619" s="53">
        <v>0.0</v>
      </c>
      <c r="AT619" s="53">
        <v>0.0</v>
      </c>
      <c r="AU619" s="53" t="str">
        <f t="array" ref="AU619">XLOOKUP(C619,'PL TOTAL D0'!A:A,'PL TOTAL D0'!C:C,"")</f>
        <v/>
      </c>
    </row>
    <row r="620" ht="15.75" customHeight="1">
      <c r="A620" s="6" t="s">
        <v>43</v>
      </c>
      <c r="B620" s="64" t="s">
        <v>2095</v>
      </c>
      <c r="C620" s="65" t="s">
        <v>2096</v>
      </c>
      <c r="D620" s="9" t="s">
        <v>18</v>
      </c>
      <c r="E620" s="24" t="s">
        <v>29</v>
      </c>
      <c r="F620" s="9" t="s">
        <v>632</v>
      </c>
      <c r="G620" s="44" t="str">
        <f t="shared" si="1"/>
        <v>Augusto</v>
      </c>
      <c r="H620" s="51" t="s">
        <v>107</v>
      </c>
      <c r="I620" s="51" t="s">
        <v>24</v>
      </c>
      <c r="J620" s="44" t="str">
        <f>IF(Q619=0,"Não","Sim")</f>
        <v>Não</v>
      </c>
      <c r="K620" s="57">
        <v>45385.0</v>
      </c>
      <c r="L620" s="45"/>
      <c r="M620" s="24" t="s">
        <v>55</v>
      </c>
      <c r="N620" s="58">
        <v>0.012</v>
      </c>
      <c r="O620" s="9" t="s">
        <v>24</v>
      </c>
      <c r="P620" s="59">
        <v>0.0</v>
      </c>
      <c r="Q620" s="15" t="s">
        <v>2097</v>
      </c>
      <c r="R620" s="139"/>
      <c r="S620" s="24" t="s">
        <v>108</v>
      </c>
      <c r="T620" s="5" t="s">
        <v>2098</v>
      </c>
      <c r="U620" s="9" t="s">
        <v>29</v>
      </c>
      <c r="V620" s="51" t="str">
        <f t="shared" si="8"/>
        <v>Ativo</v>
      </c>
      <c r="W620" s="45"/>
      <c r="X620" s="52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3"/>
      <c r="AQ620" s="53"/>
      <c r="AR620" s="53">
        <v>148083.84</v>
      </c>
      <c r="AS620" s="53">
        <v>213173.1</v>
      </c>
      <c r="AT620" s="53">
        <v>241077.5</v>
      </c>
      <c r="AU620" s="53">
        <f t="array" ref="AU620">XLOOKUP(C620,'PL TOTAL D0'!A:A,'PL TOTAL D0'!C:C,"")</f>
        <v>244595.6</v>
      </c>
    </row>
    <row r="621" ht="15.75" customHeight="1">
      <c r="A621" s="41" t="s">
        <v>43</v>
      </c>
      <c r="B621" s="42" t="s">
        <v>2099</v>
      </c>
      <c r="C621" s="43" t="s">
        <v>2100</v>
      </c>
      <c r="D621" s="44" t="s">
        <v>18</v>
      </c>
      <c r="E621" s="45" t="s">
        <v>176</v>
      </c>
      <c r="F621" s="44" t="s">
        <v>177</v>
      </c>
      <c r="G621" s="44" t="str">
        <f t="shared" si="1"/>
        <v>Augusto</v>
      </c>
      <c r="H621" s="46" t="s">
        <v>147</v>
      </c>
      <c r="I621" s="46" t="s">
        <v>219</v>
      </c>
      <c r="J621" s="44" t="str">
        <f t="shared" ref="J621:J678" si="9">IF(Q621=0,"Não","Sim")</f>
        <v>Não</v>
      </c>
      <c r="K621" s="47">
        <v>45159.0</v>
      </c>
      <c r="L621" s="62"/>
      <c r="M621" s="45" t="s">
        <v>55</v>
      </c>
      <c r="N621" s="48">
        <v>0.012</v>
      </c>
      <c r="O621" s="44" t="s">
        <v>24</v>
      </c>
      <c r="P621" s="49">
        <v>0.0</v>
      </c>
      <c r="Q621" s="74"/>
      <c r="R621" s="236" t="s">
        <v>2101</v>
      </c>
      <c r="S621" s="45" t="s">
        <v>108</v>
      </c>
      <c r="T621" s="24" t="s">
        <v>2102</v>
      </c>
      <c r="U621" s="9" t="s">
        <v>180</v>
      </c>
      <c r="V621" s="51" t="str">
        <f t="shared" si="8"/>
        <v>Ativo</v>
      </c>
      <c r="W621" s="45"/>
      <c r="X621" s="52" t="s">
        <v>110</v>
      </c>
      <c r="Y621" s="54"/>
      <c r="Z621" s="54"/>
      <c r="AA621" s="54"/>
      <c r="AB621" s="54"/>
      <c r="AC621" s="54"/>
      <c r="AD621" s="54"/>
      <c r="AE621" s="54">
        <v>0.0</v>
      </c>
      <c r="AF621" s="54">
        <v>0.0</v>
      </c>
      <c r="AG621" s="54">
        <v>0.0</v>
      </c>
      <c r="AH621" s="54">
        <v>0.0</v>
      </c>
      <c r="AI621" s="54">
        <v>0.0</v>
      </c>
      <c r="AJ621" s="54">
        <v>48613.69</v>
      </c>
      <c r="AK621" s="54">
        <v>38676.69</v>
      </c>
      <c r="AL621" s="54">
        <v>0.05</v>
      </c>
      <c r="AM621" s="54">
        <v>0.05</v>
      </c>
      <c r="AN621" s="54">
        <v>0.05</v>
      </c>
      <c r="AO621" s="54">
        <v>0.05</v>
      </c>
      <c r="AP621" s="53">
        <v>0.16</v>
      </c>
      <c r="AQ621" s="53">
        <v>0.16</v>
      </c>
      <c r="AR621" s="53">
        <v>0.16</v>
      </c>
      <c r="AS621" s="53">
        <v>0.16</v>
      </c>
      <c r="AT621" s="53">
        <v>0.16</v>
      </c>
      <c r="AU621" s="53">
        <f t="array" ref="AU621">XLOOKUP(C621,'PL TOTAL D0'!A:A,'PL TOTAL D0'!C:C,"")</f>
        <v>0.16</v>
      </c>
    </row>
    <row r="622" ht="15.75" customHeight="1">
      <c r="A622" s="41" t="s">
        <v>43</v>
      </c>
      <c r="B622" s="42" t="s">
        <v>2103</v>
      </c>
      <c r="C622" s="43" t="s">
        <v>2104</v>
      </c>
      <c r="D622" s="44" t="s">
        <v>18</v>
      </c>
      <c r="E622" s="45" t="s">
        <v>29</v>
      </c>
      <c r="F622" s="44" t="s">
        <v>294</v>
      </c>
      <c r="G622" s="44" t="str">
        <f t="shared" si="1"/>
        <v>#N/A</v>
      </c>
      <c r="H622" s="46" t="s">
        <v>147</v>
      </c>
      <c r="I622" s="51" t="s">
        <v>161</v>
      </c>
      <c r="J622" s="44" t="str">
        <f t="shared" si="9"/>
        <v>Não</v>
      </c>
      <c r="K622" s="47">
        <v>45159.0</v>
      </c>
      <c r="L622" s="62"/>
      <c r="M622" s="45" t="s">
        <v>129</v>
      </c>
      <c r="N622" s="48">
        <v>0.0</v>
      </c>
      <c r="O622" s="44" t="s">
        <v>24</v>
      </c>
      <c r="P622" s="49">
        <v>0.0</v>
      </c>
      <c r="Q622" s="139"/>
      <c r="R622" s="237" t="s">
        <v>2105</v>
      </c>
      <c r="S622" s="45" t="s">
        <v>369</v>
      </c>
      <c r="T622" s="24" t="s">
        <v>2106</v>
      </c>
      <c r="U622" s="9" t="s">
        <v>29</v>
      </c>
      <c r="V622" s="51" t="str">
        <f t="shared" si="8"/>
        <v>Ativo</v>
      </c>
      <c r="W622" s="45"/>
      <c r="X622" s="52" t="s">
        <v>119</v>
      </c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>
        <v>0.0</v>
      </c>
      <c r="AJ622" s="54">
        <v>0.0</v>
      </c>
      <c r="AK622" s="54">
        <v>0.0</v>
      </c>
      <c r="AL622" s="54">
        <v>0.0</v>
      </c>
      <c r="AM622" s="54">
        <v>0.0</v>
      </c>
      <c r="AN622" s="54">
        <v>0.0</v>
      </c>
      <c r="AO622" s="54">
        <v>0.0</v>
      </c>
      <c r="AP622" s="53">
        <v>0.0</v>
      </c>
      <c r="AQ622" s="53">
        <v>0.0</v>
      </c>
      <c r="AR622" s="53">
        <v>0.0</v>
      </c>
      <c r="AS622" s="53">
        <v>0.0</v>
      </c>
      <c r="AT622" s="53">
        <v>0.0</v>
      </c>
      <c r="AU622" s="53" t="str">
        <f t="array" ref="AU622">XLOOKUP(C622,'PL TOTAL D0'!A:A,'PL TOTAL D0'!C:C,"")</f>
        <v/>
      </c>
    </row>
    <row r="623" ht="15.75" customHeight="1">
      <c r="A623" s="41" t="s">
        <v>43</v>
      </c>
      <c r="B623" s="55" t="s">
        <v>2107</v>
      </c>
      <c r="C623" s="43" t="s">
        <v>2108</v>
      </c>
      <c r="D623" s="44" t="s">
        <v>18</v>
      </c>
      <c r="E623" s="45" t="s">
        <v>19</v>
      </c>
      <c r="F623" s="44" t="s">
        <v>20</v>
      </c>
      <c r="G623" s="44" t="str">
        <f t="shared" si="1"/>
        <v>Bruno</v>
      </c>
      <c r="H623" s="46" t="s">
        <v>107</v>
      </c>
      <c r="I623" s="46" t="s">
        <v>24</v>
      </c>
      <c r="J623" s="44" t="str">
        <f t="shared" si="9"/>
        <v>Não</v>
      </c>
      <c r="K623" s="47">
        <v>44951.0</v>
      </c>
      <c r="L623" s="45"/>
      <c r="M623" s="45" t="s">
        <v>55</v>
      </c>
      <c r="N623" s="48">
        <v>0.012</v>
      </c>
      <c r="O623" s="44" t="s">
        <v>24</v>
      </c>
      <c r="P623" s="49">
        <v>0.0</v>
      </c>
      <c r="Q623" s="41"/>
      <c r="R623" s="60" t="s">
        <v>2109</v>
      </c>
      <c r="S623" s="45" t="s">
        <v>108</v>
      </c>
      <c r="T623" s="24" t="s">
        <v>2110</v>
      </c>
      <c r="U623" s="9" t="s">
        <v>19</v>
      </c>
      <c r="V623" s="51" t="str">
        <f t="shared" si="8"/>
        <v>Ativo</v>
      </c>
      <c r="W623" s="45"/>
      <c r="X623" s="52" t="s">
        <v>119</v>
      </c>
      <c r="Y623" s="54"/>
      <c r="Z623" s="54"/>
      <c r="AA623" s="54"/>
      <c r="AB623" s="54"/>
      <c r="AC623" s="54">
        <v>640201.03</v>
      </c>
      <c r="AD623" s="54">
        <v>841947.6</v>
      </c>
      <c r="AE623" s="54">
        <v>851371.63</v>
      </c>
      <c r="AF623" s="54">
        <v>857106.85</v>
      </c>
      <c r="AG623" s="54">
        <v>820233.94</v>
      </c>
      <c r="AH623" s="54">
        <v>782725.41</v>
      </c>
      <c r="AI623" s="54">
        <v>788355.82</v>
      </c>
      <c r="AJ623" s="54">
        <v>815467.53</v>
      </c>
      <c r="AK623" s="54">
        <v>821280.09</v>
      </c>
      <c r="AL623" s="54">
        <v>827608.99</v>
      </c>
      <c r="AM623" s="54">
        <v>833741.49</v>
      </c>
      <c r="AN623" s="54">
        <v>855396.58</v>
      </c>
      <c r="AO623" s="54">
        <v>862753.85</v>
      </c>
      <c r="AP623" s="53">
        <v>969583.34</v>
      </c>
      <c r="AQ623" s="53">
        <v>978638.13</v>
      </c>
      <c r="AR623" s="53">
        <v>986443.11</v>
      </c>
      <c r="AS623" s="53">
        <v>989632.5</v>
      </c>
      <c r="AT623" s="53">
        <v>1067985.0</v>
      </c>
      <c r="AU623" s="53">
        <f t="array" ref="AU623">XLOOKUP(C623,'PL TOTAL D0'!A:A,'PL TOTAL D0'!C:C,"")</f>
        <v>1067585</v>
      </c>
    </row>
    <row r="624" ht="15.75" customHeight="1">
      <c r="A624" s="41" t="s">
        <v>43</v>
      </c>
      <c r="B624" s="128" t="s">
        <v>2111</v>
      </c>
      <c r="C624" s="43" t="s">
        <v>2112</v>
      </c>
      <c r="D624" s="44" t="s">
        <v>18</v>
      </c>
      <c r="E624" s="45" t="s">
        <v>176</v>
      </c>
      <c r="F624" s="44" t="s">
        <v>197</v>
      </c>
      <c r="G624" s="44" t="str">
        <f t="shared" si="1"/>
        <v>Augusto</v>
      </c>
      <c r="H624" s="46" t="s">
        <v>107</v>
      </c>
      <c r="I624" s="46" t="s">
        <v>24</v>
      </c>
      <c r="J624" s="44" t="str">
        <f t="shared" si="9"/>
        <v>Não</v>
      </c>
      <c r="K624" s="47">
        <v>45075.0</v>
      </c>
      <c r="L624" s="45"/>
      <c r="M624" s="45" t="s">
        <v>55</v>
      </c>
      <c r="N624" s="48">
        <v>0.012</v>
      </c>
      <c r="O624" s="44" t="s">
        <v>24</v>
      </c>
      <c r="P624" s="49">
        <v>0.0</v>
      </c>
      <c r="Q624" s="139"/>
      <c r="R624" s="139"/>
      <c r="S624" s="45" t="s">
        <v>108</v>
      </c>
      <c r="T624" s="24" t="s">
        <v>2113</v>
      </c>
      <c r="U624" s="9" t="s">
        <v>180</v>
      </c>
      <c r="V624" s="51" t="str">
        <f t="shared" si="8"/>
        <v>Ativo</v>
      </c>
      <c r="W624" s="45"/>
      <c r="X624" s="52" t="s">
        <v>110</v>
      </c>
      <c r="Y624" s="54"/>
      <c r="Z624" s="54"/>
      <c r="AA624" s="54"/>
      <c r="AB624" s="54"/>
      <c r="AC624" s="54"/>
      <c r="AD624" s="54"/>
      <c r="AE624" s="54">
        <v>0.0</v>
      </c>
      <c r="AF624" s="54">
        <v>0.0</v>
      </c>
      <c r="AG624" s="54">
        <v>357473.9</v>
      </c>
      <c r="AH624" s="54">
        <v>352698.01</v>
      </c>
      <c r="AI624" s="54">
        <v>342580.44</v>
      </c>
      <c r="AJ624" s="54">
        <v>333648.49</v>
      </c>
      <c r="AK624" s="54">
        <v>323131.19</v>
      </c>
      <c r="AL624" s="54">
        <v>312639.69</v>
      </c>
      <c r="AM624" s="54">
        <v>315737.75</v>
      </c>
      <c r="AN624" s="54">
        <v>306187.49</v>
      </c>
      <c r="AO624" s="54">
        <v>292129.58</v>
      </c>
      <c r="AP624" s="53">
        <v>283839.87</v>
      </c>
      <c r="AQ624" s="53">
        <v>273707.75</v>
      </c>
      <c r="AR624" s="53">
        <v>250411.36</v>
      </c>
      <c r="AS624" s="53">
        <v>240760.1</v>
      </c>
      <c r="AT624" s="53">
        <v>231413.5</v>
      </c>
      <c r="AU624" s="53">
        <f t="array" ref="AU624">XLOOKUP(C624,'PL TOTAL D0'!A:A,'PL TOTAL D0'!C:C,"")</f>
        <v>220631.6</v>
      </c>
    </row>
    <row r="625" ht="15.75" customHeight="1">
      <c r="A625" s="6" t="s">
        <v>43</v>
      </c>
      <c r="B625" s="55" t="s">
        <v>2114</v>
      </c>
      <c r="C625" s="56" t="s">
        <v>2115</v>
      </c>
      <c r="D625" s="9" t="s">
        <v>18</v>
      </c>
      <c r="E625" s="24" t="s">
        <v>29</v>
      </c>
      <c r="F625" s="9" t="s">
        <v>60</v>
      </c>
      <c r="G625" s="44" t="str">
        <f t="shared" si="1"/>
        <v>Augusto</v>
      </c>
      <c r="H625" s="51" t="s">
        <v>107</v>
      </c>
      <c r="I625" s="51" t="s">
        <v>24</v>
      </c>
      <c r="J625" s="44" t="str">
        <f t="shared" si="9"/>
        <v>Não</v>
      </c>
      <c r="K625" s="57">
        <v>45308.0</v>
      </c>
      <c r="L625" s="45"/>
      <c r="M625" s="24" t="s">
        <v>129</v>
      </c>
      <c r="N625" s="58">
        <v>0.0</v>
      </c>
      <c r="O625" s="9" t="s">
        <v>24</v>
      </c>
      <c r="P625" s="59">
        <v>0.0</v>
      </c>
      <c r="Q625" s="139"/>
      <c r="R625" s="139"/>
      <c r="S625" s="24" t="s">
        <v>108</v>
      </c>
      <c r="T625" s="24" t="s">
        <v>2116</v>
      </c>
      <c r="U625" s="9" t="s">
        <v>29</v>
      </c>
      <c r="V625" s="51" t="str">
        <f t="shared" si="8"/>
        <v>Ativo</v>
      </c>
      <c r="W625" s="45"/>
      <c r="X625" s="52" t="s">
        <v>119</v>
      </c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>
        <v>995.42</v>
      </c>
      <c r="AP625" s="53">
        <v>1299.02</v>
      </c>
      <c r="AQ625" s="53">
        <v>1301.52</v>
      </c>
      <c r="AR625" s="53">
        <v>1296.73</v>
      </c>
      <c r="AS625" s="53">
        <v>1303.74</v>
      </c>
      <c r="AT625" s="53">
        <v>1300.2</v>
      </c>
      <c r="AU625" s="53">
        <f t="array" ref="AU625">XLOOKUP(C625,'PL TOTAL D0'!A:A,'PL TOTAL D0'!C:C,"")</f>
        <v>1318.62</v>
      </c>
    </row>
    <row r="626" ht="15.75" customHeight="1">
      <c r="A626" s="41" t="s">
        <v>43</v>
      </c>
      <c r="B626" s="238" t="s">
        <v>2117</v>
      </c>
      <c r="C626" s="43" t="s">
        <v>2118</v>
      </c>
      <c r="D626" s="44" t="s">
        <v>18</v>
      </c>
      <c r="E626" s="45" t="s">
        <v>176</v>
      </c>
      <c r="F626" s="44" t="s">
        <v>197</v>
      </c>
      <c r="G626" s="44" t="str">
        <f t="shared" si="1"/>
        <v>Augusto</v>
      </c>
      <c r="H626" s="46" t="s">
        <v>147</v>
      </c>
      <c r="I626" s="51" t="s">
        <v>219</v>
      </c>
      <c r="J626" s="44" t="str">
        <f t="shared" si="9"/>
        <v>Não</v>
      </c>
      <c r="K626" s="47">
        <v>45043.0</v>
      </c>
      <c r="L626" s="45"/>
      <c r="M626" s="45" t="s">
        <v>194</v>
      </c>
      <c r="N626" s="48">
        <v>0.008</v>
      </c>
      <c r="O626" s="44" t="s">
        <v>195</v>
      </c>
      <c r="P626" s="49">
        <v>0.1</v>
      </c>
      <c r="Q626" s="139"/>
      <c r="R626" s="239" t="s">
        <v>2119</v>
      </c>
      <c r="S626" s="45" t="s">
        <v>108</v>
      </c>
      <c r="T626" s="24" t="s">
        <v>2120</v>
      </c>
      <c r="U626" s="9" t="s">
        <v>873</v>
      </c>
      <c r="V626" s="51" t="str">
        <f t="shared" si="8"/>
        <v>Ativo</v>
      </c>
      <c r="W626" s="45"/>
      <c r="X626" s="52" t="s">
        <v>119</v>
      </c>
      <c r="Y626" s="54"/>
      <c r="Z626" s="54"/>
      <c r="AA626" s="54"/>
      <c r="AB626" s="54"/>
      <c r="AC626" s="54">
        <v>0.0</v>
      </c>
      <c r="AD626" s="54">
        <v>0.0</v>
      </c>
      <c r="AE626" s="54">
        <v>0.0</v>
      </c>
      <c r="AF626" s="54">
        <v>79248.86</v>
      </c>
      <c r="AG626" s="54">
        <v>712.78</v>
      </c>
      <c r="AH626" s="54">
        <v>712.78</v>
      </c>
      <c r="AI626" s="54">
        <v>729.09</v>
      </c>
      <c r="AJ626" s="54">
        <v>729.09</v>
      </c>
      <c r="AK626" s="54">
        <v>729.09</v>
      </c>
      <c r="AL626" s="54">
        <v>731.42</v>
      </c>
      <c r="AM626" s="54">
        <v>736.8</v>
      </c>
      <c r="AN626" s="54">
        <v>742.4</v>
      </c>
      <c r="AO626" s="54">
        <v>748.49</v>
      </c>
      <c r="AP626" s="53">
        <v>753.66</v>
      </c>
      <c r="AQ626" s="53">
        <v>759.0</v>
      </c>
      <c r="AR626" s="53">
        <v>764.74</v>
      </c>
      <c r="AS626" s="53">
        <v>770.18</v>
      </c>
      <c r="AT626" s="53">
        <v>775.45</v>
      </c>
      <c r="AU626" s="53">
        <f t="array" ref="AU626">XLOOKUP(C626,'PL TOTAL D0'!A:A,'PL TOTAL D0'!C:C,"")</f>
        <v>778.06</v>
      </c>
    </row>
    <row r="627" ht="15.75" customHeight="1">
      <c r="A627" s="41" t="s">
        <v>43</v>
      </c>
      <c r="B627" s="156" t="s">
        <v>2117</v>
      </c>
      <c r="C627" s="43" t="s">
        <v>2121</v>
      </c>
      <c r="D627" s="44" t="s">
        <v>18</v>
      </c>
      <c r="E627" s="45" t="s">
        <v>176</v>
      </c>
      <c r="F627" s="44" t="s">
        <v>197</v>
      </c>
      <c r="G627" s="44" t="str">
        <f t="shared" si="1"/>
        <v>Augusto</v>
      </c>
      <c r="H627" s="46" t="s">
        <v>107</v>
      </c>
      <c r="I627" s="46" t="s">
        <v>24</v>
      </c>
      <c r="J627" s="44" t="str">
        <f t="shared" si="9"/>
        <v>Não</v>
      </c>
      <c r="K627" s="47">
        <v>44928.0</v>
      </c>
      <c r="L627" s="45"/>
      <c r="M627" s="45" t="s">
        <v>190</v>
      </c>
      <c r="N627" s="48">
        <v>0.025</v>
      </c>
      <c r="O627" s="44" t="s">
        <v>191</v>
      </c>
      <c r="P627" s="49">
        <v>0.2</v>
      </c>
      <c r="Q627" s="139"/>
      <c r="R627" s="139"/>
      <c r="S627" s="45" t="s">
        <v>108</v>
      </c>
      <c r="T627" s="24" t="s">
        <v>2120</v>
      </c>
      <c r="U627" s="9" t="s">
        <v>873</v>
      </c>
      <c r="V627" s="51" t="str">
        <f t="shared" si="8"/>
        <v>Ativo</v>
      </c>
      <c r="W627" s="45"/>
      <c r="X627" s="52" t="s">
        <v>119</v>
      </c>
      <c r="Y627" s="54"/>
      <c r="Z627" s="54"/>
      <c r="AA627" s="54"/>
      <c r="AB627" s="54"/>
      <c r="AC627" s="54">
        <v>2.06</v>
      </c>
      <c r="AD627" s="54">
        <v>2.06</v>
      </c>
      <c r="AE627" s="54">
        <v>4226.53</v>
      </c>
      <c r="AF627" s="54">
        <v>38153.64</v>
      </c>
      <c r="AG627" s="54">
        <v>125151.44</v>
      </c>
      <c r="AH627" s="54">
        <v>123140.07</v>
      </c>
      <c r="AI627" s="54">
        <v>119855.66</v>
      </c>
      <c r="AJ627" s="54">
        <v>125631.62</v>
      </c>
      <c r="AK627" s="54">
        <v>130795.52</v>
      </c>
      <c r="AL627" s="54">
        <v>122488.33</v>
      </c>
      <c r="AM627" s="54">
        <v>131490.15</v>
      </c>
      <c r="AN627" s="54">
        <v>137780.79</v>
      </c>
      <c r="AO627" s="54">
        <v>111871.11</v>
      </c>
      <c r="AP627" s="53">
        <v>107340.63</v>
      </c>
      <c r="AQ627" s="53">
        <v>109137.66</v>
      </c>
      <c r="AR627" s="53">
        <v>104504.09</v>
      </c>
      <c r="AS627" s="53">
        <v>101336.4</v>
      </c>
      <c r="AT627" s="53">
        <v>101500.5</v>
      </c>
      <c r="AU627" s="53">
        <f t="array" ref="AU627">XLOOKUP(C627,'PL TOTAL D0'!A:A,'PL TOTAL D0'!C:C,"")</f>
        <v>105971.2</v>
      </c>
    </row>
    <row r="628" ht="15.75" customHeight="1">
      <c r="A628" s="41" t="s">
        <v>43</v>
      </c>
      <c r="B628" s="42" t="s">
        <v>2122</v>
      </c>
      <c r="C628" s="43" t="s">
        <v>2123</v>
      </c>
      <c r="D628" s="44" t="s">
        <v>18</v>
      </c>
      <c r="E628" s="45" t="s">
        <v>29</v>
      </c>
      <c r="F628" s="44" t="s">
        <v>294</v>
      </c>
      <c r="G628" s="44" t="str">
        <f t="shared" si="1"/>
        <v>Augusto</v>
      </c>
      <c r="H628" s="46" t="s">
        <v>107</v>
      </c>
      <c r="I628" s="46" t="s">
        <v>24</v>
      </c>
      <c r="J628" s="44" t="str">
        <f t="shared" si="9"/>
        <v>Não</v>
      </c>
      <c r="K628" s="47">
        <v>45163.0</v>
      </c>
      <c r="L628" s="62"/>
      <c r="M628" s="45" t="s">
        <v>47</v>
      </c>
      <c r="N628" s="48">
        <v>0.015</v>
      </c>
      <c r="O628" s="44" t="s">
        <v>48</v>
      </c>
      <c r="P628" s="49">
        <v>0.1</v>
      </c>
      <c r="Q628" s="60"/>
      <c r="R628" s="139"/>
      <c r="S628" s="45" t="s">
        <v>108</v>
      </c>
      <c r="T628" s="24" t="s">
        <v>2124</v>
      </c>
      <c r="U628" s="9" t="s">
        <v>29</v>
      </c>
      <c r="V628" s="51" t="str">
        <f t="shared" si="8"/>
        <v>Ativo</v>
      </c>
      <c r="W628" s="45"/>
      <c r="X628" s="52" t="s">
        <v>119</v>
      </c>
      <c r="Y628" s="54"/>
      <c r="Z628" s="54"/>
      <c r="AA628" s="54"/>
      <c r="AB628" s="54"/>
      <c r="AC628" s="54">
        <v>0.0</v>
      </c>
      <c r="AD628" s="54">
        <v>0.0</v>
      </c>
      <c r="AE628" s="54">
        <v>0.0</v>
      </c>
      <c r="AF628" s="54">
        <v>0.0</v>
      </c>
      <c r="AG628" s="54">
        <v>0.0</v>
      </c>
      <c r="AH628" s="54">
        <v>0.0</v>
      </c>
      <c r="AI628" s="54">
        <v>0.0</v>
      </c>
      <c r="AJ628" s="54">
        <v>0.0</v>
      </c>
      <c r="AK628" s="54">
        <v>0.0</v>
      </c>
      <c r="AL628" s="54">
        <v>34032.59</v>
      </c>
      <c r="AM628" s="54">
        <v>34332.67</v>
      </c>
      <c r="AN628" s="54">
        <v>34603.74</v>
      </c>
      <c r="AO628" s="54">
        <v>20766.33</v>
      </c>
      <c r="AP628" s="53">
        <v>20899.85</v>
      </c>
      <c r="AQ628" s="53">
        <v>21052.45</v>
      </c>
      <c r="AR628" s="53">
        <v>21216.61</v>
      </c>
      <c r="AS628" s="53">
        <v>21367.48</v>
      </c>
      <c r="AT628" s="53">
        <v>21246.88</v>
      </c>
      <c r="AU628" s="53">
        <f t="array" ref="AU628">XLOOKUP(C628,'PL TOTAL D0'!A:A,'PL TOTAL D0'!C:C,"")</f>
        <v>21304.86</v>
      </c>
    </row>
    <row r="629" ht="15.75" customHeight="1">
      <c r="A629" s="41" t="s">
        <v>43</v>
      </c>
      <c r="B629" s="42" t="s">
        <v>2125</v>
      </c>
      <c r="C629" s="43" t="s">
        <v>2126</v>
      </c>
      <c r="D629" s="44" t="s">
        <v>105</v>
      </c>
      <c r="E629" s="45" t="s">
        <v>29</v>
      </c>
      <c r="F629" s="44" t="s">
        <v>412</v>
      </c>
      <c r="G629" s="44" t="str">
        <f t="shared" si="1"/>
        <v>Breno</v>
      </c>
      <c r="H629" s="46" t="s">
        <v>107</v>
      </c>
      <c r="I629" s="46" t="s">
        <v>24</v>
      </c>
      <c r="J629" s="44" t="str">
        <f t="shared" si="9"/>
        <v>Não</v>
      </c>
      <c r="K629" s="47">
        <v>45168.0</v>
      </c>
      <c r="L629" s="62"/>
      <c r="M629" s="45" t="s">
        <v>55</v>
      </c>
      <c r="N629" s="48">
        <v>0.005</v>
      </c>
      <c r="O629" s="44" t="s">
        <v>24</v>
      </c>
      <c r="P629" s="49">
        <v>0.0</v>
      </c>
      <c r="Q629" s="139"/>
      <c r="R629" s="139"/>
      <c r="S629" s="45" t="s">
        <v>108</v>
      </c>
      <c r="T629" s="24" t="s">
        <v>2127</v>
      </c>
      <c r="U629" s="9" t="s">
        <v>29</v>
      </c>
      <c r="V629" s="51" t="str">
        <f t="shared" si="8"/>
        <v>Ativo</v>
      </c>
      <c r="W629" s="45"/>
      <c r="X629" s="52" t="s">
        <v>110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>
        <v>686313.07</v>
      </c>
      <c r="AK629" s="54">
        <v>695559.77</v>
      </c>
      <c r="AL629" s="54">
        <v>701272.22</v>
      </c>
      <c r="AM629" s="54">
        <v>546580.13</v>
      </c>
      <c r="AN629" s="54">
        <v>533184.53</v>
      </c>
      <c r="AO629" s="54">
        <v>618511.71</v>
      </c>
      <c r="AP629" s="53">
        <v>674920.46</v>
      </c>
      <c r="AQ629" s="53">
        <v>676174.01</v>
      </c>
      <c r="AR629" s="53">
        <v>677461.23</v>
      </c>
      <c r="AS629" s="53">
        <v>680717.2</v>
      </c>
      <c r="AT629" s="53">
        <v>674844.0</v>
      </c>
      <c r="AU629" s="53">
        <f t="array" ref="AU629">XLOOKUP(C629,'PL TOTAL D0'!A:A,'PL TOTAL D0'!C:C,"")</f>
        <v>679148.8</v>
      </c>
    </row>
    <row r="630" ht="13.5" customHeight="1">
      <c r="A630" s="41" t="s">
        <v>43</v>
      </c>
      <c r="B630" s="42" t="s">
        <v>2128</v>
      </c>
      <c r="C630" s="43" t="s">
        <v>2129</v>
      </c>
      <c r="D630" s="44" t="s">
        <v>18</v>
      </c>
      <c r="E630" s="45" t="s">
        <v>29</v>
      </c>
      <c r="F630" s="44" t="s">
        <v>294</v>
      </c>
      <c r="G630" s="44" t="str">
        <f t="shared" si="1"/>
        <v>#N/A</v>
      </c>
      <c r="H630" s="51" t="s">
        <v>186</v>
      </c>
      <c r="I630" s="51" t="s">
        <v>24</v>
      </c>
      <c r="J630" s="44" t="str">
        <f t="shared" si="9"/>
        <v>Não</v>
      </c>
      <c r="K630" s="47">
        <v>45117.0</v>
      </c>
      <c r="L630" s="68">
        <v>45450.0</v>
      </c>
      <c r="M630" s="45" t="s">
        <v>55</v>
      </c>
      <c r="N630" s="48">
        <v>0.011</v>
      </c>
      <c r="O630" s="44" t="s">
        <v>24</v>
      </c>
      <c r="P630" s="49">
        <v>0.0</v>
      </c>
      <c r="Q630" s="139"/>
      <c r="R630" s="139"/>
      <c r="S630" s="45" t="s">
        <v>108</v>
      </c>
      <c r="T630" s="24" t="s">
        <v>2130</v>
      </c>
      <c r="U630" s="9" t="s">
        <v>29</v>
      </c>
      <c r="V630" s="51" t="str">
        <f t="shared" si="8"/>
        <v>Encerrado</v>
      </c>
      <c r="W630" s="45"/>
      <c r="X630" s="52" t="s">
        <v>119</v>
      </c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>
        <v>266116.93</v>
      </c>
      <c r="AJ630" s="54">
        <v>313.8</v>
      </c>
      <c r="AK630" s="54">
        <v>277.3</v>
      </c>
      <c r="AL630" s="54">
        <v>277.3</v>
      </c>
      <c r="AM630" s="54">
        <v>277.3</v>
      </c>
      <c r="AN630" s="54">
        <v>277.66</v>
      </c>
      <c r="AO630" s="54">
        <v>280.32</v>
      </c>
      <c r="AP630" s="53">
        <v>282.55</v>
      </c>
      <c r="AQ630" s="53">
        <v>284.91</v>
      </c>
      <c r="AR630" s="53">
        <v>287.41</v>
      </c>
      <c r="AS630" s="53">
        <v>0.0</v>
      </c>
      <c r="AT630" s="53">
        <v>0.0</v>
      </c>
      <c r="AU630" s="53" t="str">
        <f t="array" ref="AU630">XLOOKUP(C630,'PL TOTAL D0'!A:A,'PL TOTAL D0'!C:C,"")</f>
        <v/>
      </c>
    </row>
    <row r="631" ht="15.75" customHeight="1">
      <c r="A631" s="41" t="s">
        <v>43</v>
      </c>
      <c r="B631" s="121" t="s">
        <v>2131</v>
      </c>
      <c r="C631" s="56" t="s">
        <v>2132</v>
      </c>
      <c r="D631" s="44" t="s">
        <v>18</v>
      </c>
      <c r="E631" s="45" t="s">
        <v>29</v>
      </c>
      <c r="F631" s="44" t="s">
        <v>294</v>
      </c>
      <c r="G631" s="44" t="str">
        <f t="shared" si="1"/>
        <v>Augusto</v>
      </c>
      <c r="H631" s="51" t="s">
        <v>107</v>
      </c>
      <c r="I631" s="51" t="s">
        <v>24</v>
      </c>
      <c r="J631" s="44" t="str">
        <f t="shared" si="9"/>
        <v>Sim</v>
      </c>
      <c r="K631" s="47">
        <v>45155.0</v>
      </c>
      <c r="L631" s="62"/>
      <c r="M631" s="45" t="s">
        <v>190</v>
      </c>
      <c r="N631" s="48">
        <v>0.02</v>
      </c>
      <c r="O631" s="44" t="s">
        <v>191</v>
      </c>
      <c r="P631" s="49">
        <v>0.2</v>
      </c>
      <c r="Q631" s="138" t="s">
        <v>2133</v>
      </c>
      <c r="R631" s="139"/>
      <c r="S631" s="45" t="s">
        <v>108</v>
      </c>
      <c r="T631" s="24" t="s">
        <v>2134</v>
      </c>
      <c r="U631" s="9" t="s">
        <v>29</v>
      </c>
      <c r="V631" s="51" t="str">
        <f t="shared" si="8"/>
        <v>Ativo</v>
      </c>
      <c r="W631" s="45"/>
      <c r="X631" s="52" t="s">
        <v>119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>
        <v>413199.93</v>
      </c>
      <c r="AJ631" s="54">
        <v>100505.12</v>
      </c>
      <c r="AK631" s="54">
        <v>2.57</v>
      </c>
      <c r="AL631" s="54">
        <v>0.0</v>
      </c>
      <c r="AM631" s="54">
        <v>0.0</v>
      </c>
      <c r="AN631" s="54">
        <v>0.0</v>
      </c>
      <c r="AO631" s="54">
        <v>0.0</v>
      </c>
      <c r="AP631" s="53">
        <v>0.43</v>
      </c>
      <c r="AQ631" s="53">
        <v>112663.48</v>
      </c>
      <c r="AR631" s="53">
        <v>109084.5</v>
      </c>
      <c r="AS631" s="53">
        <v>106510.3</v>
      </c>
      <c r="AT631" s="53">
        <v>107853.0</v>
      </c>
      <c r="AU631" s="53">
        <f t="array" ref="AU631">XLOOKUP(C631,'PL TOTAL D0'!A:A,'PL TOTAL D0'!C:C,"")</f>
        <v>112083.8</v>
      </c>
    </row>
    <row r="632" ht="15.75" customHeight="1">
      <c r="A632" s="41" t="s">
        <v>43</v>
      </c>
      <c r="B632" s="121" t="s">
        <v>2131</v>
      </c>
      <c r="C632" s="43" t="s">
        <v>2135</v>
      </c>
      <c r="D632" s="44" t="s">
        <v>18</v>
      </c>
      <c r="E632" s="45" t="s">
        <v>29</v>
      </c>
      <c r="F632" s="44" t="s">
        <v>294</v>
      </c>
      <c r="G632" s="44" t="str">
        <f t="shared" si="1"/>
        <v>Bruno</v>
      </c>
      <c r="H632" s="46" t="s">
        <v>107</v>
      </c>
      <c r="I632" s="46" t="s">
        <v>24</v>
      </c>
      <c r="J632" s="44" t="str">
        <f t="shared" si="9"/>
        <v>Não</v>
      </c>
      <c r="K632" s="47">
        <v>45121.0</v>
      </c>
      <c r="L632" s="62"/>
      <c r="M632" s="45" t="s">
        <v>55</v>
      </c>
      <c r="N632" s="48">
        <v>0.01</v>
      </c>
      <c r="O632" s="44" t="s">
        <v>24</v>
      </c>
      <c r="P632" s="49">
        <v>0.0</v>
      </c>
      <c r="Q632" s="184"/>
      <c r="R632" s="139"/>
      <c r="S632" s="45" t="s">
        <v>108</v>
      </c>
      <c r="T632" s="24" t="s">
        <v>2130</v>
      </c>
      <c r="U632" s="9" t="s">
        <v>29</v>
      </c>
      <c r="V632" s="51" t="str">
        <f t="shared" si="8"/>
        <v>Ativo</v>
      </c>
      <c r="W632" s="45"/>
      <c r="X632" s="52" t="s">
        <v>119</v>
      </c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>
        <v>74859.75</v>
      </c>
      <c r="AJ632" s="54">
        <v>761838.54</v>
      </c>
      <c r="AK632" s="54">
        <v>1069740.49</v>
      </c>
      <c r="AL632" s="54">
        <v>1078972.63</v>
      </c>
      <c r="AM632" s="54">
        <v>1313535.01</v>
      </c>
      <c r="AN632" s="54">
        <v>1325726.86</v>
      </c>
      <c r="AO632" s="54">
        <v>1547689.79</v>
      </c>
      <c r="AP632" s="53">
        <v>1561784.18</v>
      </c>
      <c r="AQ632" s="53">
        <v>1563469.43</v>
      </c>
      <c r="AR632" s="53">
        <v>1578160.53</v>
      </c>
      <c r="AS632" s="53">
        <v>1844207.0</v>
      </c>
      <c r="AT632" s="53">
        <v>1859652.0</v>
      </c>
      <c r="AU632" s="53">
        <f t="array" ref="AU632">XLOOKUP(C632,'PL TOTAL D0'!A:A,'PL TOTAL D0'!C:C,"")</f>
        <v>1865589</v>
      </c>
    </row>
    <row r="633" ht="15.75" customHeight="1">
      <c r="A633" s="41" t="s">
        <v>43</v>
      </c>
      <c r="B633" s="42" t="s">
        <v>2136</v>
      </c>
      <c r="C633" s="43" t="s">
        <v>2137</v>
      </c>
      <c r="D633" s="44" t="s">
        <v>18</v>
      </c>
      <c r="E633" s="45" t="s">
        <v>176</v>
      </c>
      <c r="F633" s="44" t="s">
        <v>532</v>
      </c>
      <c r="G633" s="44" t="str">
        <f t="shared" si="1"/>
        <v>Augusto</v>
      </c>
      <c r="H633" s="46" t="s">
        <v>107</v>
      </c>
      <c r="I633" s="46" t="s">
        <v>24</v>
      </c>
      <c r="J633" s="44" t="str">
        <f t="shared" si="9"/>
        <v>Não</v>
      </c>
      <c r="K633" s="47">
        <v>45133.0</v>
      </c>
      <c r="L633" s="62"/>
      <c r="M633" s="45" t="s">
        <v>55</v>
      </c>
      <c r="N633" s="48">
        <v>0.012</v>
      </c>
      <c r="O633" s="44" t="s">
        <v>24</v>
      </c>
      <c r="P633" s="49">
        <v>0.0</v>
      </c>
      <c r="Q633" s="139"/>
      <c r="R633" s="139"/>
      <c r="S633" s="45" t="s">
        <v>108</v>
      </c>
      <c r="T633" s="24" t="s">
        <v>2138</v>
      </c>
      <c r="U633" s="9" t="s">
        <v>34</v>
      </c>
      <c r="V633" s="51" t="str">
        <f t="shared" si="8"/>
        <v>Ativo</v>
      </c>
      <c r="W633" s="45"/>
      <c r="X633" s="52" t="s">
        <v>119</v>
      </c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>
        <v>100133.79</v>
      </c>
      <c r="AJ633" s="54">
        <v>151456.37</v>
      </c>
      <c r="AK633" s="54">
        <v>152699.95</v>
      </c>
      <c r="AL633" s="54">
        <v>154046.65</v>
      </c>
      <c r="AM633" s="54">
        <v>155203.75</v>
      </c>
      <c r="AN633" s="54">
        <v>156461.77</v>
      </c>
      <c r="AO633" s="54">
        <v>157315.28</v>
      </c>
      <c r="AP633" s="53">
        <v>158558.25</v>
      </c>
      <c r="AQ633" s="53">
        <v>159902.35</v>
      </c>
      <c r="AR633" s="53">
        <v>161099.12</v>
      </c>
      <c r="AS633" s="53">
        <v>162353.1</v>
      </c>
      <c r="AT633" s="53">
        <v>163642.0</v>
      </c>
      <c r="AU633" s="53">
        <f t="array" ref="AU633">XLOOKUP(C633,'PL TOTAL D0'!A:A,'PL TOTAL D0'!C:C,"")</f>
        <v>164169.5</v>
      </c>
    </row>
    <row r="634" ht="15.75" customHeight="1">
      <c r="A634" s="41" t="s">
        <v>43</v>
      </c>
      <c r="B634" s="20" t="s">
        <v>2139</v>
      </c>
      <c r="C634" s="21" t="s">
        <v>2140</v>
      </c>
      <c r="D634" s="9" t="s">
        <v>52</v>
      </c>
      <c r="E634" s="24" t="s">
        <v>19</v>
      </c>
      <c r="F634" s="9" t="s">
        <v>53</v>
      </c>
      <c r="G634" s="44" t="str">
        <f t="shared" si="1"/>
        <v>Augusto</v>
      </c>
      <c r="H634" s="51" t="s">
        <v>107</v>
      </c>
      <c r="I634" s="51" t="s">
        <v>24</v>
      </c>
      <c r="J634" s="44" t="str">
        <f t="shared" si="9"/>
        <v>Não</v>
      </c>
      <c r="K634" s="57">
        <v>45385.0</v>
      </c>
      <c r="L634" s="62"/>
      <c r="M634" s="24" t="s">
        <v>55</v>
      </c>
      <c r="N634" s="58">
        <v>0.01</v>
      </c>
      <c r="O634" s="9" t="s">
        <v>24</v>
      </c>
      <c r="P634" s="59">
        <v>0.0</v>
      </c>
      <c r="Q634" s="139"/>
      <c r="R634" s="139"/>
      <c r="S634" s="24" t="s">
        <v>108</v>
      </c>
      <c r="T634" s="23" t="s">
        <v>2141</v>
      </c>
      <c r="U634" s="9" t="s">
        <v>29</v>
      </c>
      <c r="V634" s="51" t="str">
        <f t="shared" si="8"/>
        <v>Ativo</v>
      </c>
      <c r="W634" s="45"/>
      <c r="X634" s="52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3"/>
      <c r="AQ634" s="53"/>
      <c r="AR634" s="53">
        <v>273459.23</v>
      </c>
      <c r="AS634" s="53">
        <v>275837.8</v>
      </c>
      <c r="AT634" s="53">
        <v>278257.3</v>
      </c>
      <c r="AU634" s="53">
        <f t="array" ref="AU634">XLOOKUP(C634,'PL TOTAL D0'!A:A,'PL TOTAL D0'!C:C,"")</f>
        <v>329508</v>
      </c>
    </row>
    <row r="635" ht="15.75" customHeight="1">
      <c r="A635" s="6" t="s">
        <v>43</v>
      </c>
      <c r="B635" s="6" t="s">
        <v>2142</v>
      </c>
      <c r="C635" s="21" t="s">
        <v>2143</v>
      </c>
      <c r="D635" s="9" t="s">
        <v>18</v>
      </c>
      <c r="E635" s="24" t="s">
        <v>29</v>
      </c>
      <c r="F635" s="9" t="s">
        <v>205</v>
      </c>
      <c r="G635" s="44" t="str">
        <f t="shared" si="1"/>
        <v>Augusto</v>
      </c>
      <c r="H635" s="51" t="s">
        <v>107</v>
      </c>
      <c r="I635" s="51" t="s">
        <v>24</v>
      </c>
      <c r="J635" s="44" t="str">
        <f t="shared" si="9"/>
        <v>Não</v>
      </c>
      <c r="K635" s="57">
        <v>45369.0</v>
      </c>
      <c r="L635" s="62"/>
      <c r="M635" s="24" t="s">
        <v>47</v>
      </c>
      <c r="N635" s="58">
        <v>0.016</v>
      </c>
      <c r="O635" s="9" t="s">
        <v>48</v>
      </c>
      <c r="P635" s="59">
        <v>0.2</v>
      </c>
      <c r="Q635" s="139"/>
      <c r="R635" s="139"/>
      <c r="S635" s="24" t="s">
        <v>108</v>
      </c>
      <c r="T635" s="24" t="s">
        <v>2144</v>
      </c>
      <c r="U635" s="9" t="s">
        <v>29</v>
      </c>
      <c r="V635" s="51" t="str">
        <f t="shared" si="8"/>
        <v>Ativo</v>
      </c>
      <c r="W635" s="24" t="s">
        <v>75</v>
      </c>
      <c r="X635" s="52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3"/>
      <c r="AQ635" s="53">
        <v>150736.95</v>
      </c>
      <c r="AR635" s="53">
        <v>149844.48</v>
      </c>
      <c r="AS635" s="53">
        <v>149396.4</v>
      </c>
      <c r="AT635" s="53">
        <v>257557.2</v>
      </c>
      <c r="AU635" s="53">
        <f t="array" ref="AU635">XLOOKUP(C635,'PL TOTAL D0'!A:A,'PL TOTAL D0'!C:C,"")</f>
        <v>260264.4</v>
      </c>
    </row>
    <row r="636" ht="15.75" customHeight="1">
      <c r="A636" s="6" t="s">
        <v>43</v>
      </c>
      <c r="B636" s="6" t="s">
        <v>2142</v>
      </c>
      <c r="C636" s="21" t="s">
        <v>2145</v>
      </c>
      <c r="D636" s="9" t="s">
        <v>18</v>
      </c>
      <c r="E636" s="24" t="s">
        <v>29</v>
      </c>
      <c r="F636" s="9" t="s">
        <v>205</v>
      </c>
      <c r="G636" s="44" t="str">
        <f t="shared" si="1"/>
        <v>Breno</v>
      </c>
      <c r="H636" s="51" t="s">
        <v>147</v>
      </c>
      <c r="I636" s="51" t="s">
        <v>148</v>
      </c>
      <c r="J636" s="44" t="str">
        <f t="shared" si="9"/>
        <v>Não</v>
      </c>
      <c r="K636" s="57">
        <v>45463.0</v>
      </c>
      <c r="L636" s="62"/>
      <c r="M636" s="24" t="s">
        <v>149</v>
      </c>
      <c r="N636" s="58">
        <v>0.0</v>
      </c>
      <c r="O636" s="9" t="s">
        <v>24</v>
      </c>
      <c r="P636" s="59">
        <v>0.0</v>
      </c>
      <c r="Q636" s="139"/>
      <c r="R636" s="139"/>
      <c r="S636" s="24" t="s">
        <v>108</v>
      </c>
      <c r="T636" s="24" t="s">
        <v>2144</v>
      </c>
      <c r="U636" s="9" t="s">
        <v>29</v>
      </c>
      <c r="V636" s="51" t="str">
        <f t="shared" si="8"/>
        <v>Ativo</v>
      </c>
      <c r="W636" s="24" t="s">
        <v>75</v>
      </c>
      <c r="X636" s="52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3"/>
      <c r="AQ636" s="53"/>
      <c r="AR636" s="53"/>
      <c r="AS636" s="53"/>
      <c r="AT636" s="53">
        <v>0.0</v>
      </c>
      <c r="AU636" s="53">
        <f t="array" ref="AU636">XLOOKUP(C636,'PL TOTAL D0'!A:A,'PL TOTAL D0'!C:C,"")</f>
        <v>914119.6</v>
      </c>
    </row>
    <row r="637" ht="15.75" customHeight="1">
      <c r="A637" s="6" t="s">
        <v>43</v>
      </c>
      <c r="B637" s="42" t="s">
        <v>2146</v>
      </c>
      <c r="C637" s="43" t="s">
        <v>2147</v>
      </c>
      <c r="D637" s="44" t="s">
        <v>18</v>
      </c>
      <c r="E637" s="45" t="s">
        <v>19</v>
      </c>
      <c r="F637" s="44" t="s">
        <v>20</v>
      </c>
      <c r="G637" s="44" t="str">
        <f t="shared" si="1"/>
        <v>Breno</v>
      </c>
      <c r="H637" s="46" t="s">
        <v>107</v>
      </c>
      <c r="I637" s="46" t="s">
        <v>24</v>
      </c>
      <c r="J637" s="44" t="str">
        <f t="shared" si="9"/>
        <v>Sim</v>
      </c>
      <c r="K637" s="47">
        <v>44949.0</v>
      </c>
      <c r="L637" s="45"/>
      <c r="M637" s="24" t="s">
        <v>723</v>
      </c>
      <c r="N637" s="48">
        <v>0.015</v>
      </c>
      <c r="O637" s="44" t="s">
        <v>48</v>
      </c>
      <c r="P637" s="49">
        <v>0.1</v>
      </c>
      <c r="Q637" s="60" t="s">
        <v>2148</v>
      </c>
      <c r="R637" s="240" t="s">
        <v>2149</v>
      </c>
      <c r="S637" s="45" t="s">
        <v>108</v>
      </c>
      <c r="T637" s="24" t="s">
        <v>2150</v>
      </c>
      <c r="U637" s="9" t="s">
        <v>1112</v>
      </c>
      <c r="V637" s="51" t="str">
        <f t="shared" si="8"/>
        <v>Ativo</v>
      </c>
      <c r="W637" s="45"/>
      <c r="X637" s="52" t="s">
        <v>119</v>
      </c>
      <c r="Y637" s="54"/>
      <c r="Z637" s="54"/>
      <c r="AA637" s="54"/>
      <c r="AB637" s="54"/>
      <c r="AC637" s="54">
        <v>518746.89</v>
      </c>
      <c r="AD637" s="54">
        <v>522921.32</v>
      </c>
      <c r="AE637" s="54">
        <v>266412.32</v>
      </c>
      <c r="AF637" s="54">
        <v>404393.62</v>
      </c>
      <c r="AG637" s="54">
        <v>408190.6</v>
      </c>
      <c r="AH637" s="54">
        <v>412192.57</v>
      </c>
      <c r="AI637" s="54">
        <v>483870.82</v>
      </c>
      <c r="AJ637" s="54">
        <v>487362.75</v>
      </c>
      <c r="AK637" s="54">
        <v>506159.39</v>
      </c>
      <c r="AL637" s="54">
        <v>526109.95</v>
      </c>
      <c r="AM637" s="54">
        <v>532554.44</v>
      </c>
      <c r="AN637" s="54">
        <v>536225.61</v>
      </c>
      <c r="AO637" s="54">
        <v>550339.08</v>
      </c>
      <c r="AP637" s="53">
        <v>603676.81</v>
      </c>
      <c r="AQ637" s="53">
        <v>608996.41</v>
      </c>
      <c r="AR637" s="53">
        <v>607133.75</v>
      </c>
      <c r="AS637" s="53">
        <v>624243.9</v>
      </c>
      <c r="AT637" s="53">
        <v>626972.7</v>
      </c>
      <c r="AU637" s="53">
        <f t="array" ref="AU637">XLOOKUP(C637,'PL TOTAL D0'!A:A,'PL TOTAL D0'!C:C,"")</f>
        <v>631528.7</v>
      </c>
    </row>
    <row r="638" ht="15.75" customHeight="1">
      <c r="A638" s="41" t="s">
        <v>43</v>
      </c>
      <c r="B638" s="42" t="s">
        <v>2151</v>
      </c>
      <c r="C638" s="43" t="s">
        <v>2152</v>
      </c>
      <c r="D638" s="44" t="s">
        <v>18</v>
      </c>
      <c r="E638" s="45" t="s">
        <v>176</v>
      </c>
      <c r="F638" s="44" t="s">
        <v>197</v>
      </c>
      <c r="G638" s="44" t="str">
        <f t="shared" si="1"/>
        <v>Augusto</v>
      </c>
      <c r="H638" s="46" t="s">
        <v>107</v>
      </c>
      <c r="I638" s="46" t="s">
        <v>24</v>
      </c>
      <c r="J638" s="44" t="str">
        <f t="shared" si="9"/>
        <v>Não</v>
      </c>
      <c r="K638" s="47">
        <v>45127.0</v>
      </c>
      <c r="L638" s="62"/>
      <c r="M638" s="45" t="s">
        <v>190</v>
      </c>
      <c r="N638" s="48">
        <v>0.025</v>
      </c>
      <c r="O638" s="44" t="s">
        <v>191</v>
      </c>
      <c r="P638" s="49">
        <v>0.2</v>
      </c>
      <c r="Q638" s="139"/>
      <c r="R638" s="139"/>
      <c r="S638" s="45" t="s">
        <v>108</v>
      </c>
      <c r="T638" s="24" t="s">
        <v>2153</v>
      </c>
      <c r="U638" s="9" t="s">
        <v>180</v>
      </c>
      <c r="V638" s="51" t="str">
        <f t="shared" si="8"/>
        <v>Ativo</v>
      </c>
      <c r="W638" s="45"/>
      <c r="X638" s="52" t="s">
        <v>110</v>
      </c>
      <c r="Y638" s="54"/>
      <c r="Z638" s="54"/>
      <c r="AA638" s="54"/>
      <c r="AB638" s="54"/>
      <c r="AC638" s="54"/>
      <c r="AD638" s="54"/>
      <c r="AE638" s="54"/>
      <c r="AF638" s="54">
        <v>0.0</v>
      </c>
      <c r="AG638" s="54">
        <v>0.0</v>
      </c>
      <c r="AH638" s="54">
        <v>0.0</v>
      </c>
      <c r="AI638" s="54">
        <v>90215.35</v>
      </c>
      <c r="AJ638" s="54">
        <v>88981.6</v>
      </c>
      <c r="AK638" s="54">
        <v>86715.3</v>
      </c>
      <c r="AL638" s="54">
        <v>82767.94</v>
      </c>
      <c r="AM638" s="54">
        <v>88841.29</v>
      </c>
      <c r="AN638" s="54">
        <v>93152.33</v>
      </c>
      <c r="AO638" s="54">
        <v>86866.71</v>
      </c>
      <c r="AP638" s="53">
        <v>87808.38</v>
      </c>
      <c r="AQ638" s="53">
        <v>89216.53</v>
      </c>
      <c r="AR638" s="53">
        <v>85486.3</v>
      </c>
      <c r="AS638" s="53">
        <v>83722.07</v>
      </c>
      <c r="AT638" s="53">
        <v>83708.3</v>
      </c>
      <c r="AU638" s="53">
        <f t="array" ref="AU638">XLOOKUP(C638,'PL TOTAL D0'!A:A,'PL TOTAL D0'!C:C,"")</f>
        <v>86573.2</v>
      </c>
    </row>
    <row r="639" ht="15.75" customHeight="1">
      <c r="A639" s="41" t="s">
        <v>43</v>
      </c>
      <c r="B639" s="42" t="s">
        <v>2154</v>
      </c>
      <c r="C639" s="43" t="s">
        <v>2155</v>
      </c>
      <c r="D639" s="44" t="s">
        <v>18</v>
      </c>
      <c r="E639" s="45" t="s">
        <v>29</v>
      </c>
      <c r="F639" s="44" t="s">
        <v>60</v>
      </c>
      <c r="G639" s="44" t="str">
        <f t="shared" si="1"/>
        <v>Augusto</v>
      </c>
      <c r="H639" s="51" t="s">
        <v>147</v>
      </c>
      <c r="I639" s="51" t="s">
        <v>219</v>
      </c>
      <c r="J639" s="44" t="str">
        <f t="shared" si="9"/>
        <v>Não</v>
      </c>
      <c r="K639" s="47">
        <v>45042.0</v>
      </c>
      <c r="L639" s="45"/>
      <c r="M639" s="45" t="s">
        <v>47</v>
      </c>
      <c r="N639" s="48">
        <v>0.015</v>
      </c>
      <c r="O639" s="44" t="s">
        <v>48</v>
      </c>
      <c r="P639" s="49">
        <v>0.1</v>
      </c>
      <c r="Q639" s="139"/>
      <c r="R639" s="139"/>
      <c r="S639" s="45" t="s">
        <v>108</v>
      </c>
      <c r="T639" s="24" t="s">
        <v>2156</v>
      </c>
      <c r="U639" s="9" t="s">
        <v>29</v>
      </c>
      <c r="V639" s="51" t="str">
        <f t="shared" si="8"/>
        <v>Ativo</v>
      </c>
      <c r="W639" s="45"/>
      <c r="X639" s="52" t="s">
        <v>119</v>
      </c>
      <c r="Y639" s="54"/>
      <c r="Z639" s="54"/>
      <c r="AA639" s="54"/>
      <c r="AB639" s="54"/>
      <c r="AC639" s="54"/>
      <c r="AD639" s="54"/>
      <c r="AE639" s="54"/>
      <c r="AF639" s="54">
        <v>138047.59</v>
      </c>
      <c r="AG639" s="54">
        <v>139372.91</v>
      </c>
      <c r="AH639" s="54">
        <v>143006.24</v>
      </c>
      <c r="AI639" s="54">
        <v>146285.25</v>
      </c>
      <c r="AJ639" s="54">
        <v>145052.98</v>
      </c>
      <c r="AK639" s="54">
        <v>145422.56</v>
      </c>
      <c r="AL639" s="54">
        <v>145078.47</v>
      </c>
      <c r="AM639" s="54">
        <v>148501.52</v>
      </c>
      <c r="AN639" s="54">
        <v>151527.69</v>
      </c>
      <c r="AO639" s="54">
        <v>148221.34</v>
      </c>
      <c r="AP639" s="53">
        <v>149227.1</v>
      </c>
      <c r="AQ639" s="53">
        <v>150464.07</v>
      </c>
      <c r="AR639" s="53">
        <v>148686.62</v>
      </c>
      <c r="AS639" s="53">
        <v>359.35</v>
      </c>
      <c r="AT639" s="53">
        <v>367.42</v>
      </c>
      <c r="AU639" s="53">
        <f t="array" ref="AU639">XLOOKUP(C639,'PL TOTAL D0'!A:A,'PL TOTAL D0'!C:C,"")</f>
        <v>367.42</v>
      </c>
    </row>
    <row r="640" ht="15.75" customHeight="1">
      <c r="A640" s="41" t="s">
        <v>43</v>
      </c>
      <c r="B640" s="42" t="s">
        <v>2157</v>
      </c>
      <c r="C640" s="43" t="s">
        <v>2158</v>
      </c>
      <c r="D640" s="44" t="s">
        <v>18</v>
      </c>
      <c r="E640" s="45" t="s">
        <v>19</v>
      </c>
      <c r="F640" s="44" t="s">
        <v>256</v>
      </c>
      <c r="G640" s="44" t="str">
        <f t="shared" si="1"/>
        <v>#N/A</v>
      </c>
      <c r="H640" s="51" t="s">
        <v>147</v>
      </c>
      <c r="I640" s="46" t="s">
        <v>219</v>
      </c>
      <c r="J640" s="44" t="str">
        <f t="shared" si="9"/>
        <v>Não</v>
      </c>
      <c r="K640" s="47">
        <v>45163.0</v>
      </c>
      <c r="L640" s="62"/>
      <c r="M640" s="45" t="s">
        <v>55</v>
      </c>
      <c r="N640" s="48">
        <v>0.012</v>
      </c>
      <c r="O640" s="44" t="s">
        <v>24</v>
      </c>
      <c r="P640" s="49">
        <v>0.0</v>
      </c>
      <c r="Q640" s="139"/>
      <c r="R640" s="60" t="s">
        <v>1346</v>
      </c>
      <c r="S640" s="45" t="s">
        <v>108</v>
      </c>
      <c r="T640" s="24" t="s">
        <v>2159</v>
      </c>
      <c r="U640" s="9" t="s">
        <v>29</v>
      </c>
      <c r="V640" s="51" t="str">
        <f t="shared" si="8"/>
        <v>Ativo</v>
      </c>
      <c r="W640" s="45"/>
      <c r="X640" s="52" t="s">
        <v>119</v>
      </c>
      <c r="Y640" s="54"/>
      <c r="Z640" s="54"/>
      <c r="AA640" s="54"/>
      <c r="AB640" s="54"/>
      <c r="AC640" s="54"/>
      <c r="AD640" s="54"/>
      <c r="AE640" s="54">
        <v>0.0</v>
      </c>
      <c r="AF640" s="54">
        <v>0.0</v>
      </c>
      <c r="AG640" s="54">
        <v>0.0</v>
      </c>
      <c r="AH640" s="54">
        <v>0.0</v>
      </c>
      <c r="AI640" s="54">
        <v>0.0</v>
      </c>
      <c r="AJ640" s="54">
        <v>0.0</v>
      </c>
      <c r="AK640" s="54">
        <v>0.0</v>
      </c>
      <c r="AL640" s="54">
        <v>0.0</v>
      </c>
      <c r="AM640" s="54">
        <v>0.0</v>
      </c>
      <c r="AN640" s="54">
        <v>0.0</v>
      </c>
      <c r="AO640" s="54">
        <v>0.0</v>
      </c>
      <c r="AP640" s="53">
        <v>0.0</v>
      </c>
      <c r="AQ640" s="53">
        <v>0.0</v>
      </c>
      <c r="AR640" s="53">
        <v>0.0</v>
      </c>
      <c r="AS640" s="53">
        <v>0.0</v>
      </c>
      <c r="AT640" s="53">
        <v>0.0</v>
      </c>
      <c r="AU640" s="53" t="str">
        <f t="array" ref="AU640">XLOOKUP(C640,'PL TOTAL D0'!A:A,'PL TOTAL D0'!C:C,"")</f>
        <v/>
      </c>
    </row>
    <row r="641" ht="15.75" customHeight="1">
      <c r="A641" s="41" t="s">
        <v>43</v>
      </c>
      <c r="B641" s="55" t="s">
        <v>2160</v>
      </c>
      <c r="C641" s="56" t="s">
        <v>2161</v>
      </c>
      <c r="D641" s="9" t="s">
        <v>105</v>
      </c>
      <c r="E641" s="24" t="s">
        <v>29</v>
      </c>
      <c r="F641" s="9" t="s">
        <v>218</v>
      </c>
      <c r="G641" s="44" t="str">
        <f t="shared" si="1"/>
        <v>Breno</v>
      </c>
      <c r="H641" s="51" t="s">
        <v>107</v>
      </c>
      <c r="I641" s="51" t="s">
        <v>24</v>
      </c>
      <c r="J641" s="44" t="str">
        <f t="shared" si="9"/>
        <v>Sim</v>
      </c>
      <c r="K641" s="57">
        <v>45464.0</v>
      </c>
      <c r="L641" s="62"/>
      <c r="M641" s="24" t="s">
        <v>55</v>
      </c>
      <c r="N641" s="58">
        <v>0.012</v>
      </c>
      <c r="O641" s="9" t="s">
        <v>24</v>
      </c>
      <c r="P641" s="59">
        <v>0.0</v>
      </c>
      <c r="Q641" s="138" t="s">
        <v>2162</v>
      </c>
      <c r="R641" s="60"/>
      <c r="S641" s="24" t="s">
        <v>108</v>
      </c>
      <c r="T641" s="24" t="s">
        <v>2163</v>
      </c>
      <c r="U641" s="9" t="s">
        <v>29</v>
      </c>
      <c r="V641" s="51" t="str">
        <f t="shared" si="8"/>
        <v>Ativo</v>
      </c>
      <c r="W641" s="24" t="s">
        <v>75</v>
      </c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/>
      <c r="AR641" s="53"/>
      <c r="AS641" s="53"/>
      <c r="AT641" s="53">
        <v>880804.3</v>
      </c>
      <c r="AU641" s="53">
        <f t="array" ref="AU641">XLOOKUP(C641,'PL TOTAL D0'!A:A,'PL TOTAL D0'!C:C,"")</f>
        <v>884273.3</v>
      </c>
    </row>
    <row r="642" ht="15.75" customHeight="1">
      <c r="A642" s="41" t="s">
        <v>43</v>
      </c>
      <c r="B642" s="115" t="s">
        <v>2164</v>
      </c>
      <c r="C642" s="43" t="s">
        <v>2165</v>
      </c>
      <c r="D642" s="44" t="s">
        <v>18</v>
      </c>
      <c r="E642" s="45" t="s">
        <v>19</v>
      </c>
      <c r="F642" s="44" t="s">
        <v>20</v>
      </c>
      <c r="G642" s="44" t="str">
        <f t="shared" si="1"/>
        <v>Augusto</v>
      </c>
      <c r="H642" s="46" t="s">
        <v>107</v>
      </c>
      <c r="I642" s="46" t="s">
        <v>24</v>
      </c>
      <c r="J642" s="44" t="str">
        <f t="shared" si="9"/>
        <v>Não</v>
      </c>
      <c r="K642" s="47">
        <v>45027.0</v>
      </c>
      <c r="L642" s="45"/>
      <c r="M642" s="45" t="s">
        <v>55</v>
      </c>
      <c r="N642" s="48">
        <v>0.012</v>
      </c>
      <c r="O642" s="44" t="s">
        <v>24</v>
      </c>
      <c r="P642" s="49">
        <v>0.0</v>
      </c>
      <c r="Q642" s="139"/>
      <c r="R642" s="139"/>
      <c r="S642" s="45" t="s">
        <v>108</v>
      </c>
      <c r="T642" s="24" t="s">
        <v>2166</v>
      </c>
      <c r="U642" s="9" t="s">
        <v>1112</v>
      </c>
      <c r="V642" s="51" t="str">
        <f t="shared" si="8"/>
        <v>Ativo</v>
      </c>
      <c r="W642" s="45"/>
      <c r="X642" s="52" t="s">
        <v>119</v>
      </c>
      <c r="Y642" s="54"/>
      <c r="Z642" s="54"/>
      <c r="AA642" s="54"/>
      <c r="AB642" s="54"/>
      <c r="AC642" s="54"/>
      <c r="AD642" s="54"/>
      <c r="AE642" s="54">
        <v>0.0</v>
      </c>
      <c r="AF642" s="54">
        <v>215468.62</v>
      </c>
      <c r="AG642" s="54">
        <v>217477.55</v>
      </c>
      <c r="AH642" s="54">
        <v>219227.81</v>
      </c>
      <c r="AI642" s="54">
        <v>320715.33</v>
      </c>
      <c r="AJ642" s="54">
        <v>349171.08</v>
      </c>
      <c r="AK642" s="54">
        <v>351580.87</v>
      </c>
      <c r="AL642" s="54">
        <v>354443.63</v>
      </c>
      <c r="AM642" s="54">
        <v>356843.49</v>
      </c>
      <c r="AN642" s="54">
        <v>359473.07</v>
      </c>
      <c r="AO642" s="54">
        <v>362690.15</v>
      </c>
      <c r="AP642" s="53">
        <v>365407.73</v>
      </c>
      <c r="AQ642" s="53">
        <v>368641.85</v>
      </c>
      <c r="AR642" s="53">
        <v>371454.71</v>
      </c>
      <c r="AS642" s="53">
        <v>374341.3</v>
      </c>
      <c r="AT642" s="53">
        <v>377216.4</v>
      </c>
      <c r="AU642" s="53">
        <f t="array" ref="AU642">XLOOKUP(C642,'PL TOTAL D0'!A:A,'PL TOTAL D0'!C:C,"")</f>
        <v>377223.5</v>
      </c>
    </row>
    <row r="643" ht="15.75" customHeight="1">
      <c r="A643" s="41" t="s">
        <v>43</v>
      </c>
      <c r="B643" s="42" t="s">
        <v>2167</v>
      </c>
      <c r="C643" s="43" t="s">
        <v>2168</v>
      </c>
      <c r="D643" s="44" t="s">
        <v>105</v>
      </c>
      <c r="E643" s="45" t="s">
        <v>29</v>
      </c>
      <c r="F643" s="44" t="s">
        <v>106</v>
      </c>
      <c r="G643" s="44" t="str">
        <f t="shared" si="1"/>
        <v>Breno</v>
      </c>
      <c r="H643" s="46" t="s">
        <v>107</v>
      </c>
      <c r="I643" s="46" t="s">
        <v>24</v>
      </c>
      <c r="J643" s="44" t="str">
        <f t="shared" si="9"/>
        <v>Não</v>
      </c>
      <c r="K643" s="47">
        <v>45124.0</v>
      </c>
      <c r="L643" s="62"/>
      <c r="M643" s="45" t="s">
        <v>2169</v>
      </c>
      <c r="N643" s="48">
        <v>0.014</v>
      </c>
      <c r="O643" s="44" t="s">
        <v>48</v>
      </c>
      <c r="P643" s="49">
        <v>0.1</v>
      </c>
      <c r="Q643" s="74"/>
      <c r="R643" s="74"/>
      <c r="S643" s="45" t="s">
        <v>108</v>
      </c>
      <c r="T643" s="24" t="s">
        <v>2170</v>
      </c>
      <c r="U643" s="9" t="s">
        <v>29</v>
      </c>
      <c r="V643" s="51" t="str">
        <f t="shared" si="8"/>
        <v>Ativo</v>
      </c>
      <c r="W643" s="45"/>
      <c r="X643" s="52" t="s">
        <v>119</v>
      </c>
      <c r="Y643" s="54"/>
      <c r="Z643" s="54"/>
      <c r="AA643" s="54"/>
      <c r="AB643" s="54"/>
      <c r="AC643" s="54"/>
      <c r="AD643" s="54"/>
      <c r="AE643" s="54"/>
      <c r="AF643" s="54"/>
      <c r="AG643" s="54"/>
      <c r="AH643" s="54">
        <v>0.0</v>
      </c>
      <c r="AI643" s="54">
        <v>401081.8</v>
      </c>
      <c r="AJ643" s="54">
        <v>546504.0</v>
      </c>
      <c r="AK643" s="54">
        <v>608060.78</v>
      </c>
      <c r="AL643" s="54">
        <v>622970.52</v>
      </c>
      <c r="AM643" s="54">
        <v>647615.82</v>
      </c>
      <c r="AN643" s="54">
        <v>706869.86</v>
      </c>
      <c r="AO643" s="54">
        <v>713532.19</v>
      </c>
      <c r="AP643" s="53">
        <v>675253.15</v>
      </c>
      <c r="AQ643" s="53">
        <v>686867.99</v>
      </c>
      <c r="AR643" s="53">
        <v>701714.16</v>
      </c>
      <c r="AS643" s="53">
        <v>723802.8</v>
      </c>
      <c r="AT643" s="53">
        <v>733123.7</v>
      </c>
      <c r="AU643" s="53">
        <f t="array" ref="AU643">XLOOKUP(C643,'PL TOTAL D0'!A:A,'PL TOTAL D0'!C:C,"")</f>
        <v>752883.4</v>
      </c>
    </row>
    <row r="644" ht="15.75" customHeight="1">
      <c r="A644" s="41" t="s">
        <v>43</v>
      </c>
      <c r="B644" s="42" t="s">
        <v>2171</v>
      </c>
      <c r="C644" s="56" t="s">
        <v>2172</v>
      </c>
      <c r="D644" s="44" t="s">
        <v>18</v>
      </c>
      <c r="E644" s="45" t="s">
        <v>19</v>
      </c>
      <c r="F644" s="44" t="s">
        <v>256</v>
      </c>
      <c r="G644" s="44" t="str">
        <f t="shared" si="1"/>
        <v>Augusto</v>
      </c>
      <c r="H644" s="46" t="s">
        <v>107</v>
      </c>
      <c r="I644" s="46" t="s">
        <v>24</v>
      </c>
      <c r="J644" s="44" t="str">
        <f t="shared" si="9"/>
        <v>Não</v>
      </c>
      <c r="K644" s="47">
        <v>45140.0</v>
      </c>
      <c r="L644" s="62"/>
      <c r="M644" s="45" t="s">
        <v>55</v>
      </c>
      <c r="N644" s="48">
        <v>0.01</v>
      </c>
      <c r="O644" s="44" t="s">
        <v>24</v>
      </c>
      <c r="P644" s="49">
        <v>0.0</v>
      </c>
      <c r="Q644" s="139"/>
      <c r="R644" s="139"/>
      <c r="S644" s="45" t="s">
        <v>108</v>
      </c>
      <c r="T644" s="24" t="s">
        <v>2173</v>
      </c>
      <c r="U644" s="9" t="s">
        <v>19</v>
      </c>
      <c r="V644" s="51" t="str">
        <f t="shared" si="8"/>
        <v>Ativo</v>
      </c>
      <c r="W644" s="45"/>
      <c r="X644" s="52" t="s">
        <v>119</v>
      </c>
      <c r="Y644" s="54"/>
      <c r="Z644" s="54"/>
      <c r="AA644" s="54"/>
      <c r="AB644" s="54"/>
      <c r="AC644" s="54">
        <v>0.0</v>
      </c>
      <c r="AD644" s="54">
        <v>0.0</v>
      </c>
      <c r="AE644" s="54">
        <v>0.0</v>
      </c>
      <c r="AF644" s="54">
        <v>0.0</v>
      </c>
      <c r="AG644" s="54">
        <v>0.0</v>
      </c>
      <c r="AH644" s="54">
        <v>0.0</v>
      </c>
      <c r="AI644" s="54">
        <v>0.0</v>
      </c>
      <c r="AJ644" s="54">
        <v>201716.4</v>
      </c>
      <c r="AK644" s="54">
        <v>203447.67</v>
      </c>
      <c r="AL644" s="54">
        <v>205220.16</v>
      </c>
      <c r="AM644" s="54">
        <v>206722.52</v>
      </c>
      <c r="AN644" s="54">
        <v>208336.6</v>
      </c>
      <c r="AO644" s="54">
        <v>210172.99</v>
      </c>
      <c r="AP644" s="53">
        <v>186046.01</v>
      </c>
      <c r="AQ644" s="53">
        <v>187596.72</v>
      </c>
      <c r="AR644" s="53">
        <v>188257.1</v>
      </c>
      <c r="AS644" s="53">
        <v>189796.5</v>
      </c>
      <c r="AT644" s="53">
        <v>191336.6</v>
      </c>
      <c r="AU644" s="53">
        <f t="array" ref="AU644">XLOOKUP(C644,'PL TOTAL D0'!A:A,'PL TOTAL D0'!C:C,"")</f>
        <v>192016</v>
      </c>
    </row>
    <row r="645" ht="15.75" customHeight="1">
      <c r="A645" s="41" t="s">
        <v>43</v>
      </c>
      <c r="B645" s="61" t="s">
        <v>2174</v>
      </c>
      <c r="C645" s="43" t="s">
        <v>2175</v>
      </c>
      <c r="D645" s="44" t="s">
        <v>18</v>
      </c>
      <c r="E645" s="45" t="s">
        <v>176</v>
      </c>
      <c r="F645" s="44" t="s">
        <v>177</v>
      </c>
      <c r="G645" s="44" t="str">
        <f t="shared" si="1"/>
        <v>Augusto</v>
      </c>
      <c r="H645" s="46" t="s">
        <v>107</v>
      </c>
      <c r="I645" s="46" t="s">
        <v>24</v>
      </c>
      <c r="J645" s="44" t="str">
        <f t="shared" si="9"/>
        <v>Não</v>
      </c>
      <c r="K645" s="47">
        <v>45029.0</v>
      </c>
      <c r="L645" s="45"/>
      <c r="M645" s="45" t="s">
        <v>47</v>
      </c>
      <c r="N645" s="48">
        <v>0.015</v>
      </c>
      <c r="O645" s="44" t="s">
        <v>48</v>
      </c>
      <c r="P645" s="49">
        <v>0.1</v>
      </c>
      <c r="Q645" s="139"/>
      <c r="R645" s="139"/>
      <c r="S645" s="45" t="s">
        <v>108</v>
      </c>
      <c r="T645" s="24" t="s">
        <v>2176</v>
      </c>
      <c r="U645" s="9" t="s">
        <v>34</v>
      </c>
      <c r="V645" s="51" t="str">
        <f t="shared" si="8"/>
        <v>Ativo</v>
      </c>
      <c r="W645" s="45"/>
      <c r="X645" s="52" t="s">
        <v>110</v>
      </c>
      <c r="Y645" s="54"/>
      <c r="Z645" s="54"/>
      <c r="AA645" s="54"/>
      <c r="AB645" s="54"/>
      <c r="AC645" s="54"/>
      <c r="AD645" s="54"/>
      <c r="AE645" s="54">
        <v>0.0</v>
      </c>
      <c r="AF645" s="54">
        <v>71165.0</v>
      </c>
      <c r="AG645" s="54">
        <v>71927.97</v>
      </c>
      <c r="AH645" s="54">
        <v>74121.42</v>
      </c>
      <c r="AI645" s="54">
        <v>75419.21</v>
      </c>
      <c r="AJ645" s="54">
        <v>74772.62</v>
      </c>
      <c r="AK645" s="54">
        <v>74160.17</v>
      </c>
      <c r="AL645" s="54">
        <v>74366.7</v>
      </c>
      <c r="AM645" s="54">
        <v>75449.28</v>
      </c>
      <c r="AN645" s="54">
        <v>76863.18</v>
      </c>
      <c r="AO645" s="54">
        <v>75769.16</v>
      </c>
      <c r="AP645" s="53">
        <v>76380.91</v>
      </c>
      <c r="AQ645" s="53">
        <v>77206.92</v>
      </c>
      <c r="AR645" s="53">
        <v>76735.03</v>
      </c>
      <c r="AS645" s="53">
        <v>76733.32</v>
      </c>
      <c r="AT645" s="53">
        <v>77164.11</v>
      </c>
      <c r="AU645" s="53">
        <f t="array" ref="AU645">XLOOKUP(C645,'PL TOTAL D0'!A:A,'PL TOTAL D0'!C:C,"")</f>
        <v>78108.92</v>
      </c>
    </row>
    <row r="646" ht="15.75" customHeight="1">
      <c r="A646" s="41" t="s">
        <v>43</v>
      </c>
      <c r="B646" s="61" t="s">
        <v>2177</v>
      </c>
      <c r="C646" s="43" t="s">
        <v>2178</v>
      </c>
      <c r="D646" s="44" t="s">
        <v>18</v>
      </c>
      <c r="E646" s="45" t="s">
        <v>176</v>
      </c>
      <c r="F646" s="44" t="s">
        <v>197</v>
      </c>
      <c r="G646" s="44" t="str">
        <f t="shared" si="1"/>
        <v>#N/A</v>
      </c>
      <c r="H646" s="51" t="s">
        <v>147</v>
      </c>
      <c r="I646" s="51" t="s">
        <v>219</v>
      </c>
      <c r="J646" s="44" t="str">
        <f t="shared" si="9"/>
        <v>Não</v>
      </c>
      <c r="K646" s="47">
        <v>45163.0</v>
      </c>
      <c r="L646" s="62"/>
      <c r="M646" s="45" t="s">
        <v>55</v>
      </c>
      <c r="N646" s="48">
        <v>0.012</v>
      </c>
      <c r="O646" s="44" t="s">
        <v>24</v>
      </c>
      <c r="P646" s="49">
        <v>0.0</v>
      </c>
      <c r="Q646" s="63"/>
      <c r="R646" s="60" t="s">
        <v>2179</v>
      </c>
      <c r="S646" s="45" t="s">
        <v>108</v>
      </c>
      <c r="T646" s="24" t="s">
        <v>2180</v>
      </c>
      <c r="U646" s="9" t="s">
        <v>34</v>
      </c>
      <c r="V646" s="51" t="str">
        <f t="shared" si="8"/>
        <v>Ativo</v>
      </c>
      <c r="W646" s="45"/>
      <c r="X646" s="52" t="s">
        <v>110</v>
      </c>
      <c r="Y646" s="54"/>
      <c r="Z646" s="54"/>
      <c r="AA646" s="54"/>
      <c r="AB646" s="54"/>
      <c r="AC646" s="54"/>
      <c r="AD646" s="54"/>
      <c r="AE646" s="54">
        <v>0.0</v>
      </c>
      <c r="AF646" s="54">
        <v>0.0</v>
      </c>
      <c r="AG646" s="54">
        <v>0.0</v>
      </c>
      <c r="AH646" s="54">
        <v>0.0</v>
      </c>
      <c r="AI646" s="54">
        <v>0.0</v>
      </c>
      <c r="AJ646" s="54">
        <v>0.0</v>
      </c>
      <c r="AK646" s="54">
        <v>36758.0</v>
      </c>
      <c r="AL646" s="54">
        <v>30221.63</v>
      </c>
      <c r="AM646" s="54">
        <v>30342.95</v>
      </c>
      <c r="AN646" s="54">
        <v>30573.89</v>
      </c>
      <c r="AO646" s="54">
        <v>30875.75</v>
      </c>
      <c r="AP646" s="53">
        <v>31157.0</v>
      </c>
      <c r="AQ646" s="53">
        <v>31477.15</v>
      </c>
      <c r="AR646" s="53">
        <v>31753.35</v>
      </c>
      <c r="AS646" s="53">
        <v>773.03</v>
      </c>
      <c r="AT646" s="53">
        <v>33.7</v>
      </c>
      <c r="AU646" s="53" t="str">
        <f t="array" ref="AU646">XLOOKUP(C646,'PL TOTAL D0'!A:A,'PL TOTAL D0'!C:C,"")</f>
        <v/>
      </c>
    </row>
    <row r="647" ht="15.75" customHeight="1">
      <c r="A647" s="41" t="s">
        <v>43</v>
      </c>
      <c r="B647" s="61" t="s">
        <v>2177</v>
      </c>
      <c r="C647" s="43" t="s">
        <v>2181</v>
      </c>
      <c r="D647" s="44" t="s">
        <v>18</v>
      </c>
      <c r="E647" s="45" t="s">
        <v>176</v>
      </c>
      <c r="F647" s="44" t="s">
        <v>197</v>
      </c>
      <c r="G647" s="44" t="str">
        <f t="shared" si="1"/>
        <v>Augusto</v>
      </c>
      <c r="H647" s="51" t="s">
        <v>107</v>
      </c>
      <c r="I647" s="51" t="s">
        <v>24</v>
      </c>
      <c r="J647" s="44" t="str">
        <f t="shared" si="9"/>
        <v>Sim</v>
      </c>
      <c r="K647" s="47">
        <v>45163.0</v>
      </c>
      <c r="L647" s="62"/>
      <c r="M647" s="45" t="s">
        <v>47</v>
      </c>
      <c r="N647" s="48">
        <v>0.015</v>
      </c>
      <c r="O647" s="44" t="s">
        <v>48</v>
      </c>
      <c r="P647" s="49">
        <v>0.1</v>
      </c>
      <c r="Q647" s="184" t="s">
        <v>1317</v>
      </c>
      <c r="R647" s="60" t="s">
        <v>2182</v>
      </c>
      <c r="S647" s="45" t="s">
        <v>108</v>
      </c>
      <c r="T647" s="24" t="s">
        <v>2180</v>
      </c>
      <c r="U647" s="9" t="s">
        <v>34</v>
      </c>
      <c r="V647" s="51" t="str">
        <f t="shared" si="8"/>
        <v>Ativo</v>
      </c>
      <c r="W647" s="45"/>
      <c r="X647" s="52" t="s">
        <v>110</v>
      </c>
      <c r="Y647" s="54"/>
      <c r="Z647" s="54"/>
      <c r="AA647" s="54"/>
      <c r="AB647" s="54"/>
      <c r="AC647" s="54"/>
      <c r="AD647" s="54"/>
      <c r="AE647" s="54">
        <v>0.0</v>
      </c>
      <c r="AF647" s="54">
        <v>0.0</v>
      </c>
      <c r="AG647" s="54">
        <v>0.0</v>
      </c>
      <c r="AH647" s="54">
        <v>0.0</v>
      </c>
      <c r="AI647" s="54">
        <v>0.0</v>
      </c>
      <c r="AJ647" s="54">
        <v>0.0</v>
      </c>
      <c r="AK647" s="54">
        <v>178971.88</v>
      </c>
      <c r="AL647" s="54">
        <v>164836.78</v>
      </c>
      <c r="AM647" s="54">
        <v>168729.46</v>
      </c>
      <c r="AN647" s="54">
        <v>171907.46</v>
      </c>
      <c r="AO647" s="54">
        <v>169526.39</v>
      </c>
      <c r="AP647" s="53">
        <v>170394.9</v>
      </c>
      <c r="AQ647" s="53">
        <v>172384.33</v>
      </c>
      <c r="AR647" s="53">
        <v>171338.35</v>
      </c>
      <c r="AS647" s="53">
        <v>221939.4</v>
      </c>
      <c r="AT647" s="53">
        <v>224158.2</v>
      </c>
      <c r="AU647" s="53">
        <f t="array" ref="AU647">XLOOKUP(C647,'PL TOTAL D0'!A:A,'PL TOTAL D0'!C:C,"")</f>
        <v>227213.6</v>
      </c>
    </row>
    <row r="648" ht="15.75" customHeight="1">
      <c r="A648" s="6" t="s">
        <v>43</v>
      </c>
      <c r="B648" s="64" t="s">
        <v>2183</v>
      </c>
      <c r="C648" s="65" t="s">
        <v>2184</v>
      </c>
      <c r="D648" s="9" t="s">
        <v>70</v>
      </c>
      <c r="E648" s="24" t="s">
        <v>29</v>
      </c>
      <c r="F648" s="9" t="s">
        <v>309</v>
      </c>
      <c r="G648" s="44" t="str">
        <f t="shared" si="1"/>
        <v>Augusto</v>
      </c>
      <c r="H648" s="51" t="s">
        <v>107</v>
      </c>
      <c r="I648" s="51" t="s">
        <v>24</v>
      </c>
      <c r="J648" s="44" t="str">
        <f t="shared" si="9"/>
        <v>Sim</v>
      </c>
      <c r="K648" s="57">
        <v>45386.0</v>
      </c>
      <c r="L648" s="62"/>
      <c r="M648" s="24" t="s">
        <v>55</v>
      </c>
      <c r="N648" s="58">
        <v>0.012</v>
      </c>
      <c r="O648" s="9" t="s">
        <v>24</v>
      </c>
      <c r="P648" s="59">
        <v>0.0</v>
      </c>
      <c r="Q648" s="15" t="s">
        <v>2185</v>
      </c>
      <c r="R648" s="60"/>
      <c r="S648" s="24" t="s">
        <v>108</v>
      </c>
      <c r="T648" s="23" t="s">
        <v>2186</v>
      </c>
      <c r="U648" s="9" t="s">
        <v>29</v>
      </c>
      <c r="V648" s="51" t="str">
        <f t="shared" si="8"/>
        <v>Ativo</v>
      </c>
      <c r="W648" s="45"/>
      <c r="X648" s="52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3"/>
      <c r="AQ648" s="53"/>
      <c r="AR648" s="53">
        <v>228292.15</v>
      </c>
      <c r="AS648" s="53">
        <v>219970.0</v>
      </c>
      <c r="AT648" s="53">
        <v>221804.9</v>
      </c>
      <c r="AU648" s="53">
        <f t="array" ref="AU648">XLOOKUP(C648,'PL TOTAL D0'!A:A,'PL TOTAL D0'!C:C,"")</f>
        <v>212499.1</v>
      </c>
    </row>
    <row r="649" ht="15.75" customHeight="1">
      <c r="A649" s="41" t="s">
        <v>43</v>
      </c>
      <c r="B649" s="61" t="s">
        <v>2187</v>
      </c>
      <c r="C649" s="43" t="s">
        <v>2188</v>
      </c>
      <c r="D649" s="44" t="s">
        <v>18</v>
      </c>
      <c r="E649" s="45" t="s">
        <v>19</v>
      </c>
      <c r="F649" s="44" t="s">
        <v>213</v>
      </c>
      <c r="G649" s="44" t="str">
        <f t="shared" si="1"/>
        <v>#N/A</v>
      </c>
      <c r="H649" s="46" t="s">
        <v>147</v>
      </c>
      <c r="I649" s="46" t="s">
        <v>161</v>
      </c>
      <c r="J649" s="44" t="str">
        <f t="shared" si="9"/>
        <v>Não</v>
      </c>
      <c r="K649" s="47">
        <v>45063.0</v>
      </c>
      <c r="L649" s="45"/>
      <c r="M649" s="45" t="s">
        <v>55</v>
      </c>
      <c r="N649" s="48">
        <v>0.012</v>
      </c>
      <c r="O649" s="44" t="s">
        <v>24</v>
      </c>
      <c r="P649" s="49">
        <v>0.0</v>
      </c>
      <c r="Q649" s="139"/>
      <c r="R649" s="139"/>
      <c r="S649" s="45" t="s">
        <v>108</v>
      </c>
      <c r="T649" s="24" t="s">
        <v>2189</v>
      </c>
      <c r="U649" s="9" t="s">
        <v>19</v>
      </c>
      <c r="V649" s="51" t="str">
        <f t="shared" si="8"/>
        <v>Ativo</v>
      </c>
      <c r="W649" s="45"/>
      <c r="X649" s="52" t="s">
        <v>119</v>
      </c>
      <c r="Y649" s="54"/>
      <c r="Z649" s="54"/>
      <c r="AA649" s="54"/>
      <c r="AB649" s="54"/>
      <c r="AC649" s="54"/>
      <c r="AD649" s="54"/>
      <c r="AE649" s="54">
        <v>0.0</v>
      </c>
      <c r="AF649" s="54">
        <v>0.0</v>
      </c>
      <c r="AG649" s="54">
        <v>44467.04</v>
      </c>
      <c r="AH649" s="54">
        <v>8.45</v>
      </c>
      <c r="AI649" s="54">
        <v>0.0</v>
      </c>
      <c r="AJ649" s="54">
        <v>0.0</v>
      </c>
      <c r="AK649" s="54">
        <v>0.0</v>
      </c>
      <c r="AL649" s="54">
        <v>0.0</v>
      </c>
      <c r="AM649" s="54">
        <v>0.0</v>
      </c>
      <c r="AN649" s="54">
        <v>0.0</v>
      </c>
      <c r="AO649" s="54">
        <v>0.0</v>
      </c>
      <c r="AP649" s="53">
        <v>0.0</v>
      </c>
      <c r="AQ649" s="53">
        <v>0.0</v>
      </c>
      <c r="AR649" s="53">
        <v>0.0</v>
      </c>
      <c r="AS649" s="53">
        <v>0.0</v>
      </c>
      <c r="AT649" s="53">
        <v>0.0</v>
      </c>
      <c r="AU649" s="53" t="str">
        <f t="array" ref="AU649">XLOOKUP(C649,'PL TOTAL D0'!A:A,'PL TOTAL D0'!C:C,"")</f>
        <v/>
      </c>
    </row>
    <row r="650" ht="15.75" customHeight="1">
      <c r="A650" s="41" t="s">
        <v>43</v>
      </c>
      <c r="B650" s="66" t="s">
        <v>2190</v>
      </c>
      <c r="C650" s="67" t="s">
        <v>2191</v>
      </c>
      <c r="D650" s="44" t="s">
        <v>18</v>
      </c>
      <c r="E650" s="45" t="s">
        <v>176</v>
      </c>
      <c r="F650" s="44" t="s">
        <v>177</v>
      </c>
      <c r="G650" s="44" t="str">
        <f t="shared" si="1"/>
        <v>Augusto</v>
      </c>
      <c r="H650" s="46" t="s">
        <v>107</v>
      </c>
      <c r="I650" s="51" t="s">
        <v>24</v>
      </c>
      <c r="J650" s="44" t="str">
        <f t="shared" si="9"/>
        <v>Não</v>
      </c>
      <c r="K650" s="47">
        <v>45271.0</v>
      </c>
      <c r="L650" s="45"/>
      <c r="M650" s="93" t="s">
        <v>79</v>
      </c>
      <c r="N650" s="117">
        <v>0.012</v>
      </c>
      <c r="O650" s="95" t="s">
        <v>48</v>
      </c>
      <c r="P650" s="118">
        <v>0.1</v>
      </c>
      <c r="Q650" s="139"/>
      <c r="R650" s="139"/>
      <c r="S650" s="45" t="s">
        <v>108</v>
      </c>
      <c r="T650" s="24" t="s">
        <v>2192</v>
      </c>
      <c r="U650" s="9" t="s">
        <v>180</v>
      </c>
      <c r="V650" s="51" t="str">
        <f t="shared" si="8"/>
        <v>Ativo</v>
      </c>
      <c r="W650" s="45"/>
      <c r="X650" s="52" t="s">
        <v>110</v>
      </c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>
        <v>241127.73</v>
      </c>
      <c r="AO650" s="54">
        <v>240868.5</v>
      </c>
      <c r="AP650" s="53">
        <v>242741.27</v>
      </c>
      <c r="AQ650" s="53">
        <v>194411.18</v>
      </c>
      <c r="AR650" s="53">
        <v>194120.7</v>
      </c>
      <c r="AS650" s="53">
        <v>133418.2</v>
      </c>
      <c r="AT650" s="53">
        <v>134270.8</v>
      </c>
      <c r="AU650" s="53">
        <f t="array" ref="AU650">XLOOKUP(C650,'PL TOTAL D0'!A:A,'PL TOTAL D0'!C:C,"")</f>
        <v>99613.34</v>
      </c>
    </row>
    <row r="651" ht="15.75" customHeight="1">
      <c r="A651" s="41" t="s">
        <v>43</v>
      </c>
      <c r="B651" s="42" t="s">
        <v>2193</v>
      </c>
      <c r="C651" s="43" t="s">
        <v>2194</v>
      </c>
      <c r="D651" s="44" t="s">
        <v>18</v>
      </c>
      <c r="E651" s="45" t="s">
        <v>29</v>
      </c>
      <c r="F651" s="44" t="s">
        <v>294</v>
      </c>
      <c r="G651" s="44" t="str">
        <f t="shared" si="1"/>
        <v>#N/A</v>
      </c>
      <c r="H651" s="51" t="s">
        <v>147</v>
      </c>
      <c r="I651" s="46" t="s">
        <v>219</v>
      </c>
      <c r="J651" s="44" t="str">
        <f t="shared" si="9"/>
        <v>Não</v>
      </c>
      <c r="K651" s="47">
        <v>45163.0</v>
      </c>
      <c r="L651" s="62"/>
      <c r="M651" s="45" t="s">
        <v>55</v>
      </c>
      <c r="N651" s="48">
        <v>0.012</v>
      </c>
      <c r="O651" s="44" t="s">
        <v>24</v>
      </c>
      <c r="P651" s="49">
        <v>0.0</v>
      </c>
      <c r="Q651" s="73"/>
      <c r="R651" s="74"/>
      <c r="S651" s="45" t="s">
        <v>108</v>
      </c>
      <c r="T651" s="24" t="s">
        <v>2195</v>
      </c>
      <c r="U651" s="9" t="s">
        <v>29</v>
      </c>
      <c r="V651" s="51" t="str">
        <f t="shared" si="8"/>
        <v>Ativo</v>
      </c>
      <c r="W651" s="45"/>
      <c r="X651" s="52" t="s">
        <v>119</v>
      </c>
      <c r="Y651" s="54"/>
      <c r="Z651" s="54"/>
      <c r="AA651" s="54"/>
      <c r="AB651" s="54"/>
      <c r="AC651" s="54"/>
      <c r="AD651" s="54"/>
      <c r="AE651" s="54"/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0.0</v>
      </c>
      <c r="AL651" s="54">
        <v>0.0</v>
      </c>
      <c r="AM651" s="54">
        <v>0.0</v>
      </c>
      <c r="AN651" s="54">
        <v>0.0</v>
      </c>
      <c r="AO651" s="54">
        <v>0.0</v>
      </c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 t="str">
        <f t="array" ref="AU651">XLOOKUP(C651,'PL TOTAL D0'!A:A,'PL TOTAL D0'!C:C,"")</f>
        <v/>
      </c>
    </row>
    <row r="652" ht="15.75" customHeight="1">
      <c r="A652" s="41" t="s">
        <v>43</v>
      </c>
      <c r="B652" s="42" t="s">
        <v>2193</v>
      </c>
      <c r="C652" s="43" t="s">
        <v>2196</v>
      </c>
      <c r="D652" s="44" t="s">
        <v>18</v>
      </c>
      <c r="E652" s="45" t="s">
        <v>29</v>
      </c>
      <c r="F652" s="44" t="s">
        <v>294</v>
      </c>
      <c r="G652" s="44" t="str">
        <f t="shared" si="1"/>
        <v>#N/A</v>
      </c>
      <c r="H652" s="51" t="s">
        <v>147</v>
      </c>
      <c r="I652" s="51" t="s">
        <v>161</v>
      </c>
      <c r="J652" s="44" t="str">
        <f t="shared" si="9"/>
        <v>Não</v>
      </c>
      <c r="K652" s="47">
        <v>45163.0</v>
      </c>
      <c r="L652" s="62"/>
      <c r="M652" s="45" t="s">
        <v>129</v>
      </c>
      <c r="N652" s="48">
        <v>0.0</v>
      </c>
      <c r="O652" s="44" t="s">
        <v>24</v>
      </c>
      <c r="P652" s="49">
        <v>0.0</v>
      </c>
      <c r="Q652" s="74"/>
      <c r="R652" s="74"/>
      <c r="S652" s="45" t="s">
        <v>108</v>
      </c>
      <c r="T652" s="24" t="s">
        <v>2195</v>
      </c>
      <c r="U652" s="9" t="s">
        <v>29</v>
      </c>
      <c r="V652" s="51" t="str">
        <f t="shared" si="8"/>
        <v>Ativo</v>
      </c>
      <c r="W652" s="45"/>
      <c r="X652" s="52" t="s">
        <v>119</v>
      </c>
      <c r="Y652" s="54"/>
      <c r="Z652" s="54"/>
      <c r="AA652" s="54"/>
      <c r="AB652" s="54"/>
      <c r="AC652" s="54"/>
      <c r="AD652" s="54"/>
      <c r="AE652" s="54"/>
      <c r="AF652" s="54">
        <v>0.0</v>
      </c>
      <c r="AG652" s="54">
        <v>0.0</v>
      </c>
      <c r="AH652" s="54">
        <v>0.0</v>
      </c>
      <c r="AI652" s="54">
        <v>0.0</v>
      </c>
      <c r="AJ652" s="54">
        <v>0.0</v>
      </c>
      <c r="AK652" s="54">
        <v>0.0</v>
      </c>
      <c r="AL652" s="54">
        <v>0.0</v>
      </c>
      <c r="AM652" s="54">
        <v>0.0</v>
      </c>
      <c r="AN652" s="54">
        <v>0.0</v>
      </c>
      <c r="AO652" s="54">
        <v>0.0</v>
      </c>
      <c r="AP652" s="53">
        <v>0.0</v>
      </c>
      <c r="AQ652" s="53">
        <v>0.0</v>
      </c>
      <c r="AR652" s="53">
        <v>0.0</v>
      </c>
      <c r="AS652" s="53">
        <v>0.0</v>
      </c>
      <c r="AT652" s="53">
        <v>0.0</v>
      </c>
      <c r="AU652" s="53" t="str">
        <f t="array" ref="AU652">XLOOKUP(C652,'PL TOTAL D0'!A:A,'PL TOTAL D0'!C:C,"")</f>
        <v/>
      </c>
    </row>
    <row r="653" ht="15.75" customHeight="1">
      <c r="A653" s="41" t="s">
        <v>43</v>
      </c>
      <c r="B653" s="42" t="s">
        <v>2193</v>
      </c>
      <c r="C653" s="43" t="s">
        <v>2197</v>
      </c>
      <c r="D653" s="44" t="s">
        <v>18</v>
      </c>
      <c r="E653" s="45" t="s">
        <v>29</v>
      </c>
      <c r="F653" s="44" t="s">
        <v>294</v>
      </c>
      <c r="G653" s="44" t="str">
        <f t="shared" si="1"/>
        <v>#N/A</v>
      </c>
      <c r="H653" s="51" t="s">
        <v>147</v>
      </c>
      <c r="I653" s="51" t="s">
        <v>161</v>
      </c>
      <c r="J653" s="44" t="str">
        <f t="shared" si="9"/>
        <v>Não</v>
      </c>
      <c r="K653" s="47">
        <v>45163.0</v>
      </c>
      <c r="L653" s="62"/>
      <c r="M653" s="45" t="s">
        <v>129</v>
      </c>
      <c r="N653" s="48">
        <v>0.0</v>
      </c>
      <c r="O653" s="44" t="s">
        <v>24</v>
      </c>
      <c r="P653" s="49">
        <v>0.0</v>
      </c>
      <c r="Q653" s="74"/>
      <c r="R653" s="74"/>
      <c r="S653" s="45" t="s">
        <v>108</v>
      </c>
      <c r="T653" s="24" t="s">
        <v>2195</v>
      </c>
      <c r="U653" s="9" t="s">
        <v>29</v>
      </c>
      <c r="V653" s="51" t="str">
        <f t="shared" si="8"/>
        <v>Ativo</v>
      </c>
      <c r="W653" s="45"/>
      <c r="X653" s="52" t="s">
        <v>119</v>
      </c>
      <c r="Y653" s="54"/>
      <c r="Z653" s="54"/>
      <c r="AA653" s="54"/>
      <c r="AB653" s="54"/>
      <c r="AC653" s="54"/>
      <c r="AD653" s="54"/>
      <c r="AE653" s="54"/>
      <c r="AF653" s="54">
        <v>0.0</v>
      </c>
      <c r="AG653" s="54">
        <v>0.0</v>
      </c>
      <c r="AH653" s="54">
        <v>0.0</v>
      </c>
      <c r="AI653" s="54">
        <v>0.0</v>
      </c>
      <c r="AJ653" s="54">
        <v>0.0</v>
      </c>
      <c r="AK653" s="54">
        <v>0.0</v>
      </c>
      <c r="AL653" s="54">
        <v>0.0</v>
      </c>
      <c r="AM653" s="54">
        <v>0.0</v>
      </c>
      <c r="AN653" s="54">
        <v>0.0</v>
      </c>
      <c r="AO653" s="54">
        <v>0.0</v>
      </c>
      <c r="AP653" s="53">
        <v>0.0</v>
      </c>
      <c r="AQ653" s="53">
        <v>0.0</v>
      </c>
      <c r="AR653" s="53">
        <v>0.0</v>
      </c>
      <c r="AS653" s="53">
        <v>0.0</v>
      </c>
      <c r="AT653" s="53">
        <v>0.0</v>
      </c>
      <c r="AU653" s="53" t="str">
        <f t="array" ref="AU653">XLOOKUP(C653,'PL TOTAL D0'!A:A,'PL TOTAL D0'!C:C,"")</f>
        <v/>
      </c>
    </row>
    <row r="654" ht="15.75" customHeight="1">
      <c r="A654" s="41" t="s">
        <v>43</v>
      </c>
      <c r="B654" s="42" t="s">
        <v>2198</v>
      </c>
      <c r="C654" s="43" t="s">
        <v>2199</v>
      </c>
      <c r="D654" s="44" t="s">
        <v>18</v>
      </c>
      <c r="E654" s="45" t="s">
        <v>29</v>
      </c>
      <c r="F654" s="44" t="s">
        <v>294</v>
      </c>
      <c r="G654" s="44" t="str">
        <f t="shared" si="1"/>
        <v>Augusto</v>
      </c>
      <c r="H654" s="51" t="s">
        <v>107</v>
      </c>
      <c r="I654" s="51" t="s">
        <v>24</v>
      </c>
      <c r="J654" s="44" t="str">
        <f t="shared" si="9"/>
        <v>Não</v>
      </c>
      <c r="K654" s="47">
        <v>44973.0</v>
      </c>
      <c r="L654" s="45"/>
      <c r="M654" s="24" t="s">
        <v>129</v>
      </c>
      <c r="N654" s="58">
        <v>0.0</v>
      </c>
      <c r="O654" s="9" t="s">
        <v>24</v>
      </c>
      <c r="P654" s="59">
        <v>0.0</v>
      </c>
      <c r="Q654" s="139"/>
      <c r="R654" s="60" t="s">
        <v>621</v>
      </c>
      <c r="S654" s="45" t="s">
        <v>108</v>
      </c>
      <c r="T654" s="24" t="s">
        <v>2200</v>
      </c>
      <c r="U654" s="9" t="s">
        <v>29</v>
      </c>
      <c r="V654" s="51" t="str">
        <f t="shared" si="8"/>
        <v>Ativo</v>
      </c>
      <c r="W654" s="45"/>
      <c r="X654" s="52" t="s">
        <v>119</v>
      </c>
      <c r="Y654" s="54"/>
      <c r="Z654" s="54"/>
      <c r="AA654" s="54"/>
      <c r="AB654" s="54"/>
      <c r="AC654" s="54">
        <v>0.0</v>
      </c>
      <c r="AD654" s="54">
        <v>42071.82</v>
      </c>
      <c r="AE654" s="54">
        <v>48573.21</v>
      </c>
      <c r="AF654" s="54">
        <v>48813.34</v>
      </c>
      <c r="AG654" s="54">
        <v>49815.46</v>
      </c>
      <c r="AH654" s="54">
        <v>50614.22</v>
      </c>
      <c r="AI654" s="54">
        <v>50918.73</v>
      </c>
      <c r="AJ654" s="54">
        <v>50738.19</v>
      </c>
      <c r="AK654" s="54">
        <v>50628.89</v>
      </c>
      <c r="AL654" s="54">
        <v>50584.61</v>
      </c>
      <c r="AM654" s="54">
        <v>51127.98</v>
      </c>
      <c r="AN654" s="54">
        <v>65685.15</v>
      </c>
      <c r="AO654" s="54">
        <v>65122.87</v>
      </c>
      <c r="AP654" s="53">
        <v>65731.06</v>
      </c>
      <c r="AQ654" s="53">
        <v>66405.76</v>
      </c>
      <c r="AR654" s="53">
        <v>65968.55</v>
      </c>
      <c r="AS654" s="53">
        <v>66348.04</v>
      </c>
      <c r="AT654" s="53">
        <v>66900.44</v>
      </c>
      <c r="AU654" s="53">
        <f t="array" ref="AU654">XLOOKUP(C654,'PL TOTAL D0'!A:A,'PL TOTAL D0'!C:C,"")</f>
        <v>67182.01</v>
      </c>
    </row>
    <row r="655" ht="15.75" customHeight="1">
      <c r="A655" s="41" t="s">
        <v>43</v>
      </c>
      <c r="B655" s="64" t="s">
        <v>2201</v>
      </c>
      <c r="C655" s="65" t="s">
        <v>2202</v>
      </c>
      <c r="D655" s="9" t="s">
        <v>70</v>
      </c>
      <c r="E655" s="24" t="s">
        <v>29</v>
      </c>
      <c r="F655" s="9" t="s">
        <v>71</v>
      </c>
      <c r="G655" s="44" t="str">
        <f t="shared" si="1"/>
        <v>Augusto</v>
      </c>
      <c r="H655" s="51" t="s">
        <v>107</v>
      </c>
      <c r="I655" s="51" t="s">
        <v>24</v>
      </c>
      <c r="J655" s="44" t="str">
        <f t="shared" si="9"/>
        <v>Não</v>
      </c>
      <c r="K655" s="57">
        <v>45419.0</v>
      </c>
      <c r="L655" s="45"/>
      <c r="M655" s="24" t="s">
        <v>79</v>
      </c>
      <c r="N655" s="58">
        <v>0.012</v>
      </c>
      <c r="O655" s="9" t="s">
        <v>48</v>
      </c>
      <c r="P655" s="59">
        <v>0.1</v>
      </c>
      <c r="Q655" s="139"/>
      <c r="R655" s="60"/>
      <c r="S655" s="24" t="s">
        <v>108</v>
      </c>
      <c r="T655" s="23" t="s">
        <v>2203</v>
      </c>
      <c r="U655" s="9" t="s">
        <v>29</v>
      </c>
      <c r="V655" s="51" t="str">
        <f t="shared" si="8"/>
        <v>Ativo</v>
      </c>
      <c r="W655" s="24" t="s">
        <v>75</v>
      </c>
      <c r="X655" s="52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3"/>
      <c r="AQ655" s="53"/>
      <c r="AR655" s="53"/>
      <c r="AS655" s="53">
        <v>54918.28</v>
      </c>
      <c r="AT655" s="53">
        <v>55291.74</v>
      </c>
      <c r="AU655" s="53">
        <f t="array" ref="AU655">XLOOKUP(C655,'PL TOTAL D0'!A:A,'PL TOTAL D0'!C:C,"")</f>
        <v>57447.16</v>
      </c>
    </row>
    <row r="656" ht="15.75" customHeight="1">
      <c r="A656" s="41" t="s">
        <v>43</v>
      </c>
      <c r="B656" s="61" t="s">
        <v>2204</v>
      </c>
      <c r="C656" s="43" t="s">
        <v>2205</v>
      </c>
      <c r="D656" s="44" t="s">
        <v>18</v>
      </c>
      <c r="E656" s="45" t="s">
        <v>19</v>
      </c>
      <c r="F656" s="44" t="s">
        <v>256</v>
      </c>
      <c r="G656" s="44" t="str">
        <f t="shared" si="1"/>
        <v>Augusto</v>
      </c>
      <c r="H656" s="46" t="s">
        <v>107</v>
      </c>
      <c r="I656" s="46" t="s">
        <v>24</v>
      </c>
      <c r="J656" s="44" t="str">
        <f t="shared" si="9"/>
        <v>Não</v>
      </c>
      <c r="K656" s="47">
        <v>45015.0</v>
      </c>
      <c r="L656" s="45"/>
      <c r="M656" s="45" t="s">
        <v>55</v>
      </c>
      <c r="N656" s="48">
        <v>0.012</v>
      </c>
      <c r="O656" s="44" t="s">
        <v>24</v>
      </c>
      <c r="P656" s="49">
        <v>0.0</v>
      </c>
      <c r="Q656" s="139"/>
      <c r="R656" s="139"/>
      <c r="S656" s="45" t="s">
        <v>108</v>
      </c>
      <c r="T656" s="24" t="s">
        <v>2206</v>
      </c>
      <c r="U656" s="9" t="s">
        <v>29</v>
      </c>
      <c r="V656" s="51" t="str">
        <f t="shared" si="8"/>
        <v>Ativo</v>
      </c>
      <c r="W656" s="45"/>
      <c r="X656" s="52" t="s">
        <v>119</v>
      </c>
      <c r="Y656" s="54"/>
      <c r="Z656" s="54"/>
      <c r="AA656" s="54"/>
      <c r="AB656" s="54"/>
      <c r="AC656" s="54"/>
      <c r="AD656" s="54"/>
      <c r="AE656" s="54">
        <v>160000.0</v>
      </c>
      <c r="AF656" s="54">
        <v>272043.36</v>
      </c>
      <c r="AG656" s="54">
        <v>274010.13</v>
      </c>
      <c r="AH656" s="54">
        <v>276251.33</v>
      </c>
      <c r="AI656" s="54">
        <v>136932.44</v>
      </c>
      <c r="AJ656" s="54">
        <v>122936.31</v>
      </c>
      <c r="AK656" s="54">
        <v>100114.2</v>
      </c>
      <c r="AL656" s="54">
        <v>94902.41</v>
      </c>
      <c r="AM656" s="54">
        <v>71309.04</v>
      </c>
      <c r="AN656" s="54">
        <v>61725.21</v>
      </c>
      <c r="AO656" s="54">
        <v>36465.34</v>
      </c>
      <c r="AP656" s="53">
        <v>36133.91</v>
      </c>
      <c r="AQ656" s="53">
        <v>30358.37</v>
      </c>
      <c r="AR656" s="53">
        <v>10091.78</v>
      </c>
      <c r="AS656" s="53">
        <v>7146.44</v>
      </c>
      <c r="AT656" s="53">
        <v>10003.97</v>
      </c>
      <c r="AU656" s="53">
        <f t="array" ref="AU656">XLOOKUP(C656,'PL TOTAL D0'!A:A,'PL TOTAL D0'!C:C,"")</f>
        <v>10036.26</v>
      </c>
    </row>
    <row r="657" ht="15.75" customHeight="1">
      <c r="A657" s="6" t="s">
        <v>43</v>
      </c>
      <c r="B657" s="42" t="s">
        <v>2207</v>
      </c>
      <c r="C657" s="43" t="s">
        <v>2208</v>
      </c>
      <c r="D657" s="9" t="s">
        <v>105</v>
      </c>
      <c r="E657" s="24" t="s">
        <v>29</v>
      </c>
      <c r="F657" s="45" t="s">
        <v>146</v>
      </c>
      <c r="G657" s="44" t="str">
        <f t="shared" si="1"/>
        <v>Augusto</v>
      </c>
      <c r="H657" s="51" t="s">
        <v>147</v>
      </c>
      <c r="I657" s="51" t="s">
        <v>148</v>
      </c>
      <c r="J657" s="44" t="str">
        <f t="shared" si="9"/>
        <v>Sim</v>
      </c>
      <c r="K657" s="57">
        <v>45279.0</v>
      </c>
      <c r="L657" s="45"/>
      <c r="M657" s="24" t="s">
        <v>149</v>
      </c>
      <c r="N657" s="58">
        <v>0.003</v>
      </c>
      <c r="O657" s="9" t="s">
        <v>24</v>
      </c>
      <c r="P657" s="59">
        <v>0.0</v>
      </c>
      <c r="Q657" s="15" t="s">
        <v>2209</v>
      </c>
      <c r="R657" s="139"/>
      <c r="S657" s="24" t="s">
        <v>108</v>
      </c>
      <c r="T657" s="24" t="s">
        <v>2210</v>
      </c>
      <c r="U657" s="9" t="s">
        <v>152</v>
      </c>
      <c r="V657" s="51" t="str">
        <f t="shared" si="8"/>
        <v>Ativo</v>
      </c>
      <c r="W657" s="45"/>
      <c r="X657" s="52" t="s">
        <v>119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>
        <v>155014.6</v>
      </c>
      <c r="AO657" s="54">
        <v>209411.61</v>
      </c>
      <c r="AP657" s="53">
        <v>2482.92</v>
      </c>
      <c r="AQ657" s="53">
        <v>2503.58</v>
      </c>
      <c r="AR657" s="53">
        <v>2525.51</v>
      </c>
      <c r="AS657" s="53">
        <v>2534.64</v>
      </c>
      <c r="AT657" s="53">
        <v>12092.46</v>
      </c>
      <c r="AU657" s="53">
        <f t="array" ref="AU657">XLOOKUP(C657,'PL TOTAL D0'!A:A,'PL TOTAL D0'!C:C,"")</f>
        <v>51186.75</v>
      </c>
    </row>
    <row r="658" ht="15.75" customHeight="1">
      <c r="A658" s="41" t="s">
        <v>43</v>
      </c>
      <c r="B658" s="55" t="s">
        <v>2211</v>
      </c>
      <c r="C658" s="43" t="s">
        <v>2212</v>
      </c>
      <c r="D658" s="44" t="s">
        <v>18</v>
      </c>
      <c r="E658" s="45" t="s">
        <v>29</v>
      </c>
      <c r="F658" s="44" t="s">
        <v>2213</v>
      </c>
      <c r="G658" s="44" t="str">
        <f t="shared" si="1"/>
        <v>Augusto</v>
      </c>
      <c r="H658" s="51" t="s">
        <v>147</v>
      </c>
      <c r="I658" s="51" t="s">
        <v>161</v>
      </c>
      <c r="J658" s="44" t="str">
        <f t="shared" si="9"/>
        <v>Não</v>
      </c>
      <c r="K658" s="47">
        <v>44998.0</v>
      </c>
      <c r="L658" s="45"/>
      <c r="M658" s="45" t="s">
        <v>269</v>
      </c>
      <c r="N658" s="48">
        <v>0.019</v>
      </c>
      <c r="O658" s="44" t="s">
        <v>48</v>
      </c>
      <c r="P658" s="49">
        <v>0.2</v>
      </c>
      <c r="Q658" s="139"/>
      <c r="R658" s="139"/>
      <c r="S658" s="45" t="s">
        <v>108</v>
      </c>
      <c r="T658" s="24" t="s">
        <v>2214</v>
      </c>
      <c r="U658" s="9" t="s">
        <v>29</v>
      </c>
      <c r="V658" s="51" t="str">
        <f t="shared" si="8"/>
        <v>Ativo</v>
      </c>
      <c r="W658" s="45"/>
      <c r="X658" s="52" t="s">
        <v>119</v>
      </c>
      <c r="Y658" s="54"/>
      <c r="Z658" s="54"/>
      <c r="AA658" s="54"/>
      <c r="AB658" s="54"/>
      <c r="AC658" s="54"/>
      <c r="AD658" s="54">
        <v>0.0</v>
      </c>
      <c r="AE658" s="54">
        <v>49617.77</v>
      </c>
      <c r="AF658" s="54">
        <v>49918.83</v>
      </c>
      <c r="AG658" s="54">
        <v>26661.75</v>
      </c>
      <c r="AH658" s="54">
        <v>50.26</v>
      </c>
      <c r="AI658" s="54">
        <v>50.26</v>
      </c>
      <c r="AJ658" s="54">
        <v>50.26</v>
      </c>
      <c r="AK658" s="54">
        <v>50.26</v>
      </c>
      <c r="AL658" s="54">
        <v>50.26</v>
      </c>
      <c r="AM658" s="54">
        <v>50.26</v>
      </c>
      <c r="AN658" s="54">
        <v>50.26</v>
      </c>
      <c r="AO658" s="54">
        <v>50.26</v>
      </c>
      <c r="AP658" s="53">
        <v>50.26</v>
      </c>
      <c r="AQ658" s="53">
        <v>50.26</v>
      </c>
      <c r="AR658" s="53">
        <v>902.31</v>
      </c>
      <c r="AS658" s="53">
        <v>902.31</v>
      </c>
      <c r="AT658" s="53">
        <v>902.31</v>
      </c>
      <c r="AU658" s="53">
        <f t="array" ref="AU658">XLOOKUP(C658,'PL TOTAL D0'!A:A,'PL TOTAL D0'!C:C,"")</f>
        <v>902.31</v>
      </c>
    </row>
    <row r="659" ht="15.75" customHeight="1">
      <c r="A659" s="41" t="s">
        <v>43</v>
      </c>
      <c r="B659" s="42" t="s">
        <v>2215</v>
      </c>
      <c r="C659" s="43" t="s">
        <v>2216</v>
      </c>
      <c r="D659" s="44" t="s">
        <v>18</v>
      </c>
      <c r="E659" s="45" t="s">
        <v>19</v>
      </c>
      <c r="F659" s="44" t="s">
        <v>256</v>
      </c>
      <c r="G659" s="44" t="str">
        <f t="shared" si="1"/>
        <v>#N/A</v>
      </c>
      <c r="H659" s="51" t="s">
        <v>147</v>
      </c>
      <c r="I659" s="46" t="s">
        <v>219</v>
      </c>
      <c r="J659" s="44" t="str">
        <f t="shared" si="9"/>
        <v>Não</v>
      </c>
      <c r="K659" s="47">
        <v>45163.0</v>
      </c>
      <c r="L659" s="62"/>
      <c r="M659" s="45" t="s">
        <v>55</v>
      </c>
      <c r="N659" s="48">
        <v>0.012</v>
      </c>
      <c r="O659" s="44" t="s">
        <v>24</v>
      </c>
      <c r="P659" s="49">
        <v>0.0</v>
      </c>
      <c r="Q659" s="139"/>
      <c r="R659" s="139"/>
      <c r="S659" s="45" t="s">
        <v>108</v>
      </c>
      <c r="T659" s="24" t="s">
        <v>2217</v>
      </c>
      <c r="U659" s="9" t="s">
        <v>19</v>
      </c>
      <c r="V659" s="51" t="str">
        <f t="shared" si="8"/>
        <v>Ativo</v>
      </c>
      <c r="W659" s="45"/>
      <c r="X659" s="52" t="s">
        <v>119</v>
      </c>
      <c r="Y659" s="54"/>
      <c r="Z659" s="54"/>
      <c r="AA659" s="54"/>
      <c r="AB659" s="54"/>
      <c r="AC659" s="54"/>
      <c r="AD659" s="54"/>
      <c r="AE659" s="54"/>
      <c r="AF659" s="54"/>
      <c r="AG659" s="54"/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41" t="s">
        <v>43</v>
      </c>
      <c r="B660" s="42" t="s">
        <v>2218</v>
      </c>
      <c r="C660" s="43" t="s">
        <v>2219</v>
      </c>
      <c r="D660" s="44" t="s">
        <v>18</v>
      </c>
      <c r="E660" s="45" t="s">
        <v>29</v>
      </c>
      <c r="F660" s="44" t="s">
        <v>168</v>
      </c>
      <c r="G660" s="44" t="str">
        <f t="shared" si="1"/>
        <v>Breno</v>
      </c>
      <c r="H660" s="46" t="s">
        <v>107</v>
      </c>
      <c r="I660" s="46" t="s">
        <v>24</v>
      </c>
      <c r="J660" s="44" t="str">
        <f t="shared" si="9"/>
        <v>Não</v>
      </c>
      <c r="K660" s="47">
        <v>45048.0</v>
      </c>
      <c r="L660" s="45"/>
      <c r="M660" s="45" t="s">
        <v>55</v>
      </c>
      <c r="N660" s="48">
        <v>0.012</v>
      </c>
      <c r="O660" s="44" t="s">
        <v>24</v>
      </c>
      <c r="P660" s="49">
        <v>0.0</v>
      </c>
      <c r="Q660" s="139"/>
      <c r="R660" s="139"/>
      <c r="S660" s="45" t="s">
        <v>108</v>
      </c>
      <c r="T660" s="24" t="s">
        <v>2220</v>
      </c>
      <c r="U660" s="9" t="s">
        <v>29</v>
      </c>
      <c r="V660" s="51" t="str">
        <f t="shared" si="8"/>
        <v>Ativo</v>
      </c>
      <c r="W660" s="45"/>
      <c r="X660" s="52" t="s">
        <v>119</v>
      </c>
      <c r="Y660" s="54"/>
      <c r="Z660" s="54"/>
      <c r="AA660" s="54"/>
      <c r="AB660" s="54"/>
      <c r="AC660" s="54"/>
      <c r="AD660" s="54"/>
      <c r="AE660" s="54">
        <v>0.0</v>
      </c>
      <c r="AF660" s="54">
        <v>508810.75</v>
      </c>
      <c r="AG660" s="54">
        <v>775970.71</v>
      </c>
      <c r="AH660" s="54">
        <v>784615.31</v>
      </c>
      <c r="AI660" s="54">
        <v>790313.84</v>
      </c>
      <c r="AJ660" s="54">
        <v>796962.58</v>
      </c>
      <c r="AK660" s="54">
        <v>799686.48</v>
      </c>
      <c r="AL660" s="54">
        <v>802618.33</v>
      </c>
      <c r="AM660" s="54">
        <v>809988.99</v>
      </c>
      <c r="AN660" s="54">
        <v>817678.62</v>
      </c>
      <c r="AO660" s="54">
        <v>823387.03</v>
      </c>
      <c r="AP660" s="53">
        <v>829725.01</v>
      </c>
      <c r="AQ660" s="53">
        <v>836610.72</v>
      </c>
      <c r="AR660" s="53">
        <v>840050.8</v>
      </c>
      <c r="AS660" s="53">
        <v>843191.6</v>
      </c>
      <c r="AT660" s="53">
        <v>818172.9</v>
      </c>
      <c r="AU660" s="53">
        <f t="array" ref="AU660">XLOOKUP(C660,'PL TOTAL D0'!A:A,'PL TOTAL D0'!C:C,"")</f>
        <v>819114.8</v>
      </c>
    </row>
    <row r="661" ht="15.75" customHeight="1">
      <c r="A661" s="41" t="s">
        <v>43</v>
      </c>
      <c r="B661" s="42" t="s">
        <v>2221</v>
      </c>
      <c r="C661" s="43" t="s">
        <v>2222</v>
      </c>
      <c r="D661" s="44" t="s">
        <v>18</v>
      </c>
      <c r="E661" s="45" t="s">
        <v>19</v>
      </c>
      <c r="F661" s="44" t="s">
        <v>256</v>
      </c>
      <c r="G661" s="44" t="str">
        <f t="shared" si="1"/>
        <v>#N/A</v>
      </c>
      <c r="H661" s="46" t="s">
        <v>147</v>
      </c>
      <c r="I661" s="46" t="s">
        <v>219</v>
      </c>
      <c r="J661" s="44" t="str">
        <f t="shared" si="9"/>
        <v>Não</v>
      </c>
      <c r="K661" s="47">
        <v>45163.0</v>
      </c>
      <c r="L661" s="62"/>
      <c r="M661" s="45" t="s">
        <v>55</v>
      </c>
      <c r="N661" s="48">
        <v>0.012</v>
      </c>
      <c r="O661" s="44" t="s">
        <v>24</v>
      </c>
      <c r="P661" s="49">
        <v>0.0</v>
      </c>
      <c r="Q661" s="139"/>
      <c r="R661" s="60" t="s">
        <v>2223</v>
      </c>
      <c r="S661" s="45" t="s">
        <v>108</v>
      </c>
      <c r="T661" s="24" t="s">
        <v>2224</v>
      </c>
      <c r="U661" s="9" t="s">
        <v>19</v>
      </c>
      <c r="V661" s="51" t="str">
        <f t="shared" si="8"/>
        <v>Ativo</v>
      </c>
      <c r="W661" s="45"/>
      <c r="X661" s="52" t="s">
        <v>119</v>
      </c>
      <c r="Y661" s="54"/>
      <c r="Z661" s="54"/>
      <c r="AA661" s="54"/>
      <c r="AB661" s="54"/>
      <c r="AC661" s="54"/>
      <c r="AD661" s="54"/>
      <c r="AE661" s="54">
        <v>0.0</v>
      </c>
      <c r="AF661" s="54">
        <v>0.0</v>
      </c>
      <c r="AG661" s="54">
        <v>0.0</v>
      </c>
      <c r="AH661" s="54">
        <v>0.0</v>
      </c>
      <c r="AI661" s="54">
        <v>0.0</v>
      </c>
      <c r="AJ661" s="54">
        <v>0.0</v>
      </c>
      <c r="AK661" s="54">
        <v>0.0</v>
      </c>
      <c r="AL661" s="54">
        <v>0.0</v>
      </c>
      <c r="AM661" s="54">
        <v>0.0</v>
      </c>
      <c r="AN661" s="54">
        <v>0.0</v>
      </c>
      <c r="AO661" s="54">
        <v>0.0</v>
      </c>
      <c r="AP661" s="53">
        <v>0.0</v>
      </c>
      <c r="AQ661" s="53">
        <v>0.0</v>
      </c>
      <c r="AR661" s="53">
        <v>0.0</v>
      </c>
      <c r="AS661" s="53">
        <v>0.0</v>
      </c>
      <c r="AT661" s="53">
        <v>0.0</v>
      </c>
      <c r="AU661" s="53" t="str">
        <f t="array" ref="AU661">XLOOKUP(C661,'PL TOTAL D0'!A:A,'PL TOTAL D0'!C:C,"")</f>
        <v/>
      </c>
    </row>
    <row r="662" ht="15.75" customHeight="1">
      <c r="A662" s="6" t="s">
        <v>43</v>
      </c>
      <c r="B662" s="55" t="s">
        <v>2225</v>
      </c>
      <c r="C662" s="56" t="s">
        <v>2226</v>
      </c>
      <c r="D662" s="9" t="s">
        <v>18</v>
      </c>
      <c r="E662" s="24" t="s">
        <v>19</v>
      </c>
      <c r="F662" s="9" t="s">
        <v>213</v>
      </c>
      <c r="G662" s="44" t="str">
        <f t="shared" si="1"/>
        <v>Augusto</v>
      </c>
      <c r="H662" s="51" t="s">
        <v>147</v>
      </c>
      <c r="I662" s="51" t="s">
        <v>219</v>
      </c>
      <c r="J662" s="44" t="str">
        <f t="shared" si="9"/>
        <v>Não</v>
      </c>
      <c r="K662" s="57">
        <v>45321.0</v>
      </c>
      <c r="L662" s="62"/>
      <c r="M662" s="45" t="s">
        <v>55</v>
      </c>
      <c r="N662" s="48">
        <v>0.012</v>
      </c>
      <c r="O662" s="44" t="s">
        <v>24</v>
      </c>
      <c r="P662" s="49">
        <v>0.0</v>
      </c>
      <c r="Q662" s="139"/>
      <c r="R662" s="60" t="s">
        <v>2227</v>
      </c>
      <c r="S662" s="24" t="s">
        <v>108</v>
      </c>
      <c r="T662" s="24" t="s">
        <v>2228</v>
      </c>
      <c r="U662" s="9" t="s">
        <v>19</v>
      </c>
      <c r="V662" s="51" t="str">
        <f t="shared" si="8"/>
        <v>Ativo</v>
      </c>
      <c r="W662" s="45"/>
      <c r="X662" s="52" t="s">
        <v>119</v>
      </c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>
        <v>0.0</v>
      </c>
      <c r="AP662" s="53">
        <v>100304.51</v>
      </c>
      <c r="AQ662" s="53">
        <v>101205.41</v>
      </c>
      <c r="AR662" s="53">
        <v>101972.82</v>
      </c>
      <c r="AS662" s="53">
        <v>0.0</v>
      </c>
      <c r="AT662" s="53">
        <v>39.91</v>
      </c>
      <c r="AU662" s="53">
        <f t="array" ref="AU662">XLOOKUP(C662,'PL TOTAL D0'!A:A,'PL TOTAL D0'!C:C,"")</f>
        <v>39.91</v>
      </c>
    </row>
    <row r="663" ht="15.75" customHeight="1">
      <c r="A663" s="41" t="s">
        <v>43</v>
      </c>
      <c r="B663" s="42" t="s">
        <v>2229</v>
      </c>
      <c r="C663" s="43" t="s">
        <v>2230</v>
      </c>
      <c r="D663" s="44" t="s">
        <v>18</v>
      </c>
      <c r="E663" s="45" t="s">
        <v>19</v>
      </c>
      <c r="F663" s="44" t="s">
        <v>20</v>
      </c>
      <c r="G663" s="44" t="str">
        <f t="shared" si="1"/>
        <v>Augusto</v>
      </c>
      <c r="H663" s="46" t="s">
        <v>107</v>
      </c>
      <c r="I663" s="46" t="s">
        <v>24</v>
      </c>
      <c r="J663" s="44" t="str">
        <f t="shared" si="9"/>
        <v>Sim</v>
      </c>
      <c r="K663" s="47">
        <v>45105.0</v>
      </c>
      <c r="L663" s="62"/>
      <c r="M663" s="45" t="s">
        <v>55</v>
      </c>
      <c r="N663" s="48">
        <v>0.012</v>
      </c>
      <c r="O663" s="44" t="s">
        <v>24</v>
      </c>
      <c r="P663" s="49">
        <v>0.0</v>
      </c>
      <c r="Q663" s="60" t="s">
        <v>2231</v>
      </c>
      <c r="R663" s="50"/>
      <c r="S663" s="45" t="s">
        <v>108</v>
      </c>
      <c r="T663" s="24" t="s">
        <v>2232</v>
      </c>
      <c r="U663" s="9" t="s">
        <v>19</v>
      </c>
      <c r="V663" s="51" t="str">
        <f t="shared" si="8"/>
        <v>Ativo</v>
      </c>
      <c r="W663" s="45"/>
      <c r="X663" s="52" t="s">
        <v>119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>
        <v>41342.64</v>
      </c>
      <c r="AI663" s="54">
        <v>353197.08</v>
      </c>
      <c r="AJ663" s="54">
        <v>356698.92</v>
      </c>
      <c r="AK663" s="54">
        <v>359344.38</v>
      </c>
      <c r="AL663" s="54">
        <v>362677.22</v>
      </c>
      <c r="AM663" s="54">
        <v>365512.31</v>
      </c>
      <c r="AN663" s="54">
        <v>368420.65</v>
      </c>
      <c r="AO663" s="54">
        <v>367439.83</v>
      </c>
      <c r="AP663" s="53">
        <v>362079.85</v>
      </c>
      <c r="AQ663" s="53">
        <v>279463.95</v>
      </c>
      <c r="AR663" s="53">
        <v>281538.18</v>
      </c>
      <c r="AS663" s="53">
        <v>283595.1</v>
      </c>
      <c r="AT663" s="53">
        <v>285064.0</v>
      </c>
      <c r="AU663" s="53">
        <f t="array" ref="AU663">XLOOKUP(C663,'PL TOTAL D0'!A:A,'PL TOTAL D0'!C:C,"")</f>
        <v>165458.7</v>
      </c>
    </row>
    <row r="664" ht="15.75" customHeight="1">
      <c r="A664" s="41" t="s">
        <v>43</v>
      </c>
      <c r="B664" s="42" t="s">
        <v>2233</v>
      </c>
      <c r="C664" s="43" t="s">
        <v>2234</v>
      </c>
      <c r="D664" s="44" t="s">
        <v>18</v>
      </c>
      <c r="E664" s="45" t="s">
        <v>29</v>
      </c>
      <c r="F664" s="44" t="s">
        <v>294</v>
      </c>
      <c r="G664" s="44" t="str">
        <f t="shared" si="1"/>
        <v>#N/A</v>
      </c>
      <c r="H664" s="46" t="s">
        <v>147</v>
      </c>
      <c r="I664" s="46" t="s">
        <v>219</v>
      </c>
      <c r="J664" s="44" t="str">
        <f t="shared" si="9"/>
        <v>Não</v>
      </c>
      <c r="K664" s="47">
        <v>45166.0</v>
      </c>
      <c r="L664" s="62"/>
      <c r="M664" s="45" t="s">
        <v>55</v>
      </c>
      <c r="N664" s="48">
        <v>0.012</v>
      </c>
      <c r="O664" s="44" t="s">
        <v>24</v>
      </c>
      <c r="P664" s="49">
        <v>0.0</v>
      </c>
      <c r="Q664" s="139"/>
      <c r="R664" s="139"/>
      <c r="S664" s="45" t="s">
        <v>108</v>
      </c>
      <c r="T664" s="56" t="s">
        <v>2235</v>
      </c>
      <c r="U664" s="9" t="s">
        <v>29</v>
      </c>
      <c r="V664" s="51" t="str">
        <f t="shared" si="8"/>
        <v>Inativo</v>
      </c>
      <c r="W664" s="45"/>
      <c r="X664" s="52" t="s">
        <v>119</v>
      </c>
      <c r="Y664" s="54"/>
      <c r="Z664" s="54"/>
      <c r="AA664" s="54"/>
      <c r="AB664" s="54"/>
      <c r="AC664" s="54"/>
      <c r="AD664" s="54">
        <v>0.0</v>
      </c>
      <c r="AE664" s="54">
        <v>0.0</v>
      </c>
      <c r="AF664" s="54">
        <v>0.0</v>
      </c>
      <c r="AG664" s="54">
        <v>0.0</v>
      </c>
      <c r="AH664" s="54">
        <v>0.0</v>
      </c>
      <c r="AI664" s="54">
        <v>0.0</v>
      </c>
      <c r="AJ664" s="54">
        <v>0.0</v>
      </c>
      <c r="AK664" s="54">
        <v>0.0</v>
      </c>
      <c r="AL664" s="54">
        <v>0.0</v>
      </c>
      <c r="AM664" s="54">
        <v>0.0</v>
      </c>
      <c r="AN664" s="54">
        <v>0.0</v>
      </c>
      <c r="AO664" s="54">
        <v>0.0</v>
      </c>
      <c r="AP664" s="53">
        <v>0.0</v>
      </c>
      <c r="AQ664" s="53">
        <v>0.0</v>
      </c>
      <c r="AR664" s="53">
        <v>0.0</v>
      </c>
      <c r="AS664" s="53">
        <v>0.0</v>
      </c>
      <c r="AT664" s="53">
        <v>0.0</v>
      </c>
      <c r="AU664" s="53" t="str">
        <f t="array" ref="AU664">XLOOKUP(C664,'PL TOTAL D0'!A:A,'PL TOTAL D0'!C:C,"")</f>
        <v/>
      </c>
    </row>
    <row r="665" ht="15.75" customHeight="1">
      <c r="A665" s="41" t="s">
        <v>43</v>
      </c>
      <c r="B665" s="61" t="s">
        <v>2236</v>
      </c>
      <c r="C665" s="43" t="s">
        <v>2237</v>
      </c>
      <c r="D665" s="44" t="s">
        <v>18</v>
      </c>
      <c r="E665" s="45" t="s">
        <v>176</v>
      </c>
      <c r="F665" s="44" t="s">
        <v>197</v>
      </c>
      <c r="G665" s="44" t="str">
        <f t="shared" si="1"/>
        <v>Augusto</v>
      </c>
      <c r="H665" s="46" t="s">
        <v>107</v>
      </c>
      <c r="I665" s="46" t="s">
        <v>24</v>
      </c>
      <c r="J665" s="44" t="str">
        <f t="shared" si="9"/>
        <v>Não</v>
      </c>
      <c r="K665" s="47">
        <v>45163.0</v>
      </c>
      <c r="L665" s="62"/>
      <c r="M665" s="45" t="s">
        <v>55</v>
      </c>
      <c r="N665" s="48">
        <v>0.012</v>
      </c>
      <c r="O665" s="44" t="s">
        <v>24</v>
      </c>
      <c r="P665" s="49">
        <v>0.0</v>
      </c>
      <c r="Q665" s="74"/>
      <c r="R665" s="50"/>
      <c r="S665" s="45" t="s">
        <v>108</v>
      </c>
      <c r="T665" s="24" t="s">
        <v>2238</v>
      </c>
      <c r="U665" s="9" t="s">
        <v>180</v>
      </c>
      <c r="V665" s="51" t="str">
        <f t="shared" si="8"/>
        <v>Ativo</v>
      </c>
      <c r="W665" s="45"/>
      <c r="X665" s="52" t="s">
        <v>110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>
        <v>212285.51</v>
      </c>
      <c r="AK665" s="54">
        <v>213887.99</v>
      </c>
      <c r="AL665" s="54">
        <v>215498.84</v>
      </c>
      <c r="AM665" s="54">
        <v>217365.1</v>
      </c>
      <c r="AN665" s="54">
        <v>219164.85</v>
      </c>
      <c r="AO665" s="54">
        <v>218353.98</v>
      </c>
      <c r="AP665" s="53">
        <v>219918.23</v>
      </c>
      <c r="AQ665" s="53">
        <v>220877.83</v>
      </c>
      <c r="AR665" s="53">
        <v>222419.64</v>
      </c>
      <c r="AS665" s="53">
        <v>224094.1</v>
      </c>
      <c r="AT665" s="53">
        <v>225730.2</v>
      </c>
      <c r="AU665" s="53">
        <f t="array" ref="AU665">XLOOKUP(C665,'PL TOTAL D0'!A:A,'PL TOTAL D0'!C:C,"")</f>
        <v>226354.1</v>
      </c>
    </row>
    <row r="666" ht="15.75" customHeight="1">
      <c r="A666" s="41" t="s">
        <v>43</v>
      </c>
      <c r="B666" s="42" t="s">
        <v>2239</v>
      </c>
      <c r="C666" s="43" t="s">
        <v>2240</v>
      </c>
      <c r="D666" s="44" t="s">
        <v>105</v>
      </c>
      <c r="E666" s="45" t="s">
        <v>29</v>
      </c>
      <c r="F666" s="44" t="s">
        <v>698</v>
      </c>
      <c r="G666" s="44" t="str">
        <f t="shared" si="1"/>
        <v>Augusto</v>
      </c>
      <c r="H666" s="46" t="s">
        <v>107</v>
      </c>
      <c r="I666" s="46" t="s">
        <v>24</v>
      </c>
      <c r="J666" s="44" t="str">
        <f t="shared" si="9"/>
        <v>Não</v>
      </c>
      <c r="K666" s="47">
        <v>44995.0</v>
      </c>
      <c r="L666" s="45"/>
      <c r="M666" s="45" t="s">
        <v>47</v>
      </c>
      <c r="N666" s="48">
        <v>0.015</v>
      </c>
      <c r="O666" s="44" t="s">
        <v>48</v>
      </c>
      <c r="P666" s="49">
        <v>0.1</v>
      </c>
      <c r="Q666" s="139"/>
      <c r="R666" s="139"/>
      <c r="S666" s="45" t="s">
        <v>108</v>
      </c>
      <c r="T666" s="24" t="s">
        <v>2241</v>
      </c>
      <c r="U666" s="9" t="s">
        <v>29</v>
      </c>
      <c r="V666" s="51" t="str">
        <f t="shared" si="8"/>
        <v>Ativo</v>
      </c>
      <c r="W666" s="45"/>
      <c r="X666" s="52" t="s">
        <v>110</v>
      </c>
      <c r="Y666" s="54"/>
      <c r="Z666" s="54"/>
      <c r="AA666" s="54"/>
      <c r="AB666" s="54"/>
      <c r="AC666" s="54"/>
      <c r="AD666" s="54"/>
      <c r="AE666" s="54">
        <v>60571.25</v>
      </c>
      <c r="AF666" s="54">
        <v>94101.27</v>
      </c>
      <c r="AG666" s="54">
        <v>95641.04</v>
      </c>
      <c r="AH666" s="54">
        <v>97219.44</v>
      </c>
      <c r="AI666" s="54">
        <v>98019.24</v>
      </c>
      <c r="AJ666" s="54">
        <v>98214.51</v>
      </c>
      <c r="AK666" s="54">
        <v>98658.0</v>
      </c>
      <c r="AL666" s="54">
        <v>98603.27</v>
      </c>
      <c r="AM666" s="54">
        <v>101156.98</v>
      </c>
      <c r="AN666" s="54">
        <v>103107.47</v>
      </c>
      <c r="AO666" s="54">
        <v>101601.19</v>
      </c>
      <c r="AP666" s="53">
        <v>102512.46</v>
      </c>
      <c r="AQ666" s="53">
        <v>103054.56</v>
      </c>
      <c r="AR666" s="53">
        <v>102308.48</v>
      </c>
      <c r="AS666" s="53">
        <v>101941.6</v>
      </c>
      <c r="AT666" s="53">
        <v>102587.3</v>
      </c>
      <c r="AU666" s="53">
        <f t="array" ref="AU666">XLOOKUP(C666,'PL TOTAL D0'!A:A,'PL TOTAL D0'!C:C,"")</f>
        <v>104153.9</v>
      </c>
    </row>
    <row r="667" ht="15.75" customHeight="1">
      <c r="A667" s="41" t="s">
        <v>43</v>
      </c>
      <c r="B667" s="66" t="s">
        <v>2242</v>
      </c>
      <c r="C667" s="71" t="s">
        <v>2243</v>
      </c>
      <c r="D667" s="44" t="s">
        <v>18</v>
      </c>
      <c r="E667" s="45" t="s">
        <v>176</v>
      </c>
      <c r="F667" s="44" t="s">
        <v>177</v>
      </c>
      <c r="G667" s="44" t="str">
        <f t="shared" si="1"/>
        <v>Breno</v>
      </c>
      <c r="H667" s="46" t="s">
        <v>107</v>
      </c>
      <c r="I667" s="46" t="s">
        <v>24</v>
      </c>
      <c r="J667" s="44" t="str">
        <f t="shared" si="9"/>
        <v>Não</v>
      </c>
      <c r="K667" s="47">
        <v>45188.0</v>
      </c>
      <c r="L667" s="45"/>
      <c r="M667" s="45" t="s">
        <v>79</v>
      </c>
      <c r="N667" s="48">
        <v>0.012</v>
      </c>
      <c r="O667" s="44" t="s">
        <v>48</v>
      </c>
      <c r="P667" s="49">
        <v>0.1</v>
      </c>
      <c r="Q667" s="41"/>
      <c r="R667" s="60" t="s">
        <v>2244</v>
      </c>
      <c r="S667" s="45" t="s">
        <v>108</v>
      </c>
      <c r="T667" s="24" t="s">
        <v>2245</v>
      </c>
      <c r="U667" s="9" t="s">
        <v>180</v>
      </c>
      <c r="V667" s="51" t="str">
        <f t="shared" si="8"/>
        <v>Ativo</v>
      </c>
      <c r="W667" s="45"/>
      <c r="X667" s="52" t="s">
        <v>110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>
        <v>0.0</v>
      </c>
      <c r="AL667" s="54">
        <v>559522.29</v>
      </c>
      <c r="AM667" s="54">
        <v>569804.08</v>
      </c>
      <c r="AN667" s="54">
        <v>578461.05</v>
      </c>
      <c r="AO667" s="54">
        <v>573913.17</v>
      </c>
      <c r="AP667" s="53">
        <v>577550.97</v>
      </c>
      <c r="AQ667" s="53">
        <v>577230.7</v>
      </c>
      <c r="AR667" s="53">
        <v>575149.39</v>
      </c>
      <c r="AS667" s="53">
        <v>576161.4</v>
      </c>
      <c r="AT667" s="53">
        <v>580104.6</v>
      </c>
      <c r="AU667" s="53">
        <f t="array" ref="AU667">XLOOKUP(C667,'PL TOTAL D0'!A:A,'PL TOTAL D0'!C:C,"")</f>
        <v>585312.6</v>
      </c>
    </row>
    <row r="668" ht="15.75" customHeight="1">
      <c r="A668" s="41" t="s">
        <v>43</v>
      </c>
      <c r="B668" s="64" t="s">
        <v>2246</v>
      </c>
      <c r="C668" s="65" t="s">
        <v>2247</v>
      </c>
      <c r="D668" s="9" t="s">
        <v>52</v>
      </c>
      <c r="E668" s="24" t="s">
        <v>19</v>
      </c>
      <c r="F668" s="9" t="s">
        <v>53</v>
      </c>
      <c r="G668" s="44" t="str">
        <f t="shared" si="1"/>
        <v>Augusto</v>
      </c>
      <c r="H668" s="51" t="s">
        <v>107</v>
      </c>
      <c r="I668" s="51" t="s">
        <v>24</v>
      </c>
      <c r="J668" s="44" t="str">
        <f t="shared" si="9"/>
        <v>Não</v>
      </c>
      <c r="K668" s="57">
        <v>45390.0</v>
      </c>
      <c r="L668" s="45"/>
      <c r="M668" s="24" t="s">
        <v>55</v>
      </c>
      <c r="N668" s="58">
        <v>0.012</v>
      </c>
      <c r="O668" s="9" t="s">
        <v>24</v>
      </c>
      <c r="P668" s="59">
        <v>0.0</v>
      </c>
      <c r="Q668" s="41"/>
      <c r="R668" s="60"/>
      <c r="S668" s="24" t="s">
        <v>108</v>
      </c>
      <c r="T668" s="5" t="s">
        <v>2248</v>
      </c>
      <c r="U668" s="9" t="s">
        <v>19</v>
      </c>
      <c r="V668" s="51" t="str">
        <f t="shared" si="8"/>
        <v>Ativo</v>
      </c>
      <c r="W668" s="24" t="s">
        <v>75</v>
      </c>
      <c r="X668" s="52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3"/>
      <c r="AQ668" s="53"/>
      <c r="AR668" s="53">
        <v>301810.12</v>
      </c>
      <c r="AS668" s="53">
        <v>364514.2</v>
      </c>
      <c r="AT668" s="53">
        <v>357371.8</v>
      </c>
      <c r="AU668" s="53">
        <f t="array" ref="AU668">XLOOKUP(C668,'PL TOTAL D0'!A:A,'PL TOTAL D0'!C:C,"")</f>
        <v>369235.6</v>
      </c>
    </row>
    <row r="669" ht="15.75" customHeight="1">
      <c r="A669" s="41" t="s">
        <v>43</v>
      </c>
      <c r="B669" s="61" t="s">
        <v>2249</v>
      </c>
      <c r="C669" s="43" t="s">
        <v>2250</v>
      </c>
      <c r="D669" s="44" t="s">
        <v>18</v>
      </c>
      <c r="E669" s="45" t="s">
        <v>19</v>
      </c>
      <c r="F669" s="44" t="s">
        <v>20</v>
      </c>
      <c r="G669" s="44" t="str">
        <f t="shared" si="1"/>
        <v>Augusto</v>
      </c>
      <c r="H669" s="51" t="s">
        <v>147</v>
      </c>
      <c r="I669" s="51" t="s">
        <v>219</v>
      </c>
      <c r="J669" s="44" t="str">
        <f t="shared" si="9"/>
        <v>Não</v>
      </c>
      <c r="K669" s="47">
        <v>45051.0</v>
      </c>
      <c r="L669" s="45"/>
      <c r="M669" s="45" t="s">
        <v>55</v>
      </c>
      <c r="N669" s="48">
        <v>0.012</v>
      </c>
      <c r="O669" s="44" t="s">
        <v>24</v>
      </c>
      <c r="P669" s="49">
        <v>0.0</v>
      </c>
      <c r="Q669" s="60"/>
      <c r="R669" s="60" t="s">
        <v>2251</v>
      </c>
      <c r="S669" s="45" t="s">
        <v>108</v>
      </c>
      <c r="T669" s="24" t="s">
        <v>2252</v>
      </c>
      <c r="U669" s="9" t="s">
        <v>34</v>
      </c>
      <c r="V669" s="51" t="str">
        <f t="shared" si="8"/>
        <v>Ativo</v>
      </c>
      <c r="W669" s="45"/>
      <c r="X669" s="52" t="s">
        <v>119</v>
      </c>
      <c r="Y669" s="54"/>
      <c r="Z669" s="54"/>
      <c r="AA669" s="54"/>
      <c r="AB669" s="54"/>
      <c r="AC669" s="54"/>
      <c r="AD669" s="54"/>
      <c r="AE669" s="54"/>
      <c r="AF669" s="54">
        <v>0.0</v>
      </c>
      <c r="AG669" s="54">
        <v>407252.56</v>
      </c>
      <c r="AH669" s="54">
        <v>409394.24</v>
      </c>
      <c r="AI669" s="54">
        <v>411428.94</v>
      </c>
      <c r="AJ669" s="54">
        <v>413918.55</v>
      </c>
      <c r="AK669" s="54">
        <v>416019.16</v>
      </c>
      <c r="AL669" s="54">
        <v>418518.76</v>
      </c>
      <c r="AM669" s="54">
        <v>420990.81</v>
      </c>
      <c r="AN669" s="54">
        <v>423670.52</v>
      </c>
      <c r="AO669" s="54">
        <v>424872.69</v>
      </c>
      <c r="AP669" s="53">
        <v>139.48</v>
      </c>
      <c r="AQ669" s="53">
        <v>140.59</v>
      </c>
      <c r="AR669" s="53">
        <v>141.76</v>
      </c>
      <c r="AS669" s="53">
        <v>142.27</v>
      </c>
      <c r="AT669" s="53">
        <v>143.35</v>
      </c>
      <c r="AU669" s="53">
        <f t="array" ref="AU669">XLOOKUP(C669,'PL TOTAL D0'!A:A,'PL TOTAL D0'!C:C,"")</f>
        <v>143.88</v>
      </c>
    </row>
    <row r="670" ht="15.75" customHeight="1">
      <c r="A670" s="41" t="s">
        <v>43</v>
      </c>
      <c r="B670" s="61" t="s">
        <v>2253</v>
      </c>
      <c r="C670" s="43" t="s">
        <v>2254</v>
      </c>
      <c r="D670" s="44" t="s">
        <v>18</v>
      </c>
      <c r="E670" s="45" t="s">
        <v>29</v>
      </c>
      <c r="F670" s="44" t="s">
        <v>168</v>
      </c>
      <c r="G670" s="44" t="str">
        <f t="shared" si="1"/>
        <v>Augusto</v>
      </c>
      <c r="H670" s="51" t="s">
        <v>147</v>
      </c>
      <c r="I670" s="51" t="s">
        <v>219</v>
      </c>
      <c r="J670" s="44" t="str">
        <f t="shared" si="9"/>
        <v>Não</v>
      </c>
      <c r="K670" s="47">
        <v>45029.0</v>
      </c>
      <c r="L670" s="45"/>
      <c r="M670" s="45" t="s">
        <v>47</v>
      </c>
      <c r="N670" s="48">
        <v>0.015</v>
      </c>
      <c r="O670" s="44" t="s">
        <v>48</v>
      </c>
      <c r="P670" s="49">
        <v>0.1</v>
      </c>
      <c r="Q670" s="139"/>
      <c r="R670" s="139"/>
      <c r="S670" s="45" t="s">
        <v>108</v>
      </c>
      <c r="T670" s="24" t="s">
        <v>2255</v>
      </c>
      <c r="U670" s="9" t="s">
        <v>29</v>
      </c>
      <c r="V670" s="51" t="str">
        <f t="shared" si="8"/>
        <v>Ativo</v>
      </c>
      <c r="W670" s="45"/>
      <c r="X670" s="52" t="s">
        <v>119</v>
      </c>
      <c r="Y670" s="54"/>
      <c r="Z670" s="54"/>
      <c r="AA670" s="54"/>
      <c r="AB670" s="54"/>
      <c r="AC670" s="54"/>
      <c r="AD670" s="54"/>
      <c r="AE670" s="54">
        <v>0.0</v>
      </c>
      <c r="AF670" s="54">
        <v>240346.35</v>
      </c>
      <c r="AG670" s="54">
        <v>244022.86</v>
      </c>
      <c r="AH670" s="54">
        <v>251230.62</v>
      </c>
      <c r="AI670" s="54">
        <v>257944.56</v>
      </c>
      <c r="AJ670" s="54">
        <v>254460.35</v>
      </c>
      <c r="AK670" s="54">
        <v>254995.54</v>
      </c>
      <c r="AL670" s="54">
        <v>254915.89</v>
      </c>
      <c r="AM670" s="54">
        <v>260097.34</v>
      </c>
      <c r="AN670" s="54">
        <v>265236.72</v>
      </c>
      <c r="AO670" s="54">
        <v>261031.09</v>
      </c>
      <c r="AP670" s="53">
        <v>261909.58</v>
      </c>
      <c r="AQ670" s="53">
        <v>225.57</v>
      </c>
      <c r="AR670" s="53">
        <v>225.57</v>
      </c>
      <c r="AS670" s="53">
        <v>225.57</v>
      </c>
      <c r="AT670" s="53">
        <v>252.84</v>
      </c>
      <c r="AU670" s="53">
        <f t="array" ref="AU670">XLOOKUP(C670,'PL TOTAL D0'!A:A,'PL TOTAL D0'!C:C,"")</f>
        <v>253.33</v>
      </c>
    </row>
    <row r="671" ht="15.75" customHeight="1">
      <c r="A671" s="6" t="s">
        <v>43</v>
      </c>
      <c r="B671" s="42" t="s">
        <v>2256</v>
      </c>
      <c r="C671" s="43" t="s">
        <v>2257</v>
      </c>
      <c r="D671" s="9" t="s">
        <v>105</v>
      </c>
      <c r="E671" s="24" t="s">
        <v>29</v>
      </c>
      <c r="F671" s="45" t="s">
        <v>146</v>
      </c>
      <c r="G671" s="44" t="str">
        <f t="shared" si="1"/>
        <v>Augusto</v>
      </c>
      <c r="H671" s="51" t="s">
        <v>147</v>
      </c>
      <c r="I671" s="51" t="s">
        <v>148</v>
      </c>
      <c r="J671" s="44" t="str">
        <f t="shared" si="9"/>
        <v>Sim</v>
      </c>
      <c r="K671" s="57">
        <v>45279.0</v>
      </c>
      <c r="L671" s="45"/>
      <c r="M671" s="24" t="s">
        <v>149</v>
      </c>
      <c r="N671" s="58">
        <v>0.003</v>
      </c>
      <c r="O671" s="9" t="s">
        <v>24</v>
      </c>
      <c r="P671" s="59">
        <v>0.0</v>
      </c>
      <c r="Q671" s="15" t="s">
        <v>150</v>
      </c>
      <c r="R671" s="139"/>
      <c r="S671" s="24" t="s">
        <v>108</v>
      </c>
      <c r="T671" s="24" t="s">
        <v>2258</v>
      </c>
      <c r="U671" s="9" t="s">
        <v>152</v>
      </c>
      <c r="V671" s="51" t="str">
        <f t="shared" si="8"/>
        <v>Ativo</v>
      </c>
      <c r="W671" s="45"/>
      <c r="X671" s="52" t="s">
        <v>119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>
        <v>157507.55</v>
      </c>
      <c r="AO671" s="54">
        <v>158567.98</v>
      </c>
      <c r="AP671" s="53">
        <v>575.24</v>
      </c>
      <c r="AQ671" s="53">
        <v>580.01</v>
      </c>
      <c r="AR671" s="53">
        <v>585.07</v>
      </c>
      <c r="AS671" s="53">
        <v>3007.28</v>
      </c>
      <c r="AT671" s="53">
        <v>3029.65</v>
      </c>
      <c r="AU671" s="53">
        <f t="array" ref="AU671">XLOOKUP(C671,'PL TOTAL D0'!A:A,'PL TOTAL D0'!C:C,"")</f>
        <v>3041.51</v>
      </c>
    </row>
    <row r="672" ht="15.75" customHeight="1">
      <c r="A672" s="41" t="s">
        <v>43</v>
      </c>
      <c r="B672" s="55" t="s">
        <v>2259</v>
      </c>
      <c r="C672" s="43" t="s">
        <v>2260</v>
      </c>
      <c r="D672" s="44" t="s">
        <v>18</v>
      </c>
      <c r="E672" s="45" t="s">
        <v>19</v>
      </c>
      <c r="F672" s="44" t="s">
        <v>213</v>
      </c>
      <c r="G672" s="44" t="str">
        <f t="shared" si="1"/>
        <v>#N/A</v>
      </c>
      <c r="H672" s="51" t="s">
        <v>147</v>
      </c>
      <c r="I672" s="46" t="s">
        <v>219</v>
      </c>
      <c r="J672" s="44" t="str">
        <f t="shared" si="9"/>
        <v>Não</v>
      </c>
      <c r="K672" s="47">
        <v>45163.0</v>
      </c>
      <c r="L672" s="62"/>
      <c r="M672" s="45" t="s">
        <v>55</v>
      </c>
      <c r="N672" s="48">
        <v>0.012</v>
      </c>
      <c r="O672" s="44" t="s">
        <v>24</v>
      </c>
      <c r="P672" s="49">
        <v>0.0</v>
      </c>
      <c r="Q672" s="139"/>
      <c r="R672" s="139"/>
      <c r="S672" s="45" t="s">
        <v>108</v>
      </c>
      <c r="T672" s="24" t="s">
        <v>2261</v>
      </c>
      <c r="U672" s="9" t="s">
        <v>19</v>
      </c>
      <c r="V672" s="51" t="str">
        <f t="shared" si="8"/>
        <v>Ativo</v>
      </c>
      <c r="W672" s="45"/>
      <c r="X672" s="52" t="s">
        <v>119</v>
      </c>
      <c r="Y672" s="54"/>
      <c r="Z672" s="54"/>
      <c r="AA672" s="54"/>
      <c r="AB672" s="54"/>
      <c r="AC672" s="54"/>
      <c r="AD672" s="54"/>
      <c r="AE672" s="54"/>
      <c r="AF672" s="54">
        <v>0.0</v>
      </c>
      <c r="AG672" s="54">
        <v>0.0</v>
      </c>
      <c r="AH672" s="54">
        <v>0.0</v>
      </c>
      <c r="AI672" s="54">
        <v>0.0</v>
      </c>
      <c r="AJ672" s="54">
        <v>0.0</v>
      </c>
      <c r="AK672" s="54">
        <v>0.0</v>
      </c>
      <c r="AL672" s="54">
        <v>0.0</v>
      </c>
      <c r="AM672" s="54">
        <v>0.0</v>
      </c>
      <c r="AN672" s="54">
        <v>0.0</v>
      </c>
      <c r="AO672" s="54">
        <v>0.0</v>
      </c>
      <c r="AP672" s="53">
        <v>0.0</v>
      </c>
      <c r="AQ672" s="53">
        <v>0.0</v>
      </c>
      <c r="AR672" s="53">
        <v>0.0</v>
      </c>
      <c r="AS672" s="53">
        <v>0.0</v>
      </c>
      <c r="AT672" s="53">
        <v>0.0</v>
      </c>
      <c r="AU672" s="53" t="str">
        <f t="array" ref="AU672">XLOOKUP(C672,'PL TOTAL D0'!A:A,'PL TOTAL D0'!C:C,"")</f>
        <v/>
      </c>
    </row>
    <row r="673" ht="15.75" customHeight="1">
      <c r="A673" s="41" t="s">
        <v>43</v>
      </c>
      <c r="B673" s="42" t="s">
        <v>2262</v>
      </c>
      <c r="C673" s="43" t="s">
        <v>2263</v>
      </c>
      <c r="D673" s="44" t="s">
        <v>18</v>
      </c>
      <c r="E673" s="45" t="s">
        <v>29</v>
      </c>
      <c r="F673" s="44" t="s">
        <v>294</v>
      </c>
      <c r="G673" s="44" t="str">
        <f t="shared" si="1"/>
        <v>Augusto</v>
      </c>
      <c r="H673" s="46" t="s">
        <v>107</v>
      </c>
      <c r="I673" s="46" t="s">
        <v>24</v>
      </c>
      <c r="J673" s="44" t="str">
        <f t="shared" si="9"/>
        <v>Não</v>
      </c>
      <c r="K673" s="47">
        <v>45014.0</v>
      </c>
      <c r="L673" s="45"/>
      <c r="M673" s="45" t="s">
        <v>55</v>
      </c>
      <c r="N673" s="48">
        <v>0.012</v>
      </c>
      <c r="O673" s="44" t="s">
        <v>24</v>
      </c>
      <c r="P673" s="49">
        <v>0.0</v>
      </c>
      <c r="Q673" s="139"/>
      <c r="R673" s="139"/>
      <c r="S673" s="45" t="s">
        <v>108</v>
      </c>
      <c r="T673" s="24" t="s">
        <v>2264</v>
      </c>
      <c r="U673" s="9" t="s">
        <v>29</v>
      </c>
      <c r="V673" s="51" t="str">
        <f t="shared" si="8"/>
        <v>Ativo</v>
      </c>
      <c r="W673" s="45"/>
      <c r="X673" s="52" t="s">
        <v>110</v>
      </c>
      <c r="Y673" s="54"/>
      <c r="Z673" s="54"/>
      <c r="AA673" s="54"/>
      <c r="AB673" s="54"/>
      <c r="AC673" s="54"/>
      <c r="AD673" s="54"/>
      <c r="AE673" s="54">
        <v>58093.97</v>
      </c>
      <c r="AF673" s="54">
        <v>58552.2</v>
      </c>
      <c r="AG673" s="54">
        <v>58477.42</v>
      </c>
      <c r="AH673" s="54">
        <v>58966.85</v>
      </c>
      <c r="AI673" s="54">
        <v>59456.92</v>
      </c>
      <c r="AJ673" s="54">
        <v>59914.65</v>
      </c>
      <c r="AK673" s="54">
        <v>60378.23</v>
      </c>
      <c r="AL673" s="54">
        <v>60918.44</v>
      </c>
      <c r="AM673" s="54">
        <v>61371.9</v>
      </c>
      <c r="AN673" s="54">
        <v>61866.12</v>
      </c>
      <c r="AO673" s="54">
        <v>62449.71</v>
      </c>
      <c r="AP673" s="53">
        <v>62665.42</v>
      </c>
      <c r="AQ673" s="53">
        <v>42685.5</v>
      </c>
      <c r="AR673" s="53">
        <v>42835.01</v>
      </c>
      <c r="AS673" s="53">
        <v>43171.26</v>
      </c>
      <c r="AT673" s="53">
        <v>43491.93</v>
      </c>
      <c r="AU673" s="53">
        <f t="array" ref="AU673">XLOOKUP(C673,'PL TOTAL D0'!A:A,'PL TOTAL D0'!C:C,"")</f>
        <v>43624.82</v>
      </c>
    </row>
    <row r="674" ht="15.75" customHeight="1">
      <c r="A674" s="6" t="s">
        <v>43</v>
      </c>
      <c r="B674" s="55" t="s">
        <v>2265</v>
      </c>
      <c r="C674" s="7" t="s">
        <v>2266</v>
      </c>
      <c r="D674" s="9" t="s">
        <v>18</v>
      </c>
      <c r="E674" s="24" t="s">
        <v>29</v>
      </c>
      <c r="F674" s="9" t="s">
        <v>836</v>
      </c>
      <c r="G674" s="44" t="str">
        <f t="shared" si="1"/>
        <v>Augusto</v>
      </c>
      <c r="H674" s="51" t="s">
        <v>107</v>
      </c>
      <c r="I674" s="51" t="s">
        <v>24</v>
      </c>
      <c r="J674" s="44" t="str">
        <f t="shared" si="9"/>
        <v>Não</v>
      </c>
      <c r="K674" s="57">
        <v>45328.0</v>
      </c>
      <c r="L674" s="45"/>
      <c r="M674" s="24" t="s">
        <v>55</v>
      </c>
      <c r="N674" s="159">
        <v>0.012</v>
      </c>
      <c r="O674" s="160" t="s">
        <v>24</v>
      </c>
      <c r="P674" s="161">
        <v>0.0</v>
      </c>
      <c r="Q674" s="139"/>
      <c r="R674" s="139"/>
      <c r="S674" s="24" t="s">
        <v>108</v>
      </c>
      <c r="T674" s="24" t="s">
        <v>2267</v>
      </c>
      <c r="U674" s="9" t="s">
        <v>29</v>
      </c>
      <c r="V674" s="51" t="str">
        <f t="shared" si="8"/>
        <v>Ativo</v>
      </c>
      <c r="W674" s="45"/>
      <c r="X674" s="52" t="s">
        <v>119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3">
        <v>7530.61</v>
      </c>
      <c r="AQ674" s="53">
        <v>7600.49</v>
      </c>
      <c r="AR674" s="53">
        <v>7670.3</v>
      </c>
      <c r="AS674" s="53">
        <v>7734.55</v>
      </c>
      <c r="AT674" s="53">
        <v>7797.12</v>
      </c>
      <c r="AU674" s="53">
        <f t="array" ref="AU674">XLOOKUP(C674,'PL TOTAL D0'!A:A,'PL TOTAL D0'!C:C,"")</f>
        <v>7825.33</v>
      </c>
    </row>
    <row r="675" ht="15.75" customHeight="1">
      <c r="A675" s="41" t="s">
        <v>43</v>
      </c>
      <c r="B675" s="133" t="s">
        <v>2268</v>
      </c>
      <c r="C675" s="241" t="s">
        <v>2269</v>
      </c>
      <c r="D675" s="44" t="s">
        <v>18</v>
      </c>
      <c r="E675" s="45" t="s">
        <v>29</v>
      </c>
      <c r="F675" s="44" t="s">
        <v>78</v>
      </c>
      <c r="G675" s="44" t="str">
        <f t="shared" si="1"/>
        <v>Breno</v>
      </c>
      <c r="H675" s="51" t="s">
        <v>107</v>
      </c>
      <c r="I675" s="51" t="s">
        <v>24</v>
      </c>
      <c r="J675" s="44" t="str">
        <f t="shared" si="9"/>
        <v>Não</v>
      </c>
      <c r="K675" s="47">
        <v>45268.0</v>
      </c>
      <c r="L675" s="45"/>
      <c r="M675" s="45" t="s">
        <v>55</v>
      </c>
      <c r="N675" s="242">
        <v>0.012</v>
      </c>
      <c r="O675" s="243" t="s">
        <v>24</v>
      </c>
      <c r="P675" s="244">
        <v>0.0</v>
      </c>
      <c r="Q675" s="139"/>
      <c r="R675" s="139"/>
      <c r="S675" s="45" t="s">
        <v>108</v>
      </c>
      <c r="T675" s="24" t="s">
        <v>2270</v>
      </c>
      <c r="U675" s="9" t="s">
        <v>791</v>
      </c>
      <c r="V675" s="51" t="str">
        <f t="shared" si="8"/>
        <v>Ativo</v>
      </c>
      <c r="W675" s="45"/>
      <c r="X675" s="52" t="s">
        <v>119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>
        <v>250198.79</v>
      </c>
      <c r="AO675" s="54">
        <v>252594.2</v>
      </c>
      <c r="AP675" s="53">
        <v>305157.82</v>
      </c>
      <c r="AQ675" s="53">
        <v>352782.73</v>
      </c>
      <c r="AR675" s="53">
        <v>354381.46</v>
      </c>
      <c r="AS675" s="53">
        <v>500036.9</v>
      </c>
      <c r="AT675" s="53">
        <v>504183.9</v>
      </c>
      <c r="AU675" s="53">
        <f t="array" ref="AU675">XLOOKUP(C675,'PL TOTAL D0'!A:A,'PL TOTAL D0'!C:C,"")</f>
        <v>505881</v>
      </c>
    </row>
    <row r="676" ht="15.75" customHeight="1">
      <c r="A676" s="41" t="s">
        <v>43</v>
      </c>
      <c r="B676" s="61" t="s">
        <v>2271</v>
      </c>
      <c r="C676" s="43" t="s">
        <v>2272</v>
      </c>
      <c r="D676" s="44" t="s">
        <v>18</v>
      </c>
      <c r="E676" s="45" t="s">
        <v>176</v>
      </c>
      <c r="F676" s="44" t="s">
        <v>177</v>
      </c>
      <c r="G676" s="44" t="str">
        <f t="shared" si="1"/>
        <v>Augusto</v>
      </c>
      <c r="H676" s="46" t="s">
        <v>107</v>
      </c>
      <c r="I676" s="46" t="s">
        <v>24</v>
      </c>
      <c r="J676" s="44" t="str">
        <f t="shared" si="9"/>
        <v>Não</v>
      </c>
      <c r="K676" s="47">
        <v>45106.0</v>
      </c>
      <c r="L676" s="62"/>
      <c r="M676" s="45" t="s">
        <v>190</v>
      </c>
      <c r="N676" s="48">
        <v>0.025</v>
      </c>
      <c r="O676" s="44" t="s">
        <v>191</v>
      </c>
      <c r="P676" s="49">
        <v>0.2</v>
      </c>
      <c r="Q676" s="139"/>
      <c r="R676" s="139"/>
      <c r="S676" s="45" t="s">
        <v>108</v>
      </c>
      <c r="T676" s="24" t="s">
        <v>2273</v>
      </c>
      <c r="U676" s="9" t="s">
        <v>180</v>
      </c>
      <c r="V676" s="51" t="str">
        <f t="shared" si="8"/>
        <v>Ativo</v>
      </c>
      <c r="W676" s="45"/>
      <c r="X676" s="52" t="s">
        <v>110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>
        <v>33459.87</v>
      </c>
      <c r="AI676" s="54">
        <v>35253.69</v>
      </c>
      <c r="AJ676" s="54">
        <v>34553.64</v>
      </c>
      <c r="AK676" s="54">
        <v>49122.52</v>
      </c>
      <c r="AL676" s="54">
        <v>47478.27</v>
      </c>
      <c r="AM676" s="54">
        <v>51021.43</v>
      </c>
      <c r="AN676" s="54">
        <v>53462.13</v>
      </c>
      <c r="AO676" s="54">
        <v>49747.29</v>
      </c>
      <c r="AP676" s="53">
        <v>50435.54</v>
      </c>
      <c r="AQ676" s="53">
        <v>174526.13</v>
      </c>
      <c r="AR676" s="53">
        <v>168444.16</v>
      </c>
      <c r="AS676" s="53">
        <v>163322.4</v>
      </c>
      <c r="AT676" s="53">
        <v>163584.8</v>
      </c>
      <c r="AU676" s="53">
        <f t="array" ref="AU676">XLOOKUP(C676,'PL TOTAL D0'!A:A,'PL TOTAL D0'!C:C,"")</f>
        <v>170806.6</v>
      </c>
    </row>
    <row r="677" ht="15.75" customHeight="1">
      <c r="A677" s="41" t="s">
        <v>43</v>
      </c>
      <c r="B677" s="61" t="s">
        <v>2271</v>
      </c>
      <c r="C677" s="43" t="s">
        <v>2274</v>
      </c>
      <c r="D677" s="44" t="s">
        <v>18</v>
      </c>
      <c r="E677" s="45" t="s">
        <v>176</v>
      </c>
      <c r="F677" s="44" t="s">
        <v>177</v>
      </c>
      <c r="G677" s="44" t="str">
        <f t="shared" si="1"/>
        <v>Augusto</v>
      </c>
      <c r="H677" s="46" t="s">
        <v>107</v>
      </c>
      <c r="I677" s="46" t="s">
        <v>24</v>
      </c>
      <c r="J677" s="44" t="str">
        <f t="shared" si="9"/>
        <v>Não</v>
      </c>
      <c r="K677" s="47">
        <v>45096.0</v>
      </c>
      <c r="L677" s="45"/>
      <c r="M677" s="45" t="s">
        <v>55</v>
      </c>
      <c r="N677" s="48">
        <v>0.012</v>
      </c>
      <c r="O677" s="44" t="s">
        <v>24</v>
      </c>
      <c r="P677" s="49">
        <v>0.0</v>
      </c>
      <c r="Q677" s="139"/>
      <c r="R677" s="139"/>
      <c r="S677" s="45" t="s">
        <v>108</v>
      </c>
      <c r="T677" s="24" t="s">
        <v>2273</v>
      </c>
      <c r="U677" s="9" t="s">
        <v>180</v>
      </c>
      <c r="V677" s="51" t="str">
        <f t="shared" si="8"/>
        <v>Ativo</v>
      </c>
      <c r="W677" s="45"/>
      <c r="X677" s="52" t="s">
        <v>110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>
        <v>77435.25</v>
      </c>
      <c r="AI677" s="54">
        <v>78226.19</v>
      </c>
      <c r="AJ677" s="54">
        <v>79118.79</v>
      </c>
      <c r="AK677" s="54">
        <v>79569.85</v>
      </c>
      <c r="AL677" s="54">
        <v>80332.19</v>
      </c>
      <c r="AM677" s="54">
        <v>80968.48</v>
      </c>
      <c r="AN677" s="54">
        <v>81640.1</v>
      </c>
      <c r="AO677" s="54">
        <v>82402.63</v>
      </c>
      <c r="AP677" s="53">
        <v>83058.92</v>
      </c>
      <c r="AQ677" s="53">
        <v>133503.57</v>
      </c>
      <c r="AR677" s="53">
        <v>134645.23</v>
      </c>
      <c r="AS677" s="53">
        <v>135734.1</v>
      </c>
      <c r="AT677" s="53">
        <v>136256.0</v>
      </c>
      <c r="AU677" s="53">
        <f t="array" ref="AU677">XLOOKUP(C677,'PL TOTAL D0'!A:A,'PL TOTAL D0'!C:C,"")</f>
        <v>136725.4</v>
      </c>
    </row>
    <row r="678" ht="15.75" customHeight="1">
      <c r="A678" s="41" t="s">
        <v>43</v>
      </c>
      <c r="B678" s="66" t="s">
        <v>2271</v>
      </c>
      <c r="C678" s="69" t="s">
        <v>2275</v>
      </c>
      <c r="D678" s="44" t="s">
        <v>18</v>
      </c>
      <c r="E678" s="45" t="s">
        <v>176</v>
      </c>
      <c r="F678" s="44" t="s">
        <v>177</v>
      </c>
      <c r="G678" s="44" t="str">
        <f t="shared" si="1"/>
        <v>Augusto</v>
      </c>
      <c r="H678" s="46" t="s">
        <v>107</v>
      </c>
      <c r="I678" s="46" t="s">
        <v>24</v>
      </c>
      <c r="J678" s="44" t="str">
        <f t="shared" si="9"/>
        <v>Sim</v>
      </c>
      <c r="K678" s="47">
        <v>45173.0</v>
      </c>
      <c r="L678" s="62"/>
      <c r="M678" s="45" t="s">
        <v>194</v>
      </c>
      <c r="N678" s="48">
        <v>0.008</v>
      </c>
      <c r="O678" s="44" t="s">
        <v>195</v>
      </c>
      <c r="P678" s="49">
        <v>0.1</v>
      </c>
      <c r="Q678" s="60" t="s">
        <v>2276</v>
      </c>
      <c r="R678" s="139"/>
      <c r="S678" s="45" t="s">
        <v>108</v>
      </c>
      <c r="T678" s="24" t="s">
        <v>2273</v>
      </c>
      <c r="U678" s="9" t="s">
        <v>180</v>
      </c>
      <c r="V678" s="51" t="str">
        <f t="shared" si="8"/>
        <v>Ativo</v>
      </c>
      <c r="W678" s="45"/>
      <c r="X678" s="52" t="s">
        <v>110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>
        <v>0.0</v>
      </c>
      <c r="AK678" s="54">
        <v>125546.41</v>
      </c>
      <c r="AL678" s="54">
        <v>122333.01</v>
      </c>
      <c r="AM678" s="54">
        <v>123365.82</v>
      </c>
      <c r="AN678" s="54">
        <v>125412.83</v>
      </c>
      <c r="AO678" s="54">
        <v>124891.86</v>
      </c>
      <c r="AP678" s="53">
        <v>126278.15</v>
      </c>
      <c r="AQ678" s="53">
        <v>126220.89</v>
      </c>
      <c r="AR678" s="53">
        <v>123539.41</v>
      </c>
      <c r="AS678" s="53">
        <v>122178.3</v>
      </c>
      <c r="AT678" s="53">
        <v>120468.1</v>
      </c>
      <c r="AU678" s="53">
        <f t="array" ref="AU678">XLOOKUP(C678,'PL TOTAL D0'!A:A,'PL TOTAL D0'!C:C,"")</f>
        <v>121015.3</v>
      </c>
    </row>
    <row r="679" ht="15.75" customHeight="1">
      <c r="A679" s="41" t="s">
        <v>43</v>
      </c>
      <c r="B679" s="112" t="s">
        <v>2277</v>
      </c>
      <c r="C679" s="113" t="s">
        <v>2278</v>
      </c>
      <c r="D679" s="9" t="s">
        <v>18</v>
      </c>
      <c r="E679" s="24" t="s">
        <v>19</v>
      </c>
      <c r="F679" s="9" t="s">
        <v>2279</v>
      </c>
      <c r="G679" s="44" t="str">
        <f t="shared" si="1"/>
        <v>Augusto</v>
      </c>
      <c r="H679" s="51" t="s">
        <v>147</v>
      </c>
      <c r="I679" s="51" t="s">
        <v>24</v>
      </c>
      <c r="J679" s="44" t="str">
        <f>IF(R679=0,"Não","Sim")</f>
        <v>Sim</v>
      </c>
      <c r="K679" s="57">
        <v>45359.0</v>
      </c>
      <c r="L679" s="45"/>
      <c r="M679" s="185" t="s">
        <v>47</v>
      </c>
      <c r="N679" s="186">
        <v>0.015</v>
      </c>
      <c r="O679" s="187" t="s">
        <v>48</v>
      </c>
      <c r="P679" s="188">
        <v>0.1</v>
      </c>
      <c r="R679" s="184" t="s">
        <v>2280</v>
      </c>
      <c r="S679" s="24" t="s">
        <v>108</v>
      </c>
      <c r="T679" s="5" t="s">
        <v>2281</v>
      </c>
      <c r="U679" s="9" t="s">
        <v>19</v>
      </c>
      <c r="V679" s="51" t="str">
        <f t="shared" si="8"/>
        <v>Ativo</v>
      </c>
      <c r="W679" s="45"/>
      <c r="X679" s="52" t="s">
        <v>119</v>
      </c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3"/>
      <c r="AQ679" s="53">
        <v>30257.6</v>
      </c>
      <c r="AR679" s="53">
        <v>30140.2</v>
      </c>
      <c r="AS679" s="53">
        <v>30118.85</v>
      </c>
      <c r="AT679" s="53">
        <v>50.29</v>
      </c>
      <c r="AU679" s="53">
        <f t="array" ref="AU679">XLOOKUP(C679,'PL TOTAL D0'!A:A,'PL TOTAL D0'!C:C,"")</f>
        <v>50.29</v>
      </c>
    </row>
    <row r="680" ht="15.75" customHeight="1">
      <c r="A680" s="6" t="s">
        <v>43</v>
      </c>
      <c r="B680" s="55" t="s">
        <v>2282</v>
      </c>
      <c r="C680" s="56" t="s">
        <v>2283</v>
      </c>
      <c r="D680" s="9" t="s">
        <v>18</v>
      </c>
      <c r="E680" s="24" t="s">
        <v>19</v>
      </c>
      <c r="F680" s="9" t="s">
        <v>122</v>
      </c>
      <c r="G680" s="44" t="str">
        <f t="shared" si="1"/>
        <v>#N/A</v>
      </c>
      <c r="H680" s="51" t="s">
        <v>147</v>
      </c>
      <c r="I680" s="51" t="s">
        <v>161</v>
      </c>
      <c r="J680" s="44" t="str">
        <f t="shared" ref="J680:J685" si="10">IF(Q680=0,"Não","Sim")</f>
        <v>Não</v>
      </c>
      <c r="K680" s="57">
        <v>45343.0</v>
      </c>
      <c r="L680" s="45"/>
      <c r="M680" s="24" t="s">
        <v>47</v>
      </c>
      <c r="N680" s="58">
        <v>0.015</v>
      </c>
      <c r="O680" s="9" t="s">
        <v>48</v>
      </c>
      <c r="P680" s="59">
        <v>0.1</v>
      </c>
      <c r="Q680" s="139"/>
      <c r="R680" s="139"/>
      <c r="S680" s="24" t="s">
        <v>108</v>
      </c>
      <c r="T680" s="24" t="s">
        <v>2284</v>
      </c>
      <c r="U680" s="9" t="s">
        <v>19</v>
      </c>
      <c r="V680" s="51" t="str">
        <f t="shared" si="8"/>
        <v>Ativo</v>
      </c>
      <c r="W680" s="45"/>
      <c r="X680" s="52" t="s">
        <v>119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3">
        <v>0.0</v>
      </c>
      <c r="AQ680" s="53">
        <v>0.0</v>
      </c>
      <c r="AR680" s="53">
        <v>0.0</v>
      </c>
      <c r="AS680" s="53">
        <v>0.0</v>
      </c>
      <c r="AT680" s="53">
        <v>0.0</v>
      </c>
      <c r="AU680" s="53" t="str">
        <f t="array" ref="AU680">XLOOKUP(C680,'PL TOTAL D0'!A:A,'PL TOTAL D0'!C:C,"")</f>
        <v/>
      </c>
    </row>
    <row r="681" ht="15.75" customHeight="1">
      <c r="A681" s="41" t="s">
        <v>43</v>
      </c>
      <c r="B681" s="42" t="s">
        <v>2285</v>
      </c>
      <c r="C681" s="43" t="s">
        <v>2286</v>
      </c>
      <c r="D681" s="44" t="s">
        <v>18</v>
      </c>
      <c r="E681" s="45" t="s">
        <v>19</v>
      </c>
      <c r="F681" s="44" t="s">
        <v>122</v>
      </c>
      <c r="G681" s="44" t="str">
        <f t="shared" si="1"/>
        <v>Breno</v>
      </c>
      <c r="H681" s="46" t="s">
        <v>107</v>
      </c>
      <c r="I681" s="46" t="s">
        <v>24</v>
      </c>
      <c r="J681" s="44" t="str">
        <f t="shared" si="10"/>
        <v>Sim</v>
      </c>
      <c r="K681" s="47">
        <v>45128.0</v>
      </c>
      <c r="L681" s="45"/>
      <c r="M681" s="45" t="s">
        <v>79</v>
      </c>
      <c r="N681" s="48">
        <v>0.012</v>
      </c>
      <c r="O681" s="44" t="s">
        <v>24</v>
      </c>
      <c r="P681" s="49">
        <v>0.0</v>
      </c>
      <c r="Q681" s="60" t="s">
        <v>2287</v>
      </c>
      <c r="R681" s="139"/>
      <c r="S681" s="45" t="s">
        <v>108</v>
      </c>
      <c r="T681" s="24" t="s">
        <v>2284</v>
      </c>
      <c r="U681" s="9" t="s">
        <v>19</v>
      </c>
      <c r="V681" s="51" t="str">
        <f t="shared" si="8"/>
        <v>Ativo</v>
      </c>
      <c r="W681" s="45"/>
      <c r="X681" s="52" t="s">
        <v>119</v>
      </c>
      <c r="Y681" s="54"/>
      <c r="Z681" s="54"/>
      <c r="AA681" s="54"/>
      <c r="AB681" s="54"/>
      <c r="AC681" s="54">
        <v>149471.69</v>
      </c>
      <c r="AD681" s="54">
        <v>68438.77</v>
      </c>
      <c r="AE681" s="54">
        <v>77064.11</v>
      </c>
      <c r="AF681" s="54">
        <v>77712.62</v>
      </c>
      <c r="AG681" s="54">
        <v>47800.97</v>
      </c>
      <c r="AH681" s="54">
        <v>18.0</v>
      </c>
      <c r="AI681" s="54">
        <v>601397.66</v>
      </c>
      <c r="AJ681" s="54">
        <v>607906.65</v>
      </c>
      <c r="AK681" s="54">
        <v>612646.64</v>
      </c>
      <c r="AL681" s="54">
        <v>618147.01</v>
      </c>
      <c r="AM681" s="54">
        <v>622766.58</v>
      </c>
      <c r="AN681" s="54">
        <v>627726.75</v>
      </c>
      <c r="AO681" s="54">
        <v>633330.8</v>
      </c>
      <c r="AP681" s="53">
        <v>638173.66</v>
      </c>
      <c r="AQ681" s="53">
        <v>541516.93</v>
      </c>
      <c r="AR681" s="53">
        <v>512863.07</v>
      </c>
      <c r="AS681" s="53">
        <v>452969.4</v>
      </c>
      <c r="AT681" s="53">
        <v>456586.9</v>
      </c>
      <c r="AU681" s="53">
        <f t="array" ref="AU681">XLOOKUP(C681,'PL TOTAL D0'!A:A,'PL TOTAL D0'!C:C,"")</f>
        <v>457983</v>
      </c>
    </row>
    <row r="682" ht="15.75" customHeight="1">
      <c r="A682" s="41" t="s">
        <v>43</v>
      </c>
      <c r="B682" s="64" t="s">
        <v>2288</v>
      </c>
      <c r="C682" s="65" t="s">
        <v>2289</v>
      </c>
      <c r="D682" s="9" t="s">
        <v>18</v>
      </c>
      <c r="E682" s="24" t="s">
        <v>29</v>
      </c>
      <c r="F682" s="9" t="s">
        <v>60</v>
      </c>
      <c r="G682" s="44" t="str">
        <f t="shared" si="1"/>
        <v>Breno</v>
      </c>
      <c r="H682" s="51" t="s">
        <v>107</v>
      </c>
      <c r="I682" s="51" t="s">
        <v>24</v>
      </c>
      <c r="J682" s="44" t="str">
        <f t="shared" si="10"/>
        <v>Não</v>
      </c>
      <c r="K682" s="57">
        <v>45407.0</v>
      </c>
      <c r="L682" s="45"/>
      <c r="M682" s="24" t="s">
        <v>55</v>
      </c>
      <c r="N682" s="58">
        <v>0.012</v>
      </c>
      <c r="O682" s="9" t="s">
        <v>24</v>
      </c>
      <c r="P682" s="59">
        <v>0.0</v>
      </c>
      <c r="Q682" s="60"/>
      <c r="R682" s="139"/>
      <c r="S682" s="24" t="s">
        <v>108</v>
      </c>
      <c r="T682" s="24" t="s">
        <v>2290</v>
      </c>
      <c r="U682" s="9" t="s">
        <v>29</v>
      </c>
      <c r="V682" s="51" t="str">
        <f t="shared" si="8"/>
        <v>Ativo</v>
      </c>
      <c r="W682" s="24" t="s">
        <v>75</v>
      </c>
      <c r="X682" s="52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3"/>
      <c r="AQ682" s="53"/>
      <c r="AR682" s="53">
        <v>130185.26</v>
      </c>
      <c r="AS682" s="53">
        <v>580240.7</v>
      </c>
      <c r="AT682" s="53">
        <v>584977.4</v>
      </c>
      <c r="AU682" s="53">
        <f t="array" ref="AU682">XLOOKUP(C682,'PL TOTAL D0'!A:A,'PL TOTAL D0'!C:C,"")</f>
        <v>587011.3</v>
      </c>
    </row>
    <row r="683" ht="15.75" customHeight="1">
      <c r="A683" s="41" t="s">
        <v>43</v>
      </c>
      <c r="B683" s="61" t="s">
        <v>2291</v>
      </c>
      <c r="C683" s="43" t="s">
        <v>2292</v>
      </c>
      <c r="D683" s="44" t="s">
        <v>18</v>
      </c>
      <c r="E683" s="45" t="s">
        <v>176</v>
      </c>
      <c r="F683" s="44" t="s">
        <v>197</v>
      </c>
      <c r="G683" s="44" t="str">
        <f t="shared" si="1"/>
        <v>Bruno</v>
      </c>
      <c r="H683" s="46" t="s">
        <v>107</v>
      </c>
      <c r="I683" s="46" t="s">
        <v>24</v>
      </c>
      <c r="J683" s="44" t="str">
        <f t="shared" si="10"/>
        <v>Não</v>
      </c>
      <c r="K683" s="47">
        <v>45028.0</v>
      </c>
      <c r="L683" s="45"/>
      <c r="M683" s="45" t="s">
        <v>269</v>
      </c>
      <c r="N683" s="48">
        <v>0.02</v>
      </c>
      <c r="O683" s="44" t="s">
        <v>48</v>
      </c>
      <c r="P683" s="49">
        <v>0.2</v>
      </c>
      <c r="Q683" s="139"/>
      <c r="R683" s="139"/>
      <c r="S683" s="45" t="s">
        <v>108</v>
      </c>
      <c r="T683" s="24" t="s">
        <v>2293</v>
      </c>
      <c r="U683" s="9" t="s">
        <v>180</v>
      </c>
      <c r="V683" s="51" t="str">
        <f t="shared" si="8"/>
        <v>Ativo</v>
      </c>
      <c r="W683" s="45"/>
      <c r="X683" s="52" t="s">
        <v>119</v>
      </c>
      <c r="Y683" s="54"/>
      <c r="Z683" s="54"/>
      <c r="AA683" s="54"/>
      <c r="AB683" s="54"/>
      <c r="AC683" s="54"/>
      <c r="AD683" s="54"/>
      <c r="AE683" s="54">
        <v>0.0</v>
      </c>
      <c r="AF683" s="54">
        <v>1051542.11</v>
      </c>
      <c r="AG683" s="54">
        <v>1072991.87</v>
      </c>
      <c r="AH683" s="54">
        <v>1108291.77</v>
      </c>
      <c r="AI683" s="54">
        <v>1131931.21</v>
      </c>
      <c r="AJ683" s="54">
        <v>1264482.79</v>
      </c>
      <c r="AK683" s="54">
        <v>1318461.24</v>
      </c>
      <c r="AL683" s="54">
        <v>1302805.8</v>
      </c>
      <c r="AM683" s="54">
        <v>1345901.43</v>
      </c>
      <c r="AN683" s="54">
        <v>1377518.79</v>
      </c>
      <c r="AO683" s="54">
        <v>1336013.41</v>
      </c>
      <c r="AP683" s="53">
        <v>1346585.46</v>
      </c>
      <c r="AQ683" s="53">
        <v>1365082.92</v>
      </c>
      <c r="AR683" s="53">
        <v>1342663.48</v>
      </c>
      <c r="AS683" s="53">
        <v>1323380.0</v>
      </c>
      <c r="AT683" s="53">
        <v>1329377.0</v>
      </c>
      <c r="AU683" s="53">
        <f t="array" ref="AU683">XLOOKUP(C683,'PL TOTAL D0'!A:A,'PL TOTAL D0'!C:C,"")</f>
        <v>1359777</v>
      </c>
    </row>
    <row r="684" ht="15.75" customHeight="1">
      <c r="A684" s="41" t="s">
        <v>43</v>
      </c>
      <c r="B684" s="42" t="s">
        <v>2294</v>
      </c>
      <c r="C684" s="43" t="s">
        <v>2295</v>
      </c>
      <c r="D684" s="44" t="s">
        <v>105</v>
      </c>
      <c r="E684" s="45" t="s">
        <v>29</v>
      </c>
      <c r="F684" s="44" t="s">
        <v>209</v>
      </c>
      <c r="G684" s="44" t="str">
        <f t="shared" si="1"/>
        <v>Bruno</v>
      </c>
      <c r="H684" s="46" t="s">
        <v>107</v>
      </c>
      <c r="I684" s="46" t="s">
        <v>24</v>
      </c>
      <c r="J684" s="44" t="str">
        <f t="shared" si="10"/>
        <v>Sim</v>
      </c>
      <c r="K684" s="47">
        <v>44946.0</v>
      </c>
      <c r="L684" s="45"/>
      <c r="M684" s="45" t="s">
        <v>55</v>
      </c>
      <c r="N684" s="48">
        <v>0.01</v>
      </c>
      <c r="O684" s="44" t="s">
        <v>24</v>
      </c>
      <c r="P684" s="49">
        <v>0.0</v>
      </c>
      <c r="Q684" s="220" t="s">
        <v>2296</v>
      </c>
      <c r="R684" s="139"/>
      <c r="S684" s="45" t="s">
        <v>108</v>
      </c>
      <c r="T684" s="24" t="s">
        <v>2297</v>
      </c>
      <c r="U684" s="9" t="s">
        <v>29</v>
      </c>
      <c r="V684" s="51" t="str">
        <f t="shared" si="8"/>
        <v>Ativo</v>
      </c>
      <c r="W684" s="45"/>
      <c r="X684" s="52" t="s">
        <v>119</v>
      </c>
      <c r="Y684" s="54"/>
      <c r="Z684" s="54"/>
      <c r="AA684" s="54"/>
      <c r="AB684" s="54"/>
      <c r="AC684" s="54">
        <v>591230.5</v>
      </c>
      <c r="AD684" s="54">
        <v>596444.02</v>
      </c>
      <c r="AE684" s="54">
        <v>638672.4</v>
      </c>
      <c r="AF684" s="54">
        <v>654204.69</v>
      </c>
      <c r="AG684" s="54">
        <v>686212.09</v>
      </c>
      <c r="AH684" s="54">
        <v>731399.04</v>
      </c>
      <c r="AI684" s="54">
        <v>737658.93</v>
      </c>
      <c r="AJ684" s="54">
        <v>763934.31</v>
      </c>
      <c r="AK684" s="54">
        <v>787241.26</v>
      </c>
      <c r="AL684" s="54">
        <v>792816.03</v>
      </c>
      <c r="AM684" s="54">
        <v>890006.33</v>
      </c>
      <c r="AN684" s="54">
        <v>922848.65</v>
      </c>
      <c r="AO684" s="54">
        <v>938170.02</v>
      </c>
      <c r="AP684" s="53">
        <v>1094891.09</v>
      </c>
      <c r="AQ684" s="53">
        <v>1698417.81</v>
      </c>
      <c r="AR684" s="53">
        <v>1794172.48</v>
      </c>
      <c r="AS684" s="53">
        <v>1808130.0</v>
      </c>
      <c r="AT684" s="53">
        <v>1883765.0</v>
      </c>
      <c r="AU684" s="53">
        <f t="array" ref="AU684">XLOOKUP(C684,'PL TOTAL D0'!A:A,'PL TOTAL D0'!C:C,"")</f>
        <v>1899649</v>
      </c>
    </row>
    <row r="685" ht="15.75" customHeight="1">
      <c r="A685" s="41" t="s">
        <v>43</v>
      </c>
      <c r="B685" s="42" t="s">
        <v>2298</v>
      </c>
      <c r="C685" s="43" t="s">
        <v>2299</v>
      </c>
      <c r="D685" s="44" t="s">
        <v>18</v>
      </c>
      <c r="E685" s="45" t="s">
        <v>19</v>
      </c>
      <c r="F685" s="44" t="s">
        <v>20</v>
      </c>
      <c r="G685" s="44" t="str">
        <f t="shared" si="1"/>
        <v>Augusto</v>
      </c>
      <c r="H685" s="46" t="s">
        <v>107</v>
      </c>
      <c r="I685" s="46" t="s">
        <v>24</v>
      </c>
      <c r="J685" s="44" t="str">
        <f t="shared" si="10"/>
        <v>Não</v>
      </c>
      <c r="K685" s="47">
        <v>44994.0</v>
      </c>
      <c r="L685" s="45"/>
      <c r="M685" s="45" t="s">
        <v>47</v>
      </c>
      <c r="N685" s="48">
        <v>0.015</v>
      </c>
      <c r="O685" s="44" t="s">
        <v>48</v>
      </c>
      <c r="P685" s="49">
        <v>0.1</v>
      </c>
      <c r="Q685" s="139"/>
      <c r="R685" s="139"/>
      <c r="S685" s="45" t="s">
        <v>108</v>
      </c>
      <c r="T685" s="24" t="s">
        <v>2300</v>
      </c>
      <c r="U685" s="9" t="s">
        <v>19</v>
      </c>
      <c r="V685" s="51" t="str">
        <f t="shared" si="8"/>
        <v>Ativo</v>
      </c>
      <c r="W685" s="45"/>
      <c r="X685" s="52" t="s">
        <v>110</v>
      </c>
      <c r="Y685" s="54"/>
      <c r="Z685" s="54"/>
      <c r="AA685" s="54"/>
      <c r="AB685" s="54"/>
      <c r="AC685" s="54"/>
      <c r="AD685" s="54">
        <v>0.0</v>
      </c>
      <c r="AE685" s="54">
        <v>317061.28</v>
      </c>
      <c r="AF685" s="54">
        <v>318570.65</v>
      </c>
      <c r="AG685" s="54">
        <v>324898.9513</v>
      </c>
      <c r="AH685" s="54">
        <v>353373.86</v>
      </c>
      <c r="AI685" s="54">
        <v>363060.22</v>
      </c>
      <c r="AJ685" s="54">
        <v>325564.92</v>
      </c>
      <c r="AK685" s="54">
        <v>315676.05</v>
      </c>
      <c r="AL685" s="54">
        <v>263943.59</v>
      </c>
      <c r="AM685" s="54">
        <v>218096.86</v>
      </c>
      <c r="AN685" s="54">
        <v>221499.27</v>
      </c>
      <c r="AO685" s="54">
        <v>246251.74</v>
      </c>
      <c r="AP685" s="53">
        <v>248711.33</v>
      </c>
      <c r="AQ685" s="53">
        <v>241158.97</v>
      </c>
      <c r="AR685" s="53">
        <v>239523.79</v>
      </c>
      <c r="AS685" s="53">
        <v>238803.5</v>
      </c>
      <c r="AT685" s="53">
        <v>239864.0</v>
      </c>
      <c r="AU685" s="53">
        <f t="array" ref="AU685">XLOOKUP(C685,'PL TOTAL D0'!A:A,'PL TOTAL D0'!C:C,"")</f>
        <v>243306.4</v>
      </c>
    </row>
    <row r="686" ht="15.75" customHeight="1">
      <c r="A686" s="41" t="s">
        <v>43</v>
      </c>
      <c r="B686" s="61" t="s">
        <v>2301</v>
      </c>
      <c r="C686" s="43" t="s">
        <v>2302</v>
      </c>
      <c r="D686" s="44" t="s">
        <v>105</v>
      </c>
      <c r="E686" s="45" t="s">
        <v>29</v>
      </c>
      <c r="F686" s="44" t="s">
        <v>2047</v>
      </c>
      <c r="G686" s="44" t="str">
        <f t="shared" si="1"/>
        <v>#N/A</v>
      </c>
      <c r="H686" s="51" t="s">
        <v>186</v>
      </c>
      <c r="I686" s="51" t="s">
        <v>24</v>
      </c>
      <c r="J686" s="44" t="str">
        <f>IF(R686=0,"Não","Sim")</f>
        <v>Sim</v>
      </c>
      <c r="K686" s="47">
        <v>45013.0</v>
      </c>
      <c r="L686" s="82">
        <v>45415.0</v>
      </c>
      <c r="M686" s="45" t="s">
        <v>269</v>
      </c>
      <c r="N686" s="48">
        <v>0.02</v>
      </c>
      <c r="O686" s="44" t="s">
        <v>48</v>
      </c>
      <c r="P686" s="49">
        <v>0.2</v>
      </c>
      <c r="Q686" s="245"/>
      <c r="R686" s="60" t="s">
        <v>2303</v>
      </c>
      <c r="S686" s="45" t="s">
        <v>108</v>
      </c>
      <c r="T686" s="24" t="s">
        <v>2304</v>
      </c>
      <c r="U686" s="9" t="s">
        <v>29</v>
      </c>
      <c r="V686" s="51" t="str">
        <f t="shared" si="8"/>
        <v>Encerrado</v>
      </c>
      <c r="W686" s="45"/>
      <c r="X686" s="52" t="s">
        <v>110</v>
      </c>
      <c r="Y686" s="54"/>
      <c r="Z686" s="54"/>
      <c r="AA686" s="54"/>
      <c r="AB686" s="54"/>
      <c r="AC686" s="54"/>
      <c r="AD686" s="54"/>
      <c r="AE686" s="54">
        <v>0.0</v>
      </c>
      <c r="AF686" s="54">
        <v>499566.11</v>
      </c>
      <c r="AG686" s="54">
        <v>509775.18</v>
      </c>
      <c r="AH686" s="54">
        <v>481161.13</v>
      </c>
      <c r="AI686" s="54">
        <v>447413.88</v>
      </c>
      <c r="AJ686" s="54">
        <v>432606.19</v>
      </c>
      <c r="AK686" s="54">
        <v>430845.92</v>
      </c>
      <c r="AL686" s="54">
        <v>417626.06</v>
      </c>
      <c r="AM686" s="54">
        <v>435487.84</v>
      </c>
      <c r="AN686" s="54">
        <v>447652.59</v>
      </c>
      <c r="AO686" s="54">
        <v>434688.5</v>
      </c>
      <c r="AP686" s="53">
        <v>437804.93</v>
      </c>
      <c r="AQ686" s="53">
        <v>443417.86</v>
      </c>
      <c r="AR686" s="53">
        <v>432859.23</v>
      </c>
      <c r="AS686" s="53">
        <v>0.0</v>
      </c>
      <c r="AT686" s="53">
        <v>0.0</v>
      </c>
      <c r="AU686" s="53" t="str">
        <f t="array" ref="AU686">XLOOKUP(C686,'PL TOTAL D0'!A:A,'PL TOTAL D0'!C:C,"")</f>
        <v/>
      </c>
    </row>
    <row r="687" ht="15.75" customHeight="1">
      <c r="A687" s="41" t="s">
        <v>43</v>
      </c>
      <c r="B687" s="66" t="s">
        <v>2305</v>
      </c>
      <c r="C687" s="67" t="s">
        <v>2306</v>
      </c>
      <c r="D687" s="44" t="s">
        <v>18</v>
      </c>
      <c r="E687" s="45" t="s">
        <v>29</v>
      </c>
      <c r="F687" s="9" t="s">
        <v>60</v>
      </c>
      <c r="G687" s="44" t="str">
        <f t="shared" si="1"/>
        <v>Augusto</v>
      </c>
      <c r="H687" s="51" t="s">
        <v>107</v>
      </c>
      <c r="I687" s="46" t="s">
        <v>24</v>
      </c>
      <c r="J687" s="44" t="str">
        <f t="shared" ref="J687:J736" si="11">IF(Q687=0,"Não","Sim")</f>
        <v>Não</v>
      </c>
      <c r="K687" s="47">
        <v>45212.0</v>
      </c>
      <c r="L687" s="45"/>
      <c r="M687" s="24" t="s">
        <v>47</v>
      </c>
      <c r="N687" s="58">
        <v>0.015</v>
      </c>
      <c r="O687" s="9" t="s">
        <v>48</v>
      </c>
      <c r="P687" s="59">
        <v>0.1</v>
      </c>
      <c r="Q687" s="63"/>
      <c r="R687" s="246" t="s">
        <v>252</v>
      </c>
      <c r="S687" s="45" t="s">
        <v>108</v>
      </c>
      <c r="T687" s="24" t="s">
        <v>2307</v>
      </c>
      <c r="U687" s="9" t="s">
        <v>29</v>
      </c>
      <c r="V687" s="51" t="str">
        <f t="shared" si="8"/>
        <v>Ativo</v>
      </c>
      <c r="W687" s="45"/>
      <c r="X687" s="52" t="s">
        <v>119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>
        <v>28009.08</v>
      </c>
      <c r="AM687" s="54">
        <v>28195.49</v>
      </c>
      <c r="AN687" s="54">
        <v>28455.38</v>
      </c>
      <c r="AO687" s="54">
        <v>136332.37</v>
      </c>
      <c r="AP687" s="53">
        <v>137648.03</v>
      </c>
      <c r="AQ687" s="53">
        <v>139093.47</v>
      </c>
      <c r="AR687" s="53">
        <v>139534.83</v>
      </c>
      <c r="AS687" s="53">
        <v>140632.3</v>
      </c>
      <c r="AT687" s="53">
        <v>141638.3</v>
      </c>
      <c r="AU687" s="53">
        <f t="array" ref="AU687">XLOOKUP(C687,'PL TOTAL D0'!A:A,'PL TOTAL D0'!C:C,"")</f>
        <v>142834.9</v>
      </c>
    </row>
    <row r="688" ht="15.75" customHeight="1">
      <c r="A688" s="41" t="s">
        <v>43</v>
      </c>
      <c r="B688" s="42" t="s">
        <v>2308</v>
      </c>
      <c r="C688" s="43" t="s">
        <v>2309</v>
      </c>
      <c r="D688" s="44" t="s">
        <v>18</v>
      </c>
      <c r="E688" s="45" t="s">
        <v>29</v>
      </c>
      <c r="F688" s="9" t="s">
        <v>632</v>
      </c>
      <c r="G688" s="44" t="str">
        <f t="shared" si="1"/>
        <v>Augusto</v>
      </c>
      <c r="H688" s="46" t="s">
        <v>107</v>
      </c>
      <c r="I688" s="46" t="s">
        <v>24</v>
      </c>
      <c r="J688" s="44" t="str">
        <f t="shared" si="11"/>
        <v>Não</v>
      </c>
      <c r="K688" s="47">
        <v>45070.0</v>
      </c>
      <c r="L688" s="45"/>
      <c r="M688" s="45" t="s">
        <v>47</v>
      </c>
      <c r="N688" s="48">
        <v>0.012</v>
      </c>
      <c r="O688" s="44" t="s">
        <v>48</v>
      </c>
      <c r="P688" s="49">
        <v>0.1</v>
      </c>
      <c r="Q688" s="139"/>
      <c r="R688" s="247" t="s">
        <v>2310</v>
      </c>
      <c r="S688" s="45" t="s">
        <v>108</v>
      </c>
      <c r="T688" s="24" t="s">
        <v>2311</v>
      </c>
      <c r="U688" s="9" t="s">
        <v>29</v>
      </c>
      <c r="V688" s="51" t="str">
        <f t="shared" si="8"/>
        <v>Ativo</v>
      </c>
      <c r="W688" s="45"/>
      <c r="X688" s="52" t="s">
        <v>119</v>
      </c>
      <c r="Y688" s="54"/>
      <c r="Z688" s="54"/>
      <c r="AA688" s="54"/>
      <c r="AB688" s="54"/>
      <c r="AC688" s="54"/>
      <c r="AD688" s="54"/>
      <c r="AE688" s="54">
        <v>0.0</v>
      </c>
      <c r="AF688" s="54">
        <v>0.0</v>
      </c>
      <c r="AG688" s="54">
        <v>227605.23</v>
      </c>
      <c r="AH688" s="54">
        <v>231139.98</v>
      </c>
      <c r="AI688" s="54">
        <v>233533.56</v>
      </c>
      <c r="AJ688" s="54">
        <v>232386.73</v>
      </c>
      <c r="AK688" s="54">
        <v>233018.77</v>
      </c>
      <c r="AL688" s="54">
        <v>232632.7</v>
      </c>
      <c r="AM688" s="54">
        <v>238062.37</v>
      </c>
      <c r="AN688" s="54">
        <v>243018.83</v>
      </c>
      <c r="AO688" s="54">
        <v>236737.14</v>
      </c>
      <c r="AP688" s="53">
        <v>238924.29</v>
      </c>
      <c r="AQ688" s="53">
        <v>240651.02</v>
      </c>
      <c r="AR688" s="53">
        <v>238913.61</v>
      </c>
      <c r="AS688" s="53">
        <v>237844.1</v>
      </c>
      <c r="AT688" s="53">
        <v>239279.7</v>
      </c>
      <c r="AU688" s="53">
        <f t="array" ref="AU688">XLOOKUP(C688,'PL TOTAL D0'!A:A,'PL TOTAL D0'!C:C,"")</f>
        <v>242932.6</v>
      </c>
    </row>
    <row r="689" ht="15.75" customHeight="1">
      <c r="A689" s="41" t="s">
        <v>43</v>
      </c>
      <c r="B689" s="42" t="s">
        <v>2312</v>
      </c>
      <c r="C689" s="43" t="s">
        <v>2313</v>
      </c>
      <c r="D689" s="44" t="s">
        <v>18</v>
      </c>
      <c r="E689" s="45" t="s">
        <v>176</v>
      </c>
      <c r="F689" s="44" t="s">
        <v>177</v>
      </c>
      <c r="G689" s="44" t="str">
        <f t="shared" si="1"/>
        <v>#N/A</v>
      </c>
      <c r="H689" s="51" t="s">
        <v>186</v>
      </c>
      <c r="I689" s="46" t="s">
        <v>24</v>
      </c>
      <c r="J689" s="44" t="str">
        <f t="shared" si="11"/>
        <v>Não</v>
      </c>
      <c r="K689" s="47">
        <v>45163.0</v>
      </c>
      <c r="L689" s="82">
        <v>45383.0</v>
      </c>
      <c r="M689" s="45" t="s">
        <v>190</v>
      </c>
      <c r="N689" s="48">
        <v>0.025</v>
      </c>
      <c r="O689" s="44" t="s">
        <v>191</v>
      </c>
      <c r="P689" s="49">
        <v>0.2</v>
      </c>
      <c r="Q689" s="50"/>
      <c r="R689" s="60" t="s">
        <v>2314</v>
      </c>
      <c r="S689" s="45" t="s">
        <v>108</v>
      </c>
      <c r="T689" s="24" t="s">
        <v>2315</v>
      </c>
      <c r="U689" s="9" t="s">
        <v>180</v>
      </c>
      <c r="V689" s="51" t="str">
        <f t="shared" si="8"/>
        <v>Encerrado</v>
      </c>
      <c r="W689" s="45"/>
      <c r="X689" s="52" t="s">
        <v>110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>
        <v>578158.38</v>
      </c>
      <c r="AK689" s="54">
        <v>333331.19</v>
      </c>
      <c r="AL689" s="54">
        <v>317180.27</v>
      </c>
      <c r="AM689" s="54">
        <v>327161.94</v>
      </c>
      <c r="AN689" s="54">
        <v>344757.0</v>
      </c>
      <c r="AO689" s="54">
        <v>315702.29</v>
      </c>
      <c r="AP689" s="53">
        <v>321907.66</v>
      </c>
      <c r="AQ689" s="53">
        <v>0.0</v>
      </c>
      <c r="AR689" s="53">
        <v>0.0</v>
      </c>
      <c r="AS689" s="53">
        <v>0.0</v>
      </c>
      <c r="AT689" s="53">
        <v>0.0</v>
      </c>
      <c r="AU689" s="53" t="str">
        <f t="array" ref="AU689">XLOOKUP(C689,'PL TOTAL D0'!A:A,'PL TOTAL D0'!C:C,"")</f>
        <v/>
      </c>
    </row>
    <row r="690" ht="15.75" customHeight="1">
      <c r="A690" s="41" t="s">
        <v>43</v>
      </c>
      <c r="B690" s="42" t="s">
        <v>2312</v>
      </c>
      <c r="C690" s="43" t="s">
        <v>2316</v>
      </c>
      <c r="D690" s="44" t="s">
        <v>18</v>
      </c>
      <c r="E690" s="45" t="s">
        <v>176</v>
      </c>
      <c r="F690" s="44" t="s">
        <v>177</v>
      </c>
      <c r="G690" s="44" t="str">
        <f t="shared" si="1"/>
        <v>#N/A</v>
      </c>
      <c r="H690" s="51" t="s">
        <v>186</v>
      </c>
      <c r="I690" s="51" t="s">
        <v>24</v>
      </c>
      <c r="J690" s="44" t="str">
        <f t="shared" si="11"/>
        <v>Não</v>
      </c>
      <c r="K690" s="47">
        <v>45163.0</v>
      </c>
      <c r="L690" s="82">
        <v>45383.0</v>
      </c>
      <c r="M690" s="45" t="s">
        <v>55</v>
      </c>
      <c r="N690" s="48">
        <v>0.012</v>
      </c>
      <c r="O690" s="44" t="s">
        <v>24</v>
      </c>
      <c r="P690" s="49">
        <v>0.0</v>
      </c>
      <c r="Q690" s="15"/>
      <c r="R690" s="60" t="s">
        <v>2317</v>
      </c>
      <c r="S690" s="45" t="s">
        <v>108</v>
      </c>
      <c r="T690" s="24" t="s">
        <v>2315</v>
      </c>
      <c r="U690" s="9" t="s">
        <v>180</v>
      </c>
      <c r="V690" s="51" t="str">
        <f t="shared" si="8"/>
        <v>Encerrado</v>
      </c>
      <c r="W690" s="45"/>
      <c r="X690" s="52" t="s">
        <v>110</v>
      </c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>
        <v>342462.76</v>
      </c>
      <c r="AK690" s="54">
        <v>340811.61</v>
      </c>
      <c r="AL690" s="54">
        <v>344200.37</v>
      </c>
      <c r="AM690" s="54">
        <v>303898.86</v>
      </c>
      <c r="AN690" s="54">
        <v>306622.99</v>
      </c>
      <c r="AO690" s="54">
        <v>309060.87</v>
      </c>
      <c r="AP690" s="53">
        <v>4351.46</v>
      </c>
      <c r="AQ690" s="53">
        <v>0.0</v>
      </c>
      <c r="AR690" s="53">
        <v>0.0</v>
      </c>
      <c r="AS690" s="53">
        <v>0.0</v>
      </c>
      <c r="AT690" s="53">
        <v>0.0</v>
      </c>
      <c r="AU690" s="53" t="str">
        <f t="array" ref="AU690">XLOOKUP(C690,'PL TOTAL D0'!A:A,'PL TOTAL D0'!C:C,"")</f>
        <v/>
      </c>
    </row>
    <row r="691" ht="15.75" customHeight="1">
      <c r="A691" s="41" t="s">
        <v>43</v>
      </c>
      <c r="B691" s="66" t="s">
        <v>2312</v>
      </c>
      <c r="C691" s="67" t="s">
        <v>2318</v>
      </c>
      <c r="D691" s="44" t="s">
        <v>18</v>
      </c>
      <c r="E691" s="45" t="s">
        <v>176</v>
      </c>
      <c r="F691" s="44" t="s">
        <v>177</v>
      </c>
      <c r="G691" s="44" t="str">
        <f t="shared" si="1"/>
        <v>#N/A</v>
      </c>
      <c r="H691" s="51" t="s">
        <v>186</v>
      </c>
      <c r="I691" s="51" t="s">
        <v>24</v>
      </c>
      <c r="J691" s="44" t="str">
        <f t="shared" si="11"/>
        <v>Não</v>
      </c>
      <c r="K691" s="47">
        <v>45187.0</v>
      </c>
      <c r="L691" s="82">
        <v>45383.0</v>
      </c>
      <c r="M691" s="45" t="s">
        <v>149</v>
      </c>
      <c r="N691" s="48">
        <v>0.0</v>
      </c>
      <c r="O691" s="44" t="s">
        <v>24</v>
      </c>
      <c r="P691" s="49">
        <v>0.0</v>
      </c>
      <c r="Q691" s="50"/>
      <c r="R691" s="50"/>
      <c r="S691" s="45" t="s">
        <v>108</v>
      </c>
      <c r="T691" s="24" t="s">
        <v>2315</v>
      </c>
      <c r="U691" s="9" t="s">
        <v>180</v>
      </c>
      <c r="V691" s="51" t="str">
        <f t="shared" si="8"/>
        <v>Encerrado</v>
      </c>
      <c r="W691" s="45"/>
      <c r="X691" s="52" t="s">
        <v>110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>
        <v>271055.88</v>
      </c>
      <c r="AL691" s="54">
        <v>268541.05</v>
      </c>
      <c r="AM691" s="54">
        <v>286445.02</v>
      </c>
      <c r="AN691" s="54">
        <v>302609.96</v>
      </c>
      <c r="AO691" s="54">
        <v>295032.11</v>
      </c>
      <c r="AP691" s="53">
        <v>294811.89</v>
      </c>
      <c r="AQ691" s="53">
        <v>0.0</v>
      </c>
      <c r="AR691" s="53">
        <v>0.0</v>
      </c>
      <c r="AS691" s="53">
        <v>0.0</v>
      </c>
      <c r="AT691" s="53">
        <v>0.0</v>
      </c>
      <c r="AU691" s="53" t="str">
        <f t="array" ref="AU691">XLOOKUP(C691,'PL TOTAL D0'!A:A,'PL TOTAL D0'!C:C,"")</f>
        <v/>
      </c>
    </row>
    <row r="692" ht="15.75" customHeight="1">
      <c r="A692" s="41" t="s">
        <v>43</v>
      </c>
      <c r="B692" s="66" t="s">
        <v>2319</v>
      </c>
      <c r="C692" s="67" t="s">
        <v>2320</v>
      </c>
      <c r="D692" s="44" t="s">
        <v>18</v>
      </c>
      <c r="E692" s="45" t="s">
        <v>19</v>
      </c>
      <c r="F692" s="44" t="s">
        <v>213</v>
      </c>
      <c r="G692" s="44" t="str">
        <f t="shared" si="1"/>
        <v>Augusto</v>
      </c>
      <c r="H692" s="51" t="s">
        <v>107</v>
      </c>
      <c r="I692" s="51" t="s">
        <v>24</v>
      </c>
      <c r="J692" s="44" t="str">
        <f t="shared" si="11"/>
        <v>Não</v>
      </c>
      <c r="K692" s="47">
        <v>45189.0</v>
      </c>
      <c r="L692" s="45"/>
      <c r="M692" s="45" t="s">
        <v>55</v>
      </c>
      <c r="N692" s="48">
        <v>0.012</v>
      </c>
      <c r="O692" s="44" t="s">
        <v>24</v>
      </c>
      <c r="P692" s="49">
        <v>0.0</v>
      </c>
      <c r="Q692" s="41"/>
      <c r="R692" s="111" t="s">
        <v>2321</v>
      </c>
      <c r="S692" s="45" t="s">
        <v>108</v>
      </c>
      <c r="T692" s="24" t="s">
        <v>2322</v>
      </c>
      <c r="U692" s="9" t="s">
        <v>19</v>
      </c>
      <c r="V692" s="51" t="str">
        <f t="shared" si="8"/>
        <v>Ativo</v>
      </c>
      <c r="W692" s="45"/>
      <c r="X692" s="52" t="s">
        <v>119</v>
      </c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>
        <v>0.0</v>
      </c>
      <c r="AL692" s="54">
        <v>0.0</v>
      </c>
      <c r="AM692" s="54">
        <v>0.0</v>
      </c>
      <c r="AN692" s="54">
        <v>51961.14</v>
      </c>
      <c r="AO692" s="54">
        <v>203719.11</v>
      </c>
      <c r="AP692" s="53">
        <v>205270.52</v>
      </c>
      <c r="AQ692" s="53">
        <v>207011.53</v>
      </c>
      <c r="AR692" s="53">
        <v>208476.23</v>
      </c>
      <c r="AS692" s="53">
        <v>209902.7</v>
      </c>
      <c r="AT692" s="53">
        <v>211435.5</v>
      </c>
      <c r="AU692" s="53">
        <f t="array" ref="AU692">XLOOKUP(C692,'PL TOTAL D0'!A:A,'PL TOTAL D0'!C:C,"")</f>
        <v>212082.8</v>
      </c>
    </row>
    <row r="693" ht="15.75" customHeight="1">
      <c r="A693" s="41" t="s">
        <v>43</v>
      </c>
      <c r="B693" s="66" t="s">
        <v>2323</v>
      </c>
      <c r="C693" s="67" t="s">
        <v>2324</v>
      </c>
      <c r="D693" s="44" t="s">
        <v>18</v>
      </c>
      <c r="E693" s="45" t="s">
        <v>19</v>
      </c>
      <c r="F693" s="44" t="s">
        <v>213</v>
      </c>
      <c r="G693" s="44" t="str">
        <f t="shared" si="1"/>
        <v>#N/A</v>
      </c>
      <c r="H693" s="51" t="s">
        <v>147</v>
      </c>
      <c r="I693" s="46" t="s">
        <v>161</v>
      </c>
      <c r="J693" s="44" t="str">
        <f t="shared" si="11"/>
        <v>Não</v>
      </c>
      <c r="K693" s="47">
        <v>45266.0</v>
      </c>
      <c r="L693" s="45"/>
      <c r="M693" s="45" t="s">
        <v>55</v>
      </c>
      <c r="N693" s="48">
        <v>0.012</v>
      </c>
      <c r="O693" s="44" t="s">
        <v>24</v>
      </c>
      <c r="P693" s="49">
        <v>0.0</v>
      </c>
      <c r="Q693" s="132"/>
      <c r="R693" s="111"/>
      <c r="S693" s="45" t="s">
        <v>108</v>
      </c>
      <c r="T693" s="24" t="s">
        <v>2325</v>
      </c>
      <c r="U693" s="9" t="s">
        <v>19</v>
      </c>
      <c r="V693" s="51" t="str">
        <f t="shared" si="8"/>
        <v>Ativo</v>
      </c>
      <c r="W693" s="45"/>
      <c r="X693" s="52" t="s">
        <v>119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>
        <v>0.0</v>
      </c>
      <c r="AO693" s="54">
        <v>0.0</v>
      </c>
      <c r="AP693" s="53">
        <v>0.0</v>
      </c>
      <c r="AQ693" s="53">
        <v>0.0</v>
      </c>
      <c r="AR693" s="53">
        <v>0.0</v>
      </c>
      <c r="AS693" s="53">
        <v>0.0</v>
      </c>
      <c r="AT693" s="53">
        <v>0.0</v>
      </c>
      <c r="AU693" s="53" t="str">
        <f t="array" ref="AU693">XLOOKUP(C693,'PL TOTAL D0'!A:A,'PL TOTAL D0'!C:C,"")</f>
        <v/>
      </c>
    </row>
    <row r="694" ht="15.75" customHeight="1">
      <c r="A694" s="41" t="s">
        <v>43</v>
      </c>
      <c r="B694" s="42" t="s">
        <v>2326</v>
      </c>
      <c r="C694" s="43" t="s">
        <v>2327</v>
      </c>
      <c r="D694" s="44" t="s">
        <v>18</v>
      </c>
      <c r="E694" s="45" t="s">
        <v>29</v>
      </c>
      <c r="F694" s="44" t="s">
        <v>78</v>
      </c>
      <c r="G694" s="44" t="str">
        <f t="shared" si="1"/>
        <v>Augusto</v>
      </c>
      <c r="H694" s="46" t="s">
        <v>107</v>
      </c>
      <c r="I694" s="46" t="s">
        <v>24</v>
      </c>
      <c r="J694" s="44" t="str">
        <f t="shared" si="11"/>
        <v>Não</v>
      </c>
      <c r="K694" s="47">
        <v>45036.0</v>
      </c>
      <c r="L694" s="45"/>
      <c r="M694" s="45" t="s">
        <v>55</v>
      </c>
      <c r="N694" s="48">
        <v>0.012</v>
      </c>
      <c r="O694" s="44" t="s">
        <v>24</v>
      </c>
      <c r="P694" s="49">
        <v>0.0</v>
      </c>
      <c r="Q694" s="139"/>
      <c r="R694" s="139"/>
      <c r="S694" s="45" t="s">
        <v>108</v>
      </c>
      <c r="T694" s="24" t="s">
        <v>2328</v>
      </c>
      <c r="U694" s="9" t="s">
        <v>791</v>
      </c>
      <c r="V694" s="51" t="str">
        <f t="shared" si="8"/>
        <v>Ativo</v>
      </c>
      <c r="W694" s="45"/>
      <c r="X694" s="52" t="s">
        <v>119</v>
      </c>
      <c r="Y694" s="54"/>
      <c r="Z694" s="54"/>
      <c r="AA694" s="54"/>
      <c r="AB694" s="54"/>
      <c r="AC694" s="54"/>
      <c r="AD694" s="54"/>
      <c r="AE694" s="54">
        <v>0.0</v>
      </c>
      <c r="AF694" s="54">
        <v>85514.69</v>
      </c>
      <c r="AG694" s="54">
        <v>86409.5</v>
      </c>
      <c r="AH694" s="54">
        <v>87159.14</v>
      </c>
      <c r="AI694" s="54">
        <v>82858.01</v>
      </c>
      <c r="AJ694" s="54">
        <v>62827.66</v>
      </c>
      <c r="AK694" s="54">
        <v>63325.05</v>
      </c>
      <c r="AL694" s="54">
        <v>63743.87</v>
      </c>
      <c r="AM694" s="54">
        <v>64221.09</v>
      </c>
      <c r="AN694" s="54">
        <v>64717.11</v>
      </c>
      <c r="AO694" s="54">
        <v>60179.48</v>
      </c>
      <c r="AP694" s="53">
        <v>72562.69</v>
      </c>
      <c r="AQ694" s="53">
        <v>73158.95</v>
      </c>
      <c r="AR694" s="53">
        <v>68289.39</v>
      </c>
      <c r="AS694" s="53">
        <v>62801.07</v>
      </c>
      <c r="AT694" s="53">
        <v>79304.91</v>
      </c>
      <c r="AU694" s="53">
        <f t="array" ref="AU694">XLOOKUP(C694,'PL TOTAL D0'!A:A,'PL TOTAL D0'!C:C,"")</f>
        <v>79567.18</v>
      </c>
    </row>
    <row r="695" ht="15.75" customHeight="1">
      <c r="A695" s="41" t="s">
        <v>43</v>
      </c>
      <c r="B695" s="42" t="s">
        <v>2329</v>
      </c>
      <c r="C695" s="43" t="s">
        <v>2330</v>
      </c>
      <c r="D695" s="9" t="s">
        <v>18</v>
      </c>
      <c r="E695" s="45" t="s">
        <v>29</v>
      </c>
      <c r="F695" s="9" t="s">
        <v>60</v>
      </c>
      <c r="G695" s="44" t="str">
        <f t="shared" si="1"/>
        <v>Bruno</v>
      </c>
      <c r="H695" s="46" t="s">
        <v>107</v>
      </c>
      <c r="I695" s="46" t="s">
        <v>24</v>
      </c>
      <c r="J695" s="44" t="str">
        <f t="shared" si="11"/>
        <v>Não</v>
      </c>
      <c r="K695" s="47">
        <v>45007.0</v>
      </c>
      <c r="L695" s="45"/>
      <c r="M695" s="45" t="s">
        <v>55</v>
      </c>
      <c r="N695" s="48">
        <v>0.008</v>
      </c>
      <c r="O695" s="44" t="s">
        <v>24</v>
      </c>
      <c r="P695" s="49">
        <v>0.0</v>
      </c>
      <c r="Q695" s="139"/>
      <c r="R695" s="139"/>
      <c r="S695" s="45" t="s">
        <v>108</v>
      </c>
      <c r="T695" s="24" t="s">
        <v>2331</v>
      </c>
      <c r="U695" s="9" t="s">
        <v>29</v>
      </c>
      <c r="V695" s="51" t="str">
        <f t="shared" si="8"/>
        <v>Ativo</v>
      </c>
      <c r="W695" s="45"/>
      <c r="X695" s="52" t="s">
        <v>119</v>
      </c>
      <c r="Y695" s="54"/>
      <c r="Z695" s="54"/>
      <c r="AA695" s="54"/>
      <c r="AB695" s="54"/>
      <c r="AC695" s="54"/>
      <c r="AD695" s="54">
        <v>0.0</v>
      </c>
      <c r="AE695" s="54">
        <v>1114382.73</v>
      </c>
      <c r="AF695" s="54">
        <v>1265154.49</v>
      </c>
      <c r="AG695" s="54">
        <v>1292029.39</v>
      </c>
      <c r="AH695" s="54">
        <v>1318217.79</v>
      </c>
      <c r="AI695" s="54">
        <v>1335930.6</v>
      </c>
      <c r="AJ695" s="54">
        <v>1353480.45</v>
      </c>
      <c r="AK695" s="54">
        <v>1357618.63</v>
      </c>
      <c r="AL695" s="54">
        <v>1363068.73</v>
      </c>
      <c r="AM695" s="54">
        <v>1374316.22</v>
      </c>
      <c r="AN695" s="54">
        <v>1396649.65</v>
      </c>
      <c r="AO695" s="54">
        <v>1404760.32</v>
      </c>
      <c r="AP695" s="53">
        <v>1415066.32</v>
      </c>
      <c r="AQ695" s="53">
        <v>1428887.09</v>
      </c>
      <c r="AR695" s="53">
        <v>1435742.86</v>
      </c>
      <c r="AS695" s="53">
        <v>1457062.0</v>
      </c>
      <c r="AT695" s="53">
        <v>1468738.0</v>
      </c>
      <c r="AU695" s="53">
        <f t="array" ref="AU695">XLOOKUP(C695,'PL TOTAL D0'!A:A,'PL TOTAL D0'!C:C,"")</f>
        <v>1482650</v>
      </c>
    </row>
    <row r="696" ht="15.75" customHeight="1">
      <c r="A696" s="41" t="s">
        <v>43</v>
      </c>
      <c r="B696" s="42" t="s">
        <v>2332</v>
      </c>
      <c r="C696" s="43" t="s">
        <v>2333</v>
      </c>
      <c r="D696" s="44" t="s">
        <v>18</v>
      </c>
      <c r="E696" s="45" t="s">
        <v>29</v>
      </c>
      <c r="F696" s="44" t="s">
        <v>168</v>
      </c>
      <c r="G696" s="44" t="str">
        <f t="shared" si="1"/>
        <v>Augusto</v>
      </c>
      <c r="H696" s="46" t="s">
        <v>107</v>
      </c>
      <c r="I696" s="46" t="s">
        <v>24</v>
      </c>
      <c r="J696" s="44" t="str">
        <f t="shared" si="11"/>
        <v>Não</v>
      </c>
      <c r="K696" s="47">
        <v>44973.0</v>
      </c>
      <c r="L696" s="45"/>
      <c r="M696" s="45" t="s">
        <v>55</v>
      </c>
      <c r="N696" s="48">
        <v>0.012</v>
      </c>
      <c r="O696" s="44" t="s">
        <v>24</v>
      </c>
      <c r="P696" s="49">
        <v>0.0</v>
      </c>
      <c r="Q696" s="139"/>
      <c r="R696" s="139"/>
      <c r="S696" s="45" t="s">
        <v>108</v>
      </c>
      <c r="T696" s="24" t="s">
        <v>2334</v>
      </c>
      <c r="U696" s="9" t="s">
        <v>29</v>
      </c>
      <c r="V696" s="51" t="str">
        <f t="shared" si="8"/>
        <v>Ativo</v>
      </c>
      <c r="W696" s="45"/>
      <c r="X696" s="52" t="s">
        <v>119</v>
      </c>
      <c r="Y696" s="54"/>
      <c r="Z696" s="54"/>
      <c r="AA696" s="54"/>
      <c r="AB696" s="54"/>
      <c r="AC696" s="54">
        <v>300030.53</v>
      </c>
      <c r="AD696" s="54">
        <v>594851.69</v>
      </c>
      <c r="AE696" s="54">
        <v>600854.27</v>
      </c>
      <c r="AF696" s="54">
        <v>605246.45</v>
      </c>
      <c r="AG696" s="54">
        <v>611790.0</v>
      </c>
      <c r="AH696" s="54">
        <v>622860.35</v>
      </c>
      <c r="AI696" s="54">
        <v>628230.14</v>
      </c>
      <c r="AJ696" s="54">
        <v>604525.29</v>
      </c>
      <c r="AK696" s="54">
        <v>609812.97</v>
      </c>
      <c r="AL696" s="54">
        <v>615699.79</v>
      </c>
      <c r="AM696" s="54">
        <v>620481.32</v>
      </c>
      <c r="AN696" s="54">
        <v>500838.24</v>
      </c>
      <c r="AO696" s="54">
        <v>504606.41</v>
      </c>
      <c r="AP696" s="53">
        <v>198582.56</v>
      </c>
      <c r="AQ696" s="53">
        <v>200155.63</v>
      </c>
      <c r="AR696" s="53">
        <v>201749.15</v>
      </c>
      <c r="AS696" s="53">
        <v>137815.0</v>
      </c>
      <c r="AT696" s="53">
        <v>138793.5</v>
      </c>
      <c r="AU696" s="53">
        <f t="array" ref="AU696">XLOOKUP(C696,'PL TOTAL D0'!A:A,'PL TOTAL D0'!C:C,"")</f>
        <v>139271.8</v>
      </c>
    </row>
    <row r="697" ht="15.75" customHeight="1">
      <c r="A697" s="41" t="s">
        <v>43</v>
      </c>
      <c r="B697" s="42" t="s">
        <v>2335</v>
      </c>
      <c r="C697" s="43" t="s">
        <v>2336</v>
      </c>
      <c r="D697" s="44" t="s">
        <v>105</v>
      </c>
      <c r="E697" s="45" t="s">
        <v>29</v>
      </c>
      <c r="F697" s="44" t="s">
        <v>816</v>
      </c>
      <c r="G697" s="44" t="str">
        <f t="shared" si="1"/>
        <v>#N/A</v>
      </c>
      <c r="H697" s="46" t="s">
        <v>186</v>
      </c>
      <c r="I697" s="46" t="s">
        <v>24</v>
      </c>
      <c r="J697" s="44" t="str">
        <f t="shared" si="11"/>
        <v>Não</v>
      </c>
      <c r="K697" s="47">
        <v>45068.0</v>
      </c>
      <c r="L697" s="72">
        <v>45126.0</v>
      </c>
      <c r="M697" s="45" t="s">
        <v>55</v>
      </c>
      <c r="N697" s="48">
        <v>0.012</v>
      </c>
      <c r="O697" s="44" t="s">
        <v>24</v>
      </c>
      <c r="P697" s="49">
        <v>0.0</v>
      </c>
      <c r="Q697" s="74"/>
      <c r="R697" s="50"/>
      <c r="S697" s="45" t="s">
        <v>108</v>
      </c>
      <c r="T697" s="24" t="s">
        <v>2337</v>
      </c>
      <c r="U697" s="9" t="s">
        <v>29</v>
      </c>
      <c r="V697" s="51" t="str">
        <f t="shared" si="8"/>
        <v>Encerrado</v>
      </c>
      <c r="W697" s="45"/>
      <c r="X697" s="52"/>
      <c r="Y697" s="54"/>
      <c r="Z697" s="54"/>
      <c r="AA697" s="54"/>
      <c r="AB697" s="54"/>
      <c r="AC697" s="54"/>
      <c r="AD697" s="54"/>
      <c r="AE697" s="54"/>
      <c r="AF697" s="54">
        <v>0.0</v>
      </c>
      <c r="AG697" s="54">
        <v>2455150.22</v>
      </c>
      <c r="AH697" s="54">
        <v>2474330.36</v>
      </c>
      <c r="AI697" s="54">
        <v>0.0</v>
      </c>
      <c r="AJ697" s="54">
        <v>0.0</v>
      </c>
      <c r="AK697" s="54">
        <v>0.0</v>
      </c>
      <c r="AL697" s="54">
        <v>0.0</v>
      </c>
      <c r="AM697" s="54">
        <v>0.0</v>
      </c>
      <c r="AN697" s="54">
        <v>0.0</v>
      </c>
      <c r="AO697" s="54">
        <v>0.0</v>
      </c>
      <c r="AP697" s="53">
        <v>0.0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43</v>
      </c>
      <c r="B698" s="55" t="s">
        <v>2338</v>
      </c>
      <c r="C698" s="158" t="s">
        <v>2339</v>
      </c>
      <c r="D698" s="9" t="s">
        <v>52</v>
      </c>
      <c r="E698" s="24" t="s">
        <v>19</v>
      </c>
      <c r="F698" s="9" t="s">
        <v>53</v>
      </c>
      <c r="G698" s="44" t="str">
        <f t="shared" si="1"/>
        <v>Breno</v>
      </c>
      <c r="H698" s="51" t="s">
        <v>107</v>
      </c>
      <c r="I698" s="51" t="s">
        <v>24</v>
      </c>
      <c r="J698" s="44" t="str">
        <f t="shared" si="11"/>
        <v>Não</v>
      </c>
      <c r="K698" s="57">
        <v>45463.0</v>
      </c>
      <c r="L698" s="72"/>
      <c r="M698" s="24" t="s">
        <v>55</v>
      </c>
      <c r="N698" s="58">
        <v>0.012</v>
      </c>
      <c r="O698" s="9" t="s">
        <v>24</v>
      </c>
      <c r="P698" s="59">
        <v>0.0</v>
      </c>
      <c r="Q698" s="74"/>
      <c r="R698" s="50"/>
      <c r="S698" s="24" t="s">
        <v>108</v>
      </c>
      <c r="T698" s="24" t="s">
        <v>2340</v>
      </c>
      <c r="U698" s="9" t="s">
        <v>19</v>
      </c>
      <c r="V698" s="51" t="str">
        <f t="shared" si="8"/>
        <v>Ativo</v>
      </c>
      <c r="W698" s="24" t="s">
        <v>67</v>
      </c>
      <c r="X698" s="52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3"/>
      <c r="AQ698" s="53"/>
      <c r="AR698" s="53"/>
      <c r="AS698" s="53"/>
      <c r="AT698" s="53">
        <v>422558.4</v>
      </c>
      <c r="AU698" s="53">
        <f t="array" ref="AU698">XLOOKUP(C698,'PL TOTAL D0'!A:A,'PL TOTAL D0'!C:C,"")</f>
        <v>417276</v>
      </c>
    </row>
    <row r="699" ht="15.75" customHeight="1">
      <c r="A699" s="6" t="s">
        <v>43</v>
      </c>
      <c r="B699" s="64" t="s">
        <v>2341</v>
      </c>
      <c r="C699" s="65" t="s">
        <v>2342</v>
      </c>
      <c r="D699" s="9" t="s">
        <v>18</v>
      </c>
      <c r="E699" s="24" t="s">
        <v>29</v>
      </c>
      <c r="F699" s="9" t="s">
        <v>632</v>
      </c>
      <c r="G699" s="44" t="str">
        <f t="shared" si="1"/>
        <v>Augusto</v>
      </c>
      <c r="H699" s="51" t="s">
        <v>107</v>
      </c>
      <c r="I699" s="51" t="s">
        <v>24</v>
      </c>
      <c r="J699" s="44" t="str">
        <f t="shared" si="11"/>
        <v>Não</v>
      </c>
      <c r="K699" s="57">
        <v>45386.0</v>
      </c>
      <c r="L699" s="72"/>
      <c r="M699" s="24" t="s">
        <v>55</v>
      </c>
      <c r="N699" s="58">
        <v>0.012</v>
      </c>
      <c r="O699" s="9" t="s">
        <v>24</v>
      </c>
      <c r="P699" s="59">
        <v>0.0</v>
      </c>
      <c r="Q699" s="74"/>
      <c r="R699" s="50"/>
      <c r="S699" s="24" t="s">
        <v>108</v>
      </c>
      <c r="T699" s="24" t="s">
        <v>2343</v>
      </c>
      <c r="U699" s="9" t="s">
        <v>29</v>
      </c>
      <c r="V699" s="51" t="str">
        <f t="shared" si="8"/>
        <v>Ativo</v>
      </c>
      <c r="W699" s="45"/>
      <c r="X699" s="52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3"/>
      <c r="AQ699" s="53"/>
      <c r="AR699" s="53">
        <v>64232.48</v>
      </c>
      <c r="AS699" s="53">
        <v>96419.98</v>
      </c>
      <c r="AT699" s="53">
        <v>117083.7</v>
      </c>
      <c r="AU699" s="53">
        <f t="array" ref="AU699">XLOOKUP(C699,'PL TOTAL D0'!A:A,'PL TOTAL D0'!C:C,"")</f>
        <v>117490</v>
      </c>
    </row>
    <row r="700" ht="15.75" customHeight="1">
      <c r="A700" s="41" t="s">
        <v>43</v>
      </c>
      <c r="B700" s="42" t="s">
        <v>2344</v>
      </c>
      <c r="C700" s="43" t="s">
        <v>2345</v>
      </c>
      <c r="D700" s="44" t="s">
        <v>18</v>
      </c>
      <c r="E700" s="45" t="s">
        <v>176</v>
      </c>
      <c r="F700" s="44" t="s">
        <v>532</v>
      </c>
      <c r="G700" s="44" t="str">
        <f t="shared" si="1"/>
        <v>Augusto</v>
      </c>
      <c r="H700" s="46" t="s">
        <v>107</v>
      </c>
      <c r="I700" s="46" t="s">
        <v>24</v>
      </c>
      <c r="J700" s="44" t="str">
        <f t="shared" si="11"/>
        <v>Não</v>
      </c>
      <c r="K700" s="47">
        <v>45126.0</v>
      </c>
      <c r="L700" s="62"/>
      <c r="M700" s="45" t="s">
        <v>55</v>
      </c>
      <c r="N700" s="48">
        <v>0.007</v>
      </c>
      <c r="O700" s="44" t="s">
        <v>24</v>
      </c>
      <c r="P700" s="49">
        <v>0.0</v>
      </c>
      <c r="Q700" s="139"/>
      <c r="R700" s="139"/>
      <c r="S700" s="45" t="s">
        <v>108</v>
      </c>
      <c r="T700" s="24" t="s">
        <v>2346</v>
      </c>
      <c r="U700" s="9" t="s">
        <v>180</v>
      </c>
      <c r="V700" s="51" t="str">
        <f t="shared" si="8"/>
        <v>Ativo</v>
      </c>
      <c r="W700" s="45"/>
      <c r="X700" s="52" t="s">
        <v>110</v>
      </c>
      <c r="Y700" s="54"/>
      <c r="Z700" s="54"/>
      <c r="AA700" s="54"/>
      <c r="AB700" s="54"/>
      <c r="AC700" s="54"/>
      <c r="AD700" s="54"/>
      <c r="AE700" s="54"/>
      <c r="AF700" s="54">
        <v>0.0</v>
      </c>
      <c r="AG700" s="54">
        <v>0.0</v>
      </c>
      <c r="AH700" s="54">
        <v>0.0</v>
      </c>
      <c r="AI700" s="54">
        <v>86267.59</v>
      </c>
      <c r="AJ700" s="54">
        <v>87219.24</v>
      </c>
      <c r="AK700" s="54">
        <v>88005.57</v>
      </c>
      <c r="AL700" s="54">
        <v>88869.13</v>
      </c>
      <c r="AM700" s="54">
        <v>87191.79</v>
      </c>
      <c r="AN700" s="54">
        <v>87854.91</v>
      </c>
      <c r="AO700" s="54">
        <v>88648.81</v>
      </c>
      <c r="AP700" s="53">
        <v>89326.77</v>
      </c>
      <c r="AQ700" s="53">
        <v>89547.54</v>
      </c>
      <c r="AR700" s="53">
        <v>90219.4</v>
      </c>
      <c r="AS700" s="53">
        <v>90937.61</v>
      </c>
      <c r="AT700" s="53">
        <v>91683.75</v>
      </c>
      <c r="AU700" s="53">
        <f t="array" ref="AU700">XLOOKUP(C700,'PL TOTAL D0'!A:A,'PL TOTAL D0'!C:C,"")</f>
        <v>92010.37</v>
      </c>
    </row>
    <row r="701" ht="15.75" customHeight="1">
      <c r="A701" s="41" t="s">
        <v>43</v>
      </c>
      <c r="B701" s="42" t="s">
        <v>2347</v>
      </c>
      <c r="C701" s="43" t="s">
        <v>2348</v>
      </c>
      <c r="D701" s="44" t="s">
        <v>18</v>
      </c>
      <c r="E701" s="45" t="s">
        <v>29</v>
      </c>
      <c r="F701" s="44" t="s">
        <v>60</v>
      </c>
      <c r="G701" s="44" t="str">
        <f t="shared" si="1"/>
        <v>Augusto</v>
      </c>
      <c r="H701" s="46" t="s">
        <v>107</v>
      </c>
      <c r="I701" s="46" t="s">
        <v>24</v>
      </c>
      <c r="J701" s="44" t="str">
        <f t="shared" si="11"/>
        <v>Sim</v>
      </c>
      <c r="K701" s="47">
        <v>44956.0</v>
      </c>
      <c r="L701" s="45"/>
      <c r="M701" s="45" t="s">
        <v>55</v>
      </c>
      <c r="N701" s="48">
        <v>0.01</v>
      </c>
      <c r="O701" s="44" t="s">
        <v>24</v>
      </c>
      <c r="P701" s="49">
        <v>0.0</v>
      </c>
      <c r="Q701" s="60" t="s">
        <v>2349</v>
      </c>
      <c r="R701" s="139"/>
      <c r="S701" s="45" t="s">
        <v>108</v>
      </c>
      <c r="T701" s="24" t="s">
        <v>2350</v>
      </c>
      <c r="U701" s="9" t="s">
        <v>29</v>
      </c>
      <c r="V701" s="51" t="str">
        <f t="shared" si="8"/>
        <v>Ativo</v>
      </c>
      <c r="W701" s="45"/>
      <c r="X701" s="52" t="s">
        <v>110</v>
      </c>
      <c r="Y701" s="54"/>
      <c r="Z701" s="54"/>
      <c r="AA701" s="54"/>
      <c r="AB701" s="54"/>
      <c r="AC701" s="54">
        <v>13533.31</v>
      </c>
      <c r="AD701" s="54">
        <v>176868.64</v>
      </c>
      <c r="AE701" s="54">
        <v>178713.53</v>
      </c>
      <c r="AF701" s="54">
        <v>179798.22</v>
      </c>
      <c r="AG701" s="54">
        <v>181860.56</v>
      </c>
      <c r="AH701" s="54">
        <v>183302.19</v>
      </c>
      <c r="AI701" s="54">
        <v>184796.44</v>
      </c>
      <c r="AJ701" s="54">
        <v>186334.77</v>
      </c>
      <c r="AK701" s="54">
        <v>187400.52</v>
      </c>
      <c r="AL701" s="54">
        <v>189010.76</v>
      </c>
      <c r="AM701" s="54">
        <v>190356.42</v>
      </c>
      <c r="AN701" s="54">
        <v>191855.37</v>
      </c>
      <c r="AO701" s="54">
        <v>191282.94</v>
      </c>
      <c r="AP701" s="53">
        <v>192558.17</v>
      </c>
      <c r="AQ701" s="53">
        <v>193588.35</v>
      </c>
      <c r="AR701" s="53">
        <v>301647.38</v>
      </c>
      <c r="AS701" s="53">
        <v>303817.7</v>
      </c>
      <c r="AT701" s="53">
        <v>285855.8</v>
      </c>
      <c r="AU701" s="53">
        <f t="array" ref="AU701">XLOOKUP(C701,'PL TOTAL D0'!A:A,'PL TOTAL D0'!C:C,"")</f>
        <v>281680.2</v>
      </c>
    </row>
    <row r="702" ht="15.75" customHeight="1">
      <c r="A702" s="41" t="s">
        <v>43</v>
      </c>
      <c r="B702" s="6" t="s">
        <v>2351</v>
      </c>
      <c r="C702" s="21" t="s">
        <v>2352</v>
      </c>
      <c r="D702" s="9" t="s">
        <v>18</v>
      </c>
      <c r="E702" s="24" t="s">
        <v>29</v>
      </c>
      <c r="F702" s="44" t="s">
        <v>60</v>
      </c>
      <c r="G702" s="44" t="str">
        <f t="shared" si="1"/>
        <v>Augusto</v>
      </c>
      <c r="H702" s="51" t="s">
        <v>107</v>
      </c>
      <c r="I702" s="51" t="s">
        <v>24</v>
      </c>
      <c r="J702" s="44" t="str">
        <f t="shared" si="11"/>
        <v>Não</v>
      </c>
      <c r="K702" s="57">
        <v>45371.0</v>
      </c>
      <c r="L702" s="62"/>
      <c r="M702" s="24" t="s">
        <v>55</v>
      </c>
      <c r="N702" s="58">
        <v>0.012</v>
      </c>
      <c r="O702" s="9" t="s">
        <v>24</v>
      </c>
      <c r="P702" s="59">
        <v>0.0</v>
      </c>
      <c r="Q702" s="139"/>
      <c r="R702" s="139"/>
      <c r="S702" s="24" t="s">
        <v>108</v>
      </c>
      <c r="T702" s="23" t="s">
        <v>2353</v>
      </c>
      <c r="U702" s="9" t="s">
        <v>29</v>
      </c>
      <c r="V702" s="51" t="str">
        <f t="shared" si="8"/>
        <v>Ativo</v>
      </c>
      <c r="W702" s="45"/>
      <c r="X702" s="52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3"/>
      <c r="AQ702" s="53">
        <v>0.0</v>
      </c>
      <c r="AR702" s="53">
        <v>0.0</v>
      </c>
      <c r="AS702" s="53">
        <v>29905.52</v>
      </c>
      <c r="AT702" s="53">
        <v>34100.73</v>
      </c>
      <c r="AU702" s="53">
        <f t="array" ref="AU702">XLOOKUP(C702,'PL TOTAL D0'!A:A,'PL TOTAL D0'!C:C,"")</f>
        <v>92498.68</v>
      </c>
    </row>
    <row r="703" ht="15.75" customHeight="1">
      <c r="A703" s="41" t="s">
        <v>43</v>
      </c>
      <c r="B703" s="235" t="s">
        <v>2354</v>
      </c>
      <c r="C703" s="43" t="s">
        <v>2355</v>
      </c>
      <c r="D703" s="44" t="s">
        <v>18</v>
      </c>
      <c r="E703" s="45" t="s">
        <v>29</v>
      </c>
      <c r="F703" s="44" t="s">
        <v>60</v>
      </c>
      <c r="G703" s="44" t="str">
        <f t="shared" si="1"/>
        <v>Augusto</v>
      </c>
      <c r="H703" s="46" t="s">
        <v>107</v>
      </c>
      <c r="I703" s="46" t="s">
        <v>24</v>
      </c>
      <c r="J703" s="44" t="str">
        <f t="shared" si="11"/>
        <v>Não</v>
      </c>
      <c r="K703" s="47">
        <v>45058.0</v>
      </c>
      <c r="L703" s="45"/>
      <c r="M703" s="45" t="s">
        <v>55</v>
      </c>
      <c r="N703" s="48">
        <v>0.012</v>
      </c>
      <c r="O703" s="44" t="s">
        <v>24</v>
      </c>
      <c r="P703" s="49">
        <v>0.0</v>
      </c>
      <c r="Q703" s="139"/>
      <c r="R703" s="139"/>
      <c r="S703" s="45" t="s">
        <v>108</v>
      </c>
      <c r="T703" s="24" t="s">
        <v>2356</v>
      </c>
      <c r="U703" s="9" t="s">
        <v>29</v>
      </c>
      <c r="V703" s="51" t="str">
        <f t="shared" si="8"/>
        <v>Ativo</v>
      </c>
      <c r="W703" s="45"/>
      <c r="X703" s="52" t="s">
        <v>119</v>
      </c>
      <c r="Y703" s="54"/>
      <c r="Z703" s="54"/>
      <c r="AA703" s="54"/>
      <c r="AB703" s="54"/>
      <c r="AC703" s="54"/>
      <c r="AD703" s="54"/>
      <c r="AE703" s="54"/>
      <c r="AF703" s="54">
        <v>0.0</v>
      </c>
      <c r="AG703" s="54">
        <v>6409.45</v>
      </c>
      <c r="AH703" s="54">
        <v>6480.83</v>
      </c>
      <c r="AI703" s="54">
        <v>6541.24</v>
      </c>
      <c r="AJ703" s="54">
        <v>6607.98</v>
      </c>
      <c r="AK703" s="54">
        <v>6628.61</v>
      </c>
      <c r="AL703" s="54">
        <v>6665.81</v>
      </c>
      <c r="AM703" s="54">
        <v>6712.71</v>
      </c>
      <c r="AN703" s="54">
        <v>6764.48</v>
      </c>
      <c r="AO703" s="54">
        <v>6759.52</v>
      </c>
      <c r="AP703" s="53">
        <v>6808.05</v>
      </c>
      <c r="AQ703" s="53">
        <v>6859.37</v>
      </c>
      <c r="AR703" s="53">
        <v>6911.44</v>
      </c>
      <c r="AS703" s="53">
        <v>6940.4</v>
      </c>
      <c r="AT703" s="53">
        <v>6988.19</v>
      </c>
      <c r="AU703" s="53">
        <f t="array" ref="AU703">XLOOKUP(C703,'PL TOTAL D0'!A:A,'PL TOTAL D0'!C:C,"")</f>
        <v>7008.93</v>
      </c>
    </row>
    <row r="704" ht="15.75" customHeight="1">
      <c r="A704" s="41" t="s">
        <v>43</v>
      </c>
      <c r="B704" s="64" t="s">
        <v>2357</v>
      </c>
      <c r="C704" s="65" t="s">
        <v>2358</v>
      </c>
      <c r="D704" s="9" t="s">
        <v>18</v>
      </c>
      <c r="E704" s="24" t="s">
        <v>29</v>
      </c>
      <c r="F704" s="9" t="s">
        <v>632</v>
      </c>
      <c r="G704" s="44" t="str">
        <f t="shared" si="1"/>
        <v>Breno</v>
      </c>
      <c r="H704" s="51" t="s">
        <v>107</v>
      </c>
      <c r="I704" s="51" t="s">
        <v>24</v>
      </c>
      <c r="J704" s="44" t="str">
        <f t="shared" si="11"/>
        <v>Não</v>
      </c>
      <c r="K704" s="57">
        <v>45401.0</v>
      </c>
      <c r="L704" s="45"/>
      <c r="M704" s="24" t="s">
        <v>55</v>
      </c>
      <c r="N704" s="58">
        <v>0.012</v>
      </c>
      <c r="O704" s="9" t="s">
        <v>24</v>
      </c>
      <c r="P704" s="59">
        <v>0.0</v>
      </c>
      <c r="Q704" s="139"/>
      <c r="R704" s="139"/>
      <c r="S704" s="24" t="s">
        <v>108</v>
      </c>
      <c r="T704" s="23" t="s">
        <v>2359</v>
      </c>
      <c r="U704" s="9" t="s">
        <v>29</v>
      </c>
      <c r="V704" s="51" t="str">
        <f t="shared" si="8"/>
        <v>Ativo</v>
      </c>
      <c r="W704" s="24" t="s">
        <v>75</v>
      </c>
      <c r="X704" s="52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3"/>
      <c r="AQ704" s="53"/>
      <c r="AR704" s="53">
        <v>397692.95</v>
      </c>
      <c r="AS704" s="53">
        <v>441131.7</v>
      </c>
      <c r="AT704" s="53">
        <v>455070.1</v>
      </c>
      <c r="AU704" s="53">
        <f t="array" ref="AU704">XLOOKUP(C704,'PL TOTAL D0'!A:A,'PL TOTAL D0'!C:C,"")</f>
        <v>456658.1</v>
      </c>
    </row>
    <row r="705" ht="15.75" customHeight="1">
      <c r="A705" s="41" t="s">
        <v>43</v>
      </c>
      <c r="B705" s="42" t="s">
        <v>2360</v>
      </c>
      <c r="C705" s="43" t="s">
        <v>2361</v>
      </c>
      <c r="D705" s="44" t="s">
        <v>105</v>
      </c>
      <c r="E705" s="45" t="s">
        <v>29</v>
      </c>
      <c r="F705" s="44" t="s">
        <v>209</v>
      </c>
      <c r="G705" s="44" t="str">
        <f t="shared" si="1"/>
        <v>#N/A</v>
      </c>
      <c r="H705" s="46" t="s">
        <v>186</v>
      </c>
      <c r="I705" s="46" t="s">
        <v>24</v>
      </c>
      <c r="J705" s="44" t="str">
        <f t="shared" si="11"/>
        <v>Não</v>
      </c>
      <c r="K705" s="47">
        <v>44959.0</v>
      </c>
      <c r="L705" s="72">
        <v>45021.0</v>
      </c>
      <c r="M705" s="45" t="s">
        <v>55</v>
      </c>
      <c r="N705" s="48">
        <v>0.012</v>
      </c>
      <c r="O705" s="44" t="s">
        <v>24</v>
      </c>
      <c r="P705" s="49">
        <v>0.0</v>
      </c>
      <c r="Q705" s="74"/>
      <c r="R705" s="50"/>
      <c r="S705" s="45" t="s">
        <v>108</v>
      </c>
      <c r="T705" s="24" t="s">
        <v>2362</v>
      </c>
      <c r="U705" s="9" t="s">
        <v>29</v>
      </c>
      <c r="V705" s="51" t="str">
        <f t="shared" si="8"/>
        <v>Encerrado</v>
      </c>
      <c r="W705" s="45"/>
      <c r="X705" s="52"/>
      <c r="Y705" s="54"/>
      <c r="Z705" s="54"/>
      <c r="AA705" s="54"/>
      <c r="AB705" s="54"/>
      <c r="AC705" s="54">
        <v>50156.35</v>
      </c>
      <c r="AD705" s="54">
        <v>90779.2</v>
      </c>
      <c r="AE705" s="54">
        <v>91750.46</v>
      </c>
      <c r="AF705" s="54">
        <v>0.0</v>
      </c>
      <c r="AG705" s="54">
        <v>0.0</v>
      </c>
      <c r="AH705" s="54">
        <v>0.0</v>
      </c>
      <c r="AI705" s="54">
        <v>0.0</v>
      </c>
      <c r="AJ705" s="54">
        <v>0.0</v>
      </c>
      <c r="AK705" s="54">
        <v>0.0</v>
      </c>
      <c r="AL705" s="54">
        <v>0.0</v>
      </c>
      <c r="AM705" s="54">
        <v>0.0</v>
      </c>
      <c r="AN705" s="54">
        <v>0.0</v>
      </c>
      <c r="AO705" s="54">
        <v>0.0</v>
      </c>
      <c r="AP705" s="53">
        <v>0.0</v>
      </c>
      <c r="AQ705" s="53">
        <v>0.0</v>
      </c>
      <c r="AR705" s="53">
        <v>0.0</v>
      </c>
      <c r="AS705" s="53">
        <v>0.0</v>
      </c>
      <c r="AT705" s="53">
        <v>0.0</v>
      </c>
      <c r="AU705" s="53" t="str">
        <f t="array" ref="AU705">XLOOKUP(C705,'PL TOTAL D0'!A:A,'PL TOTAL D0'!C:C,"")</f>
        <v/>
      </c>
    </row>
    <row r="706" ht="15.75" customHeight="1">
      <c r="A706" s="41" t="s">
        <v>43</v>
      </c>
      <c r="B706" s="42" t="s">
        <v>2363</v>
      </c>
      <c r="C706" s="43" t="s">
        <v>2364</v>
      </c>
      <c r="D706" s="44" t="s">
        <v>18</v>
      </c>
      <c r="E706" s="45" t="s">
        <v>19</v>
      </c>
      <c r="F706" s="44" t="s">
        <v>122</v>
      </c>
      <c r="G706" s="44" t="str">
        <f t="shared" si="1"/>
        <v>Augusto</v>
      </c>
      <c r="H706" s="46" t="s">
        <v>107</v>
      </c>
      <c r="I706" s="46" t="s">
        <v>24</v>
      </c>
      <c r="J706" s="44" t="str">
        <f t="shared" si="11"/>
        <v>Não</v>
      </c>
      <c r="K706" s="47">
        <v>44895.0</v>
      </c>
      <c r="L706" s="45"/>
      <c r="M706" s="45" t="s">
        <v>55</v>
      </c>
      <c r="N706" s="48">
        <v>0.01</v>
      </c>
      <c r="O706" s="44" t="s">
        <v>24</v>
      </c>
      <c r="P706" s="49">
        <v>0.0</v>
      </c>
      <c r="Q706" s="139"/>
      <c r="R706" s="139"/>
      <c r="S706" s="45" t="s">
        <v>108</v>
      </c>
      <c r="T706" s="24" t="s">
        <v>2365</v>
      </c>
      <c r="U706" s="9" t="s">
        <v>19</v>
      </c>
      <c r="V706" s="51" t="str">
        <f t="shared" si="8"/>
        <v>Ativo</v>
      </c>
      <c r="W706" s="45"/>
      <c r="X706" s="52" t="s">
        <v>119</v>
      </c>
      <c r="Y706" s="54"/>
      <c r="Z706" s="54"/>
      <c r="AA706" s="54"/>
      <c r="AB706" s="54">
        <v>101023.51</v>
      </c>
      <c r="AC706" s="54">
        <v>117061.16</v>
      </c>
      <c r="AD706" s="54">
        <v>118025.41</v>
      </c>
      <c r="AE706" s="54">
        <v>119332.76</v>
      </c>
      <c r="AF706" s="54">
        <v>120271.08</v>
      </c>
      <c r="AG706" s="54">
        <v>121542.65</v>
      </c>
      <c r="AH706" s="54">
        <v>122676.85</v>
      </c>
      <c r="AI706" s="54">
        <v>123793.05</v>
      </c>
      <c r="AJ706" s="54">
        <v>125031.02</v>
      </c>
      <c r="AK706" s="54">
        <v>126098.17</v>
      </c>
      <c r="AL706" s="54">
        <v>127288.0</v>
      </c>
      <c r="AM706" s="54">
        <v>138228.18</v>
      </c>
      <c r="AN706" s="54">
        <v>139092.64</v>
      </c>
      <c r="AO706" s="54">
        <v>149727.91</v>
      </c>
      <c r="AP706" s="53">
        <v>150850.99</v>
      </c>
      <c r="AQ706" s="53">
        <v>152100.88</v>
      </c>
      <c r="AR706" s="53">
        <v>153294.17</v>
      </c>
      <c r="AS706" s="53">
        <v>154447.7</v>
      </c>
      <c r="AT706" s="53">
        <v>124094.0</v>
      </c>
      <c r="AU706" s="53">
        <f t="array" ref="AU706">XLOOKUP(C706,'PL TOTAL D0'!A:A,'PL TOTAL D0'!C:C,"")</f>
        <v>124065.6</v>
      </c>
    </row>
    <row r="707" ht="15.75" customHeight="1">
      <c r="A707" s="41" t="s">
        <v>43</v>
      </c>
      <c r="B707" s="196" t="s">
        <v>2366</v>
      </c>
      <c r="C707" s="197" t="s">
        <v>2367</v>
      </c>
      <c r="D707" s="44" t="s">
        <v>18</v>
      </c>
      <c r="E707" s="45" t="s">
        <v>19</v>
      </c>
      <c r="F707" s="44" t="s">
        <v>122</v>
      </c>
      <c r="G707" s="44" t="str">
        <f t="shared" si="1"/>
        <v>#N/A</v>
      </c>
      <c r="H707" s="46" t="s">
        <v>147</v>
      </c>
      <c r="I707" s="46" t="s">
        <v>161</v>
      </c>
      <c r="J707" s="44" t="str">
        <f t="shared" si="11"/>
        <v>Não</v>
      </c>
      <c r="K707" s="47">
        <v>45163.0</v>
      </c>
      <c r="L707" s="62"/>
      <c r="M707" s="45" t="s">
        <v>55</v>
      </c>
      <c r="N707" s="48">
        <v>0.012</v>
      </c>
      <c r="O707" s="44" t="s">
        <v>24</v>
      </c>
      <c r="P707" s="49">
        <v>0.0</v>
      </c>
      <c r="Q707" s="139"/>
      <c r="R707" s="139"/>
      <c r="S707" s="45" t="s">
        <v>108</v>
      </c>
      <c r="T707" s="24" t="s">
        <v>2368</v>
      </c>
      <c r="U707" s="9" t="s">
        <v>19</v>
      </c>
      <c r="V707" s="51" t="str">
        <f t="shared" si="8"/>
        <v>Ativo</v>
      </c>
      <c r="W707" s="45"/>
      <c r="X707" s="52" t="s">
        <v>119</v>
      </c>
      <c r="Y707" s="54"/>
      <c r="Z707" s="54"/>
      <c r="AA707" s="54"/>
      <c r="AB707" s="54"/>
      <c r="AC707" s="54"/>
      <c r="AD707" s="54"/>
      <c r="AE707" s="54"/>
      <c r="AF707" s="54">
        <v>0.0</v>
      </c>
      <c r="AG707" s="54">
        <v>0.0</v>
      </c>
      <c r="AH707" s="54">
        <v>0.0</v>
      </c>
      <c r="AI707" s="54">
        <v>0.0</v>
      </c>
      <c r="AJ707" s="54">
        <v>0.0</v>
      </c>
      <c r="AK707" s="54">
        <v>0.0</v>
      </c>
      <c r="AL707" s="54">
        <v>0.0</v>
      </c>
      <c r="AM707" s="54">
        <v>0.0</v>
      </c>
      <c r="AN707" s="54">
        <v>0.0</v>
      </c>
      <c r="AO707" s="54">
        <v>0.0</v>
      </c>
      <c r="AP707" s="53">
        <v>0.0</v>
      </c>
      <c r="AQ707" s="53">
        <v>0.0</v>
      </c>
      <c r="AR707" s="53">
        <v>0.0</v>
      </c>
      <c r="AS707" s="53">
        <v>0.0</v>
      </c>
      <c r="AT707" s="53">
        <v>0.0</v>
      </c>
      <c r="AU707" s="53" t="str">
        <f t="array" ref="AU707">XLOOKUP(C707,'PL TOTAL D0'!A:A,'PL TOTAL D0'!C:C,"")</f>
        <v/>
      </c>
    </row>
    <row r="708" ht="15.75" customHeight="1">
      <c r="A708" s="41" t="s">
        <v>43</v>
      </c>
      <c r="B708" s="42" t="s">
        <v>2369</v>
      </c>
      <c r="C708" s="43" t="s">
        <v>2370</v>
      </c>
      <c r="D708" s="44" t="s">
        <v>18</v>
      </c>
      <c r="E708" s="45" t="s">
        <v>29</v>
      </c>
      <c r="F708" s="44" t="s">
        <v>168</v>
      </c>
      <c r="G708" s="44" t="str">
        <f t="shared" si="1"/>
        <v>Augusto</v>
      </c>
      <c r="H708" s="46" t="s">
        <v>107</v>
      </c>
      <c r="I708" s="46" t="s">
        <v>24</v>
      </c>
      <c r="J708" s="44" t="str">
        <f t="shared" si="11"/>
        <v>Não</v>
      </c>
      <c r="K708" s="47">
        <v>44986.0</v>
      </c>
      <c r="L708" s="45"/>
      <c r="M708" s="45" t="s">
        <v>55</v>
      </c>
      <c r="N708" s="48">
        <v>0.012</v>
      </c>
      <c r="O708" s="44" t="s">
        <v>24</v>
      </c>
      <c r="P708" s="49">
        <v>0.0</v>
      </c>
      <c r="Q708" s="139"/>
      <c r="R708" s="139"/>
      <c r="S708" s="45" t="s">
        <v>108</v>
      </c>
      <c r="T708" s="24" t="s">
        <v>2371</v>
      </c>
      <c r="U708" s="9" t="s">
        <v>19</v>
      </c>
      <c r="V708" s="51" t="str">
        <f t="shared" si="8"/>
        <v>Ativo</v>
      </c>
      <c r="W708" s="45"/>
      <c r="X708" s="52" t="s">
        <v>119</v>
      </c>
      <c r="Y708" s="54"/>
      <c r="Z708" s="54"/>
      <c r="AA708" s="54"/>
      <c r="AB708" s="54"/>
      <c r="AC708" s="54"/>
      <c r="AD708" s="54">
        <v>0.0</v>
      </c>
      <c r="AE708" s="54">
        <v>141660.3</v>
      </c>
      <c r="AF708" s="54">
        <v>149651.12</v>
      </c>
      <c r="AG708" s="54">
        <v>151242.98</v>
      </c>
      <c r="AH708" s="54">
        <v>152615.25</v>
      </c>
      <c r="AI708" s="54">
        <v>154003.32</v>
      </c>
      <c r="AJ708" s="54">
        <v>155535.53</v>
      </c>
      <c r="AK708" s="54">
        <v>156942.1</v>
      </c>
      <c r="AL708" s="54">
        <v>158432.58</v>
      </c>
      <c r="AM708" s="54">
        <v>159543.84</v>
      </c>
      <c r="AN708" s="54">
        <v>160836.33</v>
      </c>
      <c r="AO708" s="54">
        <v>162179.09</v>
      </c>
      <c r="AP708" s="53">
        <v>163215.8</v>
      </c>
      <c r="AQ708" s="53">
        <v>164501.49</v>
      </c>
      <c r="AR708" s="53">
        <v>165735.37</v>
      </c>
      <c r="AS708" s="53">
        <v>166825.2</v>
      </c>
      <c r="AT708" s="53">
        <v>167971.9</v>
      </c>
      <c r="AU708" s="53">
        <f t="array" ref="AU708">XLOOKUP(C708,'PL TOTAL D0'!A:A,'PL TOTAL D0'!C:C,"")</f>
        <v>168022.2</v>
      </c>
    </row>
    <row r="709" ht="15.75" customHeight="1">
      <c r="A709" s="41" t="s">
        <v>43</v>
      </c>
      <c r="B709" s="42" t="s">
        <v>106</v>
      </c>
      <c r="C709" s="43" t="s">
        <v>2372</v>
      </c>
      <c r="D709" s="44" t="s">
        <v>105</v>
      </c>
      <c r="E709" s="45" t="s">
        <v>29</v>
      </c>
      <c r="F709" s="44" t="s">
        <v>106</v>
      </c>
      <c r="G709" s="44" t="str">
        <f t="shared" si="1"/>
        <v>#N/A</v>
      </c>
      <c r="H709" s="46" t="s">
        <v>107</v>
      </c>
      <c r="I709" s="46" t="s">
        <v>24</v>
      </c>
      <c r="J709" s="44" t="str">
        <f t="shared" si="11"/>
        <v>Sim</v>
      </c>
      <c r="K709" s="62">
        <v>45140.0</v>
      </c>
      <c r="L709" s="45"/>
      <c r="M709" s="44" t="s">
        <v>149</v>
      </c>
      <c r="N709" s="48">
        <v>0.0</v>
      </c>
      <c r="O709" s="44" t="s">
        <v>24</v>
      </c>
      <c r="P709" s="49">
        <v>0.0</v>
      </c>
      <c r="Q709" s="73" t="s">
        <v>2373</v>
      </c>
      <c r="R709" s="74"/>
      <c r="S709" s="45" t="s">
        <v>108</v>
      </c>
      <c r="T709" s="24" t="s">
        <v>2374</v>
      </c>
      <c r="U709" s="248" t="s">
        <v>29</v>
      </c>
      <c r="V709" s="51" t="str">
        <f t="shared" si="8"/>
        <v>Ativo</v>
      </c>
      <c r="W709" s="45"/>
      <c r="X709" s="52" t="s">
        <v>119</v>
      </c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>
        <v>157315.27</v>
      </c>
      <c r="AK709" s="54">
        <v>151570.12</v>
      </c>
      <c r="AL709" s="54">
        <v>151948.12</v>
      </c>
      <c r="AM709" s="54">
        <v>195432.93</v>
      </c>
      <c r="AN709" s="54">
        <v>198872.24</v>
      </c>
      <c r="AO709" s="54">
        <v>261540.82</v>
      </c>
      <c r="AP709" s="53">
        <v>264194.52</v>
      </c>
      <c r="AQ709" s="53">
        <v>267336.43</v>
      </c>
      <c r="AR709" s="53">
        <v>265366.63</v>
      </c>
      <c r="AS709" s="53">
        <v>264471.1</v>
      </c>
      <c r="AT709" s="53">
        <v>0.0</v>
      </c>
      <c r="AU709" s="53" t="str">
        <f t="array" ref="AU709">XLOOKUP(C709,'PL TOTAL D0'!A:A,'PL TOTAL D0'!C:C,"")</f>
        <v/>
      </c>
    </row>
    <row r="710" ht="15.75" customHeight="1">
      <c r="A710" s="41" t="s">
        <v>43</v>
      </c>
      <c r="B710" s="239" t="s">
        <v>2375</v>
      </c>
      <c r="C710" s="43" t="s">
        <v>2376</v>
      </c>
      <c r="D710" s="44" t="s">
        <v>105</v>
      </c>
      <c r="E710" s="45" t="s">
        <v>29</v>
      </c>
      <c r="F710" s="44" t="s">
        <v>218</v>
      </c>
      <c r="G710" s="44" t="str">
        <f t="shared" si="1"/>
        <v>Augusto</v>
      </c>
      <c r="H710" s="51" t="s">
        <v>147</v>
      </c>
      <c r="I710" s="51" t="s">
        <v>693</v>
      </c>
      <c r="J710" s="44" t="str">
        <f t="shared" si="11"/>
        <v>Não</v>
      </c>
      <c r="K710" s="47">
        <v>45042.0</v>
      </c>
      <c r="L710" s="249"/>
      <c r="M710" s="44" t="s">
        <v>269</v>
      </c>
      <c r="N710" s="48">
        <v>0.02</v>
      </c>
      <c r="O710" s="44" t="s">
        <v>48</v>
      </c>
      <c r="P710" s="49">
        <v>0.2</v>
      </c>
      <c r="Q710" s="50"/>
      <c r="R710" s="50"/>
      <c r="S710" s="45" t="s">
        <v>108</v>
      </c>
      <c r="T710" s="24" t="s">
        <v>2377</v>
      </c>
      <c r="U710" s="9" t="s">
        <v>29</v>
      </c>
      <c r="V710" s="51" t="str">
        <f t="shared" si="8"/>
        <v>Ativo</v>
      </c>
      <c r="W710" s="24" t="s">
        <v>75</v>
      </c>
      <c r="X710" s="52" t="s">
        <v>110</v>
      </c>
      <c r="Y710" s="54"/>
      <c r="Z710" s="54"/>
      <c r="AA710" s="54"/>
      <c r="AB710" s="54"/>
      <c r="AC710" s="54"/>
      <c r="AD710" s="54"/>
      <c r="AE710" s="54">
        <v>0.0</v>
      </c>
      <c r="AF710" s="54">
        <v>616485.77</v>
      </c>
      <c r="AG710" s="54">
        <v>628636.38</v>
      </c>
      <c r="AH710" s="54">
        <v>645478.28</v>
      </c>
      <c r="AI710" s="54">
        <v>661276.45</v>
      </c>
      <c r="AJ710" s="54">
        <v>648264.32</v>
      </c>
      <c r="AK710" s="54">
        <v>648027.67</v>
      </c>
      <c r="AL710" s="54">
        <v>638633.82</v>
      </c>
      <c r="AM710" s="54">
        <v>660375.26</v>
      </c>
      <c r="AN710" s="54">
        <v>679276.41</v>
      </c>
      <c r="AO710" s="54">
        <v>657821.24</v>
      </c>
      <c r="AP710" s="53">
        <v>663047.43</v>
      </c>
      <c r="AQ710" s="53">
        <v>668407.4</v>
      </c>
      <c r="AR710" s="53">
        <v>651517.16</v>
      </c>
      <c r="AS710" s="53">
        <v>643732.4</v>
      </c>
      <c r="AT710" s="53">
        <v>85879.26</v>
      </c>
      <c r="AU710" s="53">
        <f t="array" ref="AU710">XLOOKUP(C710,'PL TOTAL D0'!A:A,'PL TOTAL D0'!C:C,"")</f>
        <v>88611.33</v>
      </c>
    </row>
    <row r="711" ht="15.75" customHeight="1">
      <c r="A711" s="41" t="s">
        <v>43</v>
      </c>
      <c r="B711" s="64" t="s">
        <v>2378</v>
      </c>
      <c r="C711" s="65" t="s">
        <v>2379</v>
      </c>
      <c r="D711" s="9" t="s">
        <v>105</v>
      </c>
      <c r="E711" s="24" t="s">
        <v>29</v>
      </c>
      <c r="F711" s="44" t="s">
        <v>218</v>
      </c>
      <c r="G711" s="44" t="str">
        <f t="shared" si="1"/>
        <v>Bruno</v>
      </c>
      <c r="H711" s="51" t="s">
        <v>147</v>
      </c>
      <c r="I711" s="51" t="s">
        <v>2380</v>
      </c>
      <c r="J711" s="44" t="str">
        <f t="shared" si="11"/>
        <v>Sim</v>
      </c>
      <c r="K711" s="57">
        <v>45419.0</v>
      </c>
      <c r="L711" s="249"/>
      <c r="M711" s="9" t="s">
        <v>79</v>
      </c>
      <c r="N711" s="58">
        <v>0.014</v>
      </c>
      <c r="O711" s="9" t="s">
        <v>48</v>
      </c>
      <c r="P711" s="59">
        <v>0.1</v>
      </c>
      <c r="Q711" s="15" t="s">
        <v>2381</v>
      </c>
      <c r="R711" s="50"/>
      <c r="S711" s="24" t="s">
        <v>108</v>
      </c>
      <c r="T711" s="24" t="s">
        <v>2377</v>
      </c>
      <c r="U711" s="9" t="s">
        <v>29</v>
      </c>
      <c r="V711" s="51" t="str">
        <f t="shared" si="8"/>
        <v>Ativo</v>
      </c>
      <c r="W711" s="24" t="s">
        <v>75</v>
      </c>
      <c r="X711" s="52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3"/>
      <c r="AQ711" s="53"/>
      <c r="AR711" s="53"/>
      <c r="AS711" s="53">
        <v>3741018.0</v>
      </c>
      <c r="AT711" s="53">
        <v>4327111.0</v>
      </c>
      <c r="AU711" s="53">
        <f t="array" ref="AU711">XLOOKUP(C711,'PL TOTAL D0'!A:A,'PL TOTAL D0'!C:C,"")</f>
        <v>4353176</v>
      </c>
    </row>
    <row r="712" ht="15.75" customHeight="1">
      <c r="A712" s="41" t="s">
        <v>43</v>
      </c>
      <c r="B712" s="42" t="s">
        <v>2382</v>
      </c>
      <c r="C712" s="43" t="s">
        <v>2383</v>
      </c>
      <c r="D712" s="44" t="s">
        <v>105</v>
      </c>
      <c r="E712" s="45" t="s">
        <v>29</v>
      </c>
      <c r="F712" s="44" t="s">
        <v>218</v>
      </c>
      <c r="G712" s="44" t="str">
        <f t="shared" si="1"/>
        <v>#N/A</v>
      </c>
      <c r="H712" s="51" t="s">
        <v>186</v>
      </c>
      <c r="I712" s="51" t="s">
        <v>24</v>
      </c>
      <c r="J712" s="44" t="str">
        <f t="shared" si="11"/>
        <v>Não</v>
      </c>
      <c r="K712" s="47">
        <v>44874.0</v>
      </c>
      <c r="L712" s="226">
        <v>45278.0</v>
      </c>
      <c r="M712" s="45" t="s">
        <v>194</v>
      </c>
      <c r="N712" s="48">
        <v>0.008</v>
      </c>
      <c r="O712" s="44" t="s">
        <v>24</v>
      </c>
      <c r="P712" s="49">
        <v>0.0</v>
      </c>
      <c r="Q712" s="74"/>
      <c r="R712" s="60" t="s">
        <v>239</v>
      </c>
      <c r="S712" s="45" t="s">
        <v>108</v>
      </c>
      <c r="T712" s="24" t="s">
        <v>2384</v>
      </c>
      <c r="U712" s="9" t="s">
        <v>29</v>
      </c>
      <c r="V712" s="51" t="str">
        <f t="shared" si="8"/>
        <v>Encerrado</v>
      </c>
      <c r="W712" s="45"/>
      <c r="X712" s="52"/>
      <c r="Y712" s="54"/>
      <c r="Z712" s="54"/>
      <c r="AA712" s="54"/>
      <c r="AB712" s="54">
        <v>673366.33</v>
      </c>
      <c r="AC712" s="54">
        <v>663854.43</v>
      </c>
      <c r="AD712" s="54">
        <v>648209.98</v>
      </c>
      <c r="AE712" s="54">
        <v>639901.8</v>
      </c>
      <c r="AF712" s="54">
        <v>640706.5</v>
      </c>
      <c r="AG712" s="54">
        <v>667808.17</v>
      </c>
      <c r="AH712" s="54">
        <v>0.0</v>
      </c>
      <c r="AI712" s="54">
        <v>0.0</v>
      </c>
      <c r="AJ712" s="54">
        <v>0.0</v>
      </c>
      <c r="AK712" s="54">
        <v>0.0</v>
      </c>
      <c r="AL712" s="54">
        <v>0.0</v>
      </c>
      <c r="AM712" s="54">
        <v>0.0</v>
      </c>
      <c r="AN712" s="54">
        <v>0.0</v>
      </c>
      <c r="AO712" s="54">
        <v>0.0</v>
      </c>
      <c r="AP712" s="53">
        <v>0.0</v>
      </c>
      <c r="AQ712" s="53">
        <v>0.0</v>
      </c>
      <c r="AR712" s="53">
        <v>0.0</v>
      </c>
      <c r="AS712" s="53">
        <v>0.0</v>
      </c>
      <c r="AT712" s="53">
        <v>0.0</v>
      </c>
      <c r="AU712" s="53" t="str">
        <f t="array" ref="AU712">XLOOKUP(C712,'PL TOTAL D0'!A:A,'PL TOTAL D0'!C:C,"")</f>
        <v/>
      </c>
    </row>
    <row r="713" ht="15.75" customHeight="1">
      <c r="A713" s="41" t="s">
        <v>43</v>
      </c>
      <c r="B713" s="239" t="s">
        <v>2385</v>
      </c>
      <c r="C713" s="43" t="s">
        <v>2386</v>
      </c>
      <c r="D713" s="44" t="s">
        <v>18</v>
      </c>
      <c r="E713" s="45" t="s">
        <v>29</v>
      </c>
      <c r="F713" s="44" t="s">
        <v>60</v>
      </c>
      <c r="G713" s="44" t="str">
        <f t="shared" si="1"/>
        <v>Augusto</v>
      </c>
      <c r="H713" s="51" t="s">
        <v>147</v>
      </c>
      <c r="I713" s="51" t="s">
        <v>219</v>
      </c>
      <c r="J713" s="44" t="str">
        <f t="shared" si="11"/>
        <v>Não</v>
      </c>
      <c r="K713" s="47">
        <v>44879.0</v>
      </c>
      <c r="L713" s="249"/>
      <c r="M713" s="44" t="s">
        <v>47</v>
      </c>
      <c r="N713" s="48">
        <v>0.0</v>
      </c>
      <c r="O713" s="44" t="s">
        <v>24</v>
      </c>
      <c r="P713" s="49">
        <v>0.0</v>
      </c>
      <c r="Q713" s="50"/>
      <c r="R713" s="60" t="s">
        <v>2387</v>
      </c>
      <c r="S713" s="45" t="s">
        <v>108</v>
      </c>
      <c r="T713" s="24" t="s">
        <v>2388</v>
      </c>
      <c r="U713" s="9" t="s">
        <v>29</v>
      </c>
      <c r="V713" s="51" t="str">
        <f t="shared" si="8"/>
        <v>Ativo</v>
      </c>
      <c r="W713" s="45"/>
      <c r="X713" s="52" t="s">
        <v>119</v>
      </c>
      <c r="Y713" s="54"/>
      <c r="Z713" s="54"/>
      <c r="AA713" s="54"/>
      <c r="AB713" s="54">
        <v>119680.47</v>
      </c>
      <c r="AC713" s="54">
        <v>102763.73</v>
      </c>
      <c r="AD713" s="54">
        <v>97885.87</v>
      </c>
      <c r="AE713" s="54">
        <v>98175.52</v>
      </c>
      <c r="AF713" s="54">
        <v>102305.34</v>
      </c>
      <c r="AG713" s="54">
        <v>87335.75</v>
      </c>
      <c r="AH713" s="54">
        <v>83184.68</v>
      </c>
      <c r="AI713" s="54">
        <v>85646.08</v>
      </c>
      <c r="AJ713" s="54">
        <v>85868.25</v>
      </c>
      <c r="AK713" s="54">
        <v>8182.97</v>
      </c>
      <c r="AL713" s="54">
        <v>8255.62</v>
      </c>
      <c r="AM713" s="54">
        <v>37.12</v>
      </c>
      <c r="AN713" s="54">
        <v>2750.49</v>
      </c>
      <c r="AO713" s="54">
        <v>18.32</v>
      </c>
      <c r="AP713" s="53">
        <v>3294.62</v>
      </c>
      <c r="AQ713" s="53">
        <v>3322.39</v>
      </c>
      <c r="AR713" s="53">
        <v>18.32</v>
      </c>
      <c r="AS713" s="53">
        <v>1924.52</v>
      </c>
      <c r="AT713" s="53">
        <v>18.37</v>
      </c>
      <c r="AU713" s="53">
        <f t="array" ref="AU713">XLOOKUP(C713,'PL TOTAL D0'!A:A,'PL TOTAL D0'!C:C,"")</f>
        <v>18.37</v>
      </c>
    </row>
    <row r="714" ht="15.75" customHeight="1">
      <c r="A714" s="41" t="s">
        <v>43</v>
      </c>
      <c r="B714" s="66" t="s">
        <v>2389</v>
      </c>
      <c r="C714" s="71" t="s">
        <v>2390</v>
      </c>
      <c r="D714" s="44" t="s">
        <v>105</v>
      </c>
      <c r="E714" s="45" t="s">
        <v>29</v>
      </c>
      <c r="F714" s="44" t="s">
        <v>106</v>
      </c>
      <c r="G714" s="44" t="str">
        <f t="shared" si="1"/>
        <v>Augusto</v>
      </c>
      <c r="H714" s="46" t="s">
        <v>107</v>
      </c>
      <c r="I714" s="46" t="s">
        <v>24</v>
      </c>
      <c r="J714" s="44" t="str">
        <f t="shared" si="11"/>
        <v>Não</v>
      </c>
      <c r="K714" s="47">
        <v>45230.0</v>
      </c>
      <c r="L714" s="249"/>
      <c r="M714" s="44" t="s">
        <v>79</v>
      </c>
      <c r="N714" s="48">
        <v>0.012</v>
      </c>
      <c r="O714" s="44" t="s">
        <v>48</v>
      </c>
      <c r="P714" s="49">
        <v>0.1</v>
      </c>
      <c r="Q714" s="50"/>
      <c r="R714" s="50"/>
      <c r="S714" s="45" t="s">
        <v>108</v>
      </c>
      <c r="T714" s="24" t="s">
        <v>2391</v>
      </c>
      <c r="U714" s="9" t="s">
        <v>29</v>
      </c>
      <c r="V714" s="51" t="str">
        <f t="shared" si="8"/>
        <v>Ativo</v>
      </c>
      <c r="W714" s="45"/>
      <c r="X714" s="52" t="s">
        <v>119</v>
      </c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>
        <v>0.0</v>
      </c>
      <c r="AM714" s="54">
        <v>17527.81</v>
      </c>
      <c r="AN714" s="54">
        <v>67908.85</v>
      </c>
      <c r="AO714" s="54">
        <v>67865.26</v>
      </c>
      <c r="AP714" s="53">
        <v>68473.85</v>
      </c>
      <c r="AQ714" s="53">
        <v>67105.66</v>
      </c>
      <c r="AR714" s="53">
        <v>100413.4</v>
      </c>
      <c r="AS714" s="53">
        <v>67230.76</v>
      </c>
      <c r="AT714" s="53">
        <v>67417.53</v>
      </c>
      <c r="AU714" s="53">
        <f t="array" ref="AU714">XLOOKUP(C714,'PL TOTAL D0'!A:A,'PL TOTAL D0'!C:C,"")</f>
        <v>67856.33</v>
      </c>
    </row>
    <row r="715" ht="15.75" customHeight="1">
      <c r="A715" s="41" t="s">
        <v>43</v>
      </c>
      <c r="B715" s="112" t="s">
        <v>2392</v>
      </c>
      <c r="C715" s="250" t="s">
        <v>2393</v>
      </c>
      <c r="D715" s="44" t="s">
        <v>18</v>
      </c>
      <c r="E715" s="45" t="s">
        <v>29</v>
      </c>
      <c r="F715" s="44" t="s">
        <v>294</v>
      </c>
      <c r="G715" s="44" t="str">
        <f t="shared" si="1"/>
        <v>Breno</v>
      </c>
      <c r="H715" s="46" t="s">
        <v>107</v>
      </c>
      <c r="I715" s="46" t="s">
        <v>24</v>
      </c>
      <c r="J715" s="44" t="str">
        <f t="shared" si="11"/>
        <v>Não</v>
      </c>
      <c r="K715" s="47">
        <v>44973.0</v>
      </c>
      <c r="L715" s="44"/>
      <c r="M715" s="45" t="s">
        <v>190</v>
      </c>
      <c r="N715" s="48">
        <v>0.025</v>
      </c>
      <c r="O715" s="44" t="s">
        <v>191</v>
      </c>
      <c r="P715" s="49">
        <v>0.2</v>
      </c>
      <c r="Q715" s="50"/>
      <c r="R715" s="50"/>
      <c r="S715" s="45" t="s">
        <v>108</v>
      </c>
      <c r="T715" s="56" t="s">
        <v>2394</v>
      </c>
      <c r="U715" s="9" t="s">
        <v>29</v>
      </c>
      <c r="V715" s="51" t="str">
        <f t="shared" si="8"/>
        <v>Ativo</v>
      </c>
      <c r="W715" s="45"/>
      <c r="X715" s="52" t="s">
        <v>119</v>
      </c>
      <c r="Y715" s="54"/>
      <c r="Z715" s="54"/>
      <c r="AA715" s="54"/>
      <c r="AB715" s="54"/>
      <c r="AC715" s="54">
        <v>0.0</v>
      </c>
      <c r="AD715" s="54">
        <v>0.0</v>
      </c>
      <c r="AE715" s="54">
        <v>452250.65</v>
      </c>
      <c r="AF715" s="54">
        <v>448793.99</v>
      </c>
      <c r="AG715" s="54">
        <v>468483.92</v>
      </c>
      <c r="AH715" s="54">
        <v>507653.15</v>
      </c>
      <c r="AI715" s="54">
        <v>534109.97</v>
      </c>
      <c r="AJ715" s="54">
        <v>510876.26</v>
      </c>
      <c r="AK715" s="54">
        <v>509020.56</v>
      </c>
      <c r="AL715" s="54">
        <v>455605.43</v>
      </c>
      <c r="AM715" s="54">
        <v>489699.46</v>
      </c>
      <c r="AN715" s="54">
        <v>513079.42</v>
      </c>
      <c r="AO715" s="54">
        <v>477677.57</v>
      </c>
      <c r="AP715" s="53">
        <v>484364.28</v>
      </c>
      <c r="AQ715" s="53">
        <v>493164.06</v>
      </c>
      <c r="AR715" s="53">
        <v>473624.31</v>
      </c>
      <c r="AS715" s="53">
        <v>458234.4</v>
      </c>
      <c r="AT715" s="53">
        <v>407932.2</v>
      </c>
      <c r="AU715" s="53">
        <f t="array" ref="AU715">XLOOKUP(C715,'PL TOTAL D0'!A:A,'PL TOTAL D0'!C:C,"")</f>
        <v>426095.5</v>
      </c>
    </row>
    <row r="716" ht="15.75" customHeight="1">
      <c r="A716" s="41" t="s">
        <v>43</v>
      </c>
      <c r="B716" s="239" t="s">
        <v>2395</v>
      </c>
      <c r="C716" s="250" t="s">
        <v>2396</v>
      </c>
      <c r="D716" s="44" t="s">
        <v>18</v>
      </c>
      <c r="E716" s="45" t="s">
        <v>19</v>
      </c>
      <c r="F716" s="44" t="s">
        <v>122</v>
      </c>
      <c r="G716" s="44" t="str">
        <f t="shared" si="1"/>
        <v>Augusto</v>
      </c>
      <c r="H716" s="46" t="s">
        <v>107</v>
      </c>
      <c r="I716" s="46" t="s">
        <v>24</v>
      </c>
      <c r="J716" s="44" t="str">
        <f t="shared" si="11"/>
        <v>Sim</v>
      </c>
      <c r="K716" s="47">
        <v>44999.0</v>
      </c>
      <c r="L716" s="44"/>
      <c r="M716" s="45" t="s">
        <v>55</v>
      </c>
      <c r="N716" s="48">
        <v>0.01</v>
      </c>
      <c r="O716" s="44" t="s">
        <v>24</v>
      </c>
      <c r="P716" s="49">
        <v>0.0</v>
      </c>
      <c r="Q716" s="60" t="s">
        <v>2397</v>
      </c>
      <c r="R716" s="50"/>
      <c r="S716" s="45" t="s">
        <v>108</v>
      </c>
      <c r="T716" s="24" t="s">
        <v>2398</v>
      </c>
      <c r="U716" s="9" t="s">
        <v>152</v>
      </c>
      <c r="V716" s="51" t="str">
        <f t="shared" si="8"/>
        <v>Ativo</v>
      </c>
      <c r="W716" s="45"/>
      <c r="X716" s="52" t="s">
        <v>119</v>
      </c>
      <c r="Y716" s="54"/>
      <c r="Z716" s="54"/>
      <c r="AA716" s="54"/>
      <c r="AB716" s="54"/>
      <c r="AC716" s="54">
        <v>0.0</v>
      </c>
      <c r="AD716" s="54">
        <v>0.0</v>
      </c>
      <c r="AE716" s="54">
        <v>62447.48</v>
      </c>
      <c r="AF716" s="54">
        <v>62942.91</v>
      </c>
      <c r="AG716" s="54">
        <v>63991.85</v>
      </c>
      <c r="AH716" s="54">
        <v>64634.52</v>
      </c>
      <c r="AI716" s="54">
        <v>80567.8</v>
      </c>
      <c r="AJ716" s="54">
        <v>105473.89</v>
      </c>
      <c r="AK716" s="54">
        <v>110320.0</v>
      </c>
      <c r="AL716" s="54">
        <v>111815.67</v>
      </c>
      <c r="AM716" s="54">
        <v>77587.7</v>
      </c>
      <c r="AN716" s="54">
        <v>116259.59</v>
      </c>
      <c r="AO716" s="54">
        <v>118070.07</v>
      </c>
      <c r="AP716" s="53">
        <v>107765.73</v>
      </c>
      <c r="AQ716" s="53">
        <v>103594.28</v>
      </c>
      <c r="AR716" s="53">
        <v>59743.94</v>
      </c>
      <c r="AS716" s="53">
        <v>59984.79</v>
      </c>
      <c r="AT716" s="53">
        <v>60083.86</v>
      </c>
      <c r="AU716" s="53">
        <f t="array" ref="AU716">XLOOKUP(C716,'PL TOTAL D0'!A:A,'PL TOTAL D0'!C:C,"")</f>
        <v>60208.77</v>
      </c>
    </row>
    <row r="717" ht="15.75" customHeight="1">
      <c r="A717" s="41" t="s">
        <v>43</v>
      </c>
      <c r="B717" s="239" t="s">
        <v>2399</v>
      </c>
      <c r="C717" s="250" t="s">
        <v>2400</v>
      </c>
      <c r="D717" s="44" t="s">
        <v>105</v>
      </c>
      <c r="E717" s="45" t="s">
        <v>29</v>
      </c>
      <c r="F717" s="44" t="s">
        <v>1629</v>
      </c>
      <c r="G717" s="44" t="str">
        <f t="shared" si="1"/>
        <v>Augusto</v>
      </c>
      <c r="H717" s="46" t="s">
        <v>107</v>
      </c>
      <c r="I717" s="46" t="s">
        <v>24</v>
      </c>
      <c r="J717" s="44" t="str">
        <f t="shared" si="11"/>
        <v>Não</v>
      </c>
      <c r="K717" s="47">
        <v>44973.0</v>
      </c>
      <c r="L717" s="44"/>
      <c r="M717" s="45" t="s">
        <v>194</v>
      </c>
      <c r="N717" s="117">
        <v>0.008</v>
      </c>
      <c r="O717" s="45" t="s">
        <v>195</v>
      </c>
      <c r="P717" s="118">
        <v>0.1</v>
      </c>
      <c r="Q717" s="50"/>
      <c r="R717" s="50"/>
      <c r="S717" s="45" t="s">
        <v>108</v>
      </c>
      <c r="T717" s="24" t="s">
        <v>2401</v>
      </c>
      <c r="U717" s="9" t="s">
        <v>29</v>
      </c>
      <c r="V717" s="51" t="str">
        <f t="shared" si="8"/>
        <v>Ativo</v>
      </c>
      <c r="W717" s="45"/>
      <c r="X717" s="52" t="s">
        <v>110</v>
      </c>
      <c r="Y717" s="54"/>
      <c r="Z717" s="54"/>
      <c r="AA717" s="54"/>
      <c r="AB717" s="54"/>
      <c r="AC717" s="54">
        <v>0.0</v>
      </c>
      <c r="AD717" s="54">
        <v>0.0</v>
      </c>
      <c r="AE717" s="54">
        <v>0.0</v>
      </c>
      <c r="AF717" s="54">
        <v>289978.59</v>
      </c>
      <c r="AG717" s="54">
        <v>306493.43</v>
      </c>
      <c r="AH717" s="54">
        <v>328944.06</v>
      </c>
      <c r="AI717" s="54">
        <v>341722.93</v>
      </c>
      <c r="AJ717" s="54">
        <v>348232.2</v>
      </c>
      <c r="AK717" s="54">
        <v>353899.78</v>
      </c>
      <c r="AL717" s="54">
        <v>350742.28</v>
      </c>
      <c r="AM717" s="54">
        <v>357997.75</v>
      </c>
      <c r="AN717" s="54">
        <v>366779.82</v>
      </c>
      <c r="AO717" s="54">
        <v>366822.72</v>
      </c>
      <c r="AP717" s="53">
        <v>374204.45</v>
      </c>
      <c r="AQ717" s="53">
        <v>377147.44</v>
      </c>
      <c r="AR717" s="53">
        <v>372068.96</v>
      </c>
      <c r="AS717" s="53">
        <v>370458.7</v>
      </c>
      <c r="AT717" s="53">
        <v>367939.9</v>
      </c>
      <c r="AU717" s="53">
        <f t="array" ref="AU717">XLOOKUP(C717,'PL TOTAL D0'!A:A,'PL TOTAL D0'!C:C,"")</f>
        <v>372310.7</v>
      </c>
    </row>
    <row r="718" ht="15.75" customHeight="1">
      <c r="A718" s="41" t="s">
        <v>43</v>
      </c>
      <c r="B718" s="42" t="s">
        <v>2402</v>
      </c>
      <c r="C718" s="43" t="s">
        <v>2403</v>
      </c>
      <c r="D718" s="44" t="s">
        <v>18</v>
      </c>
      <c r="E718" s="45" t="s">
        <v>176</v>
      </c>
      <c r="F718" s="44" t="s">
        <v>177</v>
      </c>
      <c r="G718" s="44" t="str">
        <f t="shared" si="1"/>
        <v>Augusto</v>
      </c>
      <c r="H718" s="46" t="s">
        <v>107</v>
      </c>
      <c r="I718" s="46" t="s">
        <v>24</v>
      </c>
      <c r="J718" s="44" t="str">
        <f t="shared" si="11"/>
        <v>Não</v>
      </c>
      <c r="K718" s="47">
        <v>45096.0</v>
      </c>
      <c r="L718" s="47"/>
      <c r="M718" s="45" t="s">
        <v>55</v>
      </c>
      <c r="N718" s="117">
        <v>0.012</v>
      </c>
      <c r="O718" s="44" t="s">
        <v>24</v>
      </c>
      <c r="P718" s="49">
        <v>0.0</v>
      </c>
      <c r="Q718" s="50"/>
      <c r="R718" s="50"/>
      <c r="S718" s="45" t="s">
        <v>108</v>
      </c>
      <c r="T718" s="24" t="s">
        <v>2404</v>
      </c>
      <c r="U718" s="9" t="s">
        <v>180</v>
      </c>
      <c r="V718" s="51" t="str">
        <f t="shared" si="8"/>
        <v>Ativo</v>
      </c>
      <c r="W718" s="45"/>
      <c r="X718" s="52" t="s">
        <v>119</v>
      </c>
      <c r="Y718" s="54"/>
      <c r="Z718" s="54"/>
      <c r="AA718" s="54"/>
      <c r="AB718" s="54"/>
      <c r="AC718" s="54"/>
      <c r="AD718" s="54"/>
      <c r="AE718" s="54"/>
      <c r="AF718" s="54">
        <v>0.0</v>
      </c>
      <c r="AG718" s="54">
        <v>98581.04</v>
      </c>
      <c r="AH718" s="54">
        <v>111588.77</v>
      </c>
      <c r="AI718" s="54">
        <v>112674.22</v>
      </c>
      <c r="AJ718" s="54">
        <v>113054.22</v>
      </c>
      <c r="AK718" s="54">
        <v>113905.94</v>
      </c>
      <c r="AL718" s="54">
        <v>114841.84</v>
      </c>
      <c r="AM718" s="54">
        <v>115658.22</v>
      </c>
      <c r="AN718" s="54">
        <v>116571.81</v>
      </c>
      <c r="AO718" s="54">
        <v>117482.91</v>
      </c>
      <c r="AP718" s="53">
        <v>116711.03</v>
      </c>
      <c r="AQ718" s="53">
        <v>115044.75</v>
      </c>
      <c r="AR718" s="53">
        <v>114847.27</v>
      </c>
      <c r="AS718" s="53">
        <v>115730.0</v>
      </c>
      <c r="AT718" s="53">
        <v>116620.2</v>
      </c>
      <c r="AU718" s="53">
        <f t="array" ref="AU718">XLOOKUP(C718,'PL TOTAL D0'!A:A,'PL TOTAL D0'!C:C,"")</f>
        <v>116951</v>
      </c>
    </row>
    <row r="719" ht="15.75" customHeight="1">
      <c r="A719" s="41" t="s">
        <v>43</v>
      </c>
      <c r="B719" s="42" t="s">
        <v>2405</v>
      </c>
      <c r="C719" s="43" t="s">
        <v>2406</v>
      </c>
      <c r="D719" s="44" t="s">
        <v>18</v>
      </c>
      <c r="E719" s="45" t="s">
        <v>19</v>
      </c>
      <c r="F719" s="44" t="s">
        <v>20</v>
      </c>
      <c r="G719" s="44" t="str">
        <f t="shared" si="1"/>
        <v>Breno</v>
      </c>
      <c r="H719" s="46" t="s">
        <v>107</v>
      </c>
      <c r="I719" s="46" t="s">
        <v>24</v>
      </c>
      <c r="J719" s="44" t="str">
        <f t="shared" si="11"/>
        <v>Não</v>
      </c>
      <c r="K719" s="47">
        <v>44979.0</v>
      </c>
      <c r="L719" s="45"/>
      <c r="M719" s="45" t="s">
        <v>55</v>
      </c>
      <c r="N719" s="48">
        <v>0.012</v>
      </c>
      <c r="O719" s="44" t="s">
        <v>24</v>
      </c>
      <c r="P719" s="49">
        <v>0.0</v>
      </c>
      <c r="Q719" s="139"/>
      <c r="R719" s="139"/>
      <c r="S719" s="45" t="s">
        <v>108</v>
      </c>
      <c r="T719" s="24" t="s">
        <v>2407</v>
      </c>
      <c r="U719" s="9" t="s">
        <v>19</v>
      </c>
      <c r="V719" s="51" t="str">
        <f t="shared" si="8"/>
        <v>Ativo</v>
      </c>
      <c r="W719" s="45"/>
      <c r="X719" s="52" t="s">
        <v>119</v>
      </c>
      <c r="Y719" s="54"/>
      <c r="Z719" s="54"/>
      <c r="AA719" s="54"/>
      <c r="AB719" s="54"/>
      <c r="AC719" s="54"/>
      <c r="AD719" s="54">
        <v>473873.6</v>
      </c>
      <c r="AE719" s="54">
        <v>481691.48</v>
      </c>
      <c r="AF719" s="54">
        <v>485613.74</v>
      </c>
      <c r="AG719" s="54">
        <v>493663.84</v>
      </c>
      <c r="AH719" s="54">
        <v>500079.13</v>
      </c>
      <c r="AI719" s="54">
        <v>503634.65</v>
      </c>
      <c r="AJ719" s="54">
        <v>506892.03</v>
      </c>
      <c r="AK719" s="54">
        <v>505887.98</v>
      </c>
      <c r="AL719" s="54">
        <v>509208.33</v>
      </c>
      <c r="AM719" s="54">
        <v>511261.68</v>
      </c>
      <c r="AN719" s="54">
        <v>517830.29</v>
      </c>
      <c r="AO719" s="54">
        <v>520086.43</v>
      </c>
      <c r="AP719" s="53">
        <v>523896.73</v>
      </c>
      <c r="AQ719" s="53">
        <v>525434.07</v>
      </c>
      <c r="AR719" s="53">
        <v>521989.28</v>
      </c>
      <c r="AS719" s="53">
        <v>525225.7</v>
      </c>
      <c r="AT719" s="53">
        <v>528962.3</v>
      </c>
      <c r="AU719" s="53">
        <f t="array" ref="AU719">XLOOKUP(C719,'PL TOTAL D0'!A:A,'PL TOTAL D0'!C:C,"")</f>
        <v>531134</v>
      </c>
    </row>
    <row r="720" ht="15.75" customHeight="1">
      <c r="A720" s="41" t="s">
        <v>43</v>
      </c>
      <c r="B720" s="42" t="s">
        <v>2408</v>
      </c>
      <c r="C720" s="43" t="s">
        <v>2409</v>
      </c>
      <c r="D720" s="44" t="s">
        <v>105</v>
      </c>
      <c r="E720" s="45" t="s">
        <v>29</v>
      </c>
      <c r="F720" s="44" t="s">
        <v>412</v>
      </c>
      <c r="G720" s="44" t="str">
        <f t="shared" si="1"/>
        <v>Bruno</v>
      </c>
      <c r="H720" s="46" t="s">
        <v>107</v>
      </c>
      <c r="I720" s="46" t="s">
        <v>24</v>
      </c>
      <c r="J720" s="44" t="str">
        <f t="shared" si="11"/>
        <v>Não</v>
      </c>
      <c r="K720" s="47">
        <v>45168.0</v>
      </c>
      <c r="L720" s="47"/>
      <c r="M720" s="45" t="s">
        <v>278</v>
      </c>
      <c r="N720" s="117">
        <v>0.005</v>
      </c>
      <c r="O720" s="45" t="s">
        <v>24</v>
      </c>
      <c r="P720" s="118">
        <v>0.0</v>
      </c>
      <c r="Q720" s="50"/>
      <c r="R720" s="50"/>
      <c r="S720" s="45" t="s">
        <v>108</v>
      </c>
      <c r="T720" s="24" t="s">
        <v>2410</v>
      </c>
      <c r="U720" s="9" t="s">
        <v>29</v>
      </c>
      <c r="V720" s="51" t="str">
        <f t="shared" si="8"/>
        <v>Ativo</v>
      </c>
      <c r="W720" s="45"/>
      <c r="X720" s="52" t="s">
        <v>119</v>
      </c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>
        <v>1967966.43</v>
      </c>
      <c r="AK720" s="54">
        <v>1988281.0</v>
      </c>
      <c r="AL720" s="54">
        <v>3881924.48</v>
      </c>
      <c r="AM720" s="54">
        <v>3904486.3</v>
      </c>
      <c r="AN720" s="54">
        <v>3938265.36</v>
      </c>
      <c r="AO720" s="54">
        <v>3974332.28</v>
      </c>
      <c r="AP720" s="53">
        <v>4004896.65</v>
      </c>
      <c r="AQ720" s="53">
        <v>4039125.48</v>
      </c>
      <c r="AR720" s="53">
        <v>4073871.85</v>
      </c>
      <c r="AS720" s="53">
        <v>4106159.0</v>
      </c>
      <c r="AT720" s="53">
        <v>4136869.0</v>
      </c>
      <c r="AU720" s="53">
        <f t="array" ref="AU720">XLOOKUP(C720,'PL TOTAL D0'!A:A,'PL TOTAL D0'!C:C,"")</f>
        <v>4151947</v>
      </c>
    </row>
    <row r="721" ht="15.75" customHeight="1">
      <c r="A721" s="41" t="s">
        <v>43</v>
      </c>
      <c r="B721" s="239" t="s">
        <v>2411</v>
      </c>
      <c r="C721" s="250" t="s">
        <v>2412</v>
      </c>
      <c r="D721" s="44" t="s">
        <v>18</v>
      </c>
      <c r="E721" s="45" t="s">
        <v>29</v>
      </c>
      <c r="F721" s="44" t="s">
        <v>60</v>
      </c>
      <c r="G721" s="44" t="str">
        <f t="shared" si="1"/>
        <v>#N/A</v>
      </c>
      <c r="H721" s="46" t="s">
        <v>147</v>
      </c>
      <c r="I721" s="46" t="s">
        <v>219</v>
      </c>
      <c r="J721" s="44" t="str">
        <f t="shared" si="11"/>
        <v>Não</v>
      </c>
      <c r="K721" s="47">
        <v>45163.0</v>
      </c>
      <c r="L721" s="47"/>
      <c r="M721" s="45" t="s">
        <v>389</v>
      </c>
      <c r="N721" s="117">
        <v>0.005</v>
      </c>
      <c r="O721" s="45" t="s">
        <v>24</v>
      </c>
      <c r="P721" s="118">
        <v>0.0</v>
      </c>
      <c r="Q721" s="50"/>
      <c r="R721" s="195" t="s">
        <v>2413</v>
      </c>
      <c r="S721" s="45" t="s">
        <v>369</v>
      </c>
      <c r="T721" s="24" t="s">
        <v>2414</v>
      </c>
      <c r="U721" s="9" t="s">
        <v>29</v>
      </c>
      <c r="V721" s="51" t="str">
        <f t="shared" si="8"/>
        <v>Inativo</v>
      </c>
      <c r="W721" s="45"/>
      <c r="X721" s="52" t="s">
        <v>1269</v>
      </c>
      <c r="Y721" s="54"/>
      <c r="Z721" s="54"/>
      <c r="AA721" s="54"/>
      <c r="AB721" s="54"/>
      <c r="AC721" s="54">
        <v>0.0</v>
      </c>
      <c r="AD721" s="54">
        <v>0.0</v>
      </c>
      <c r="AE721" s="54">
        <v>0.0</v>
      </c>
      <c r="AF721" s="54">
        <v>0.0</v>
      </c>
      <c r="AG721" s="54">
        <v>0.0</v>
      </c>
      <c r="AH721" s="54">
        <v>0.0</v>
      </c>
      <c r="AI721" s="54">
        <v>0.0</v>
      </c>
      <c r="AJ721" s="54">
        <v>0.0</v>
      </c>
      <c r="AK721" s="54">
        <v>0.0</v>
      </c>
      <c r="AL721" s="54">
        <v>0.0</v>
      </c>
      <c r="AM721" s="54">
        <v>0.0</v>
      </c>
      <c r="AN721" s="54">
        <v>0.0</v>
      </c>
      <c r="AO721" s="54">
        <v>0.0</v>
      </c>
      <c r="AP721" s="53">
        <v>0.0</v>
      </c>
      <c r="AQ721" s="53">
        <v>0.0</v>
      </c>
      <c r="AR721" s="53">
        <v>0.0</v>
      </c>
      <c r="AS721" s="53">
        <v>0.0</v>
      </c>
      <c r="AT721" s="53">
        <v>0.0</v>
      </c>
      <c r="AU721" s="53" t="str">
        <f t="array" ref="AU721">XLOOKUP(C721,'PL TOTAL D0'!A:A,'PL TOTAL D0'!C:C,"")</f>
        <v/>
      </c>
    </row>
    <row r="722" ht="15.75" customHeight="1">
      <c r="A722" s="41" t="s">
        <v>43</v>
      </c>
      <c r="B722" s="42" t="s">
        <v>2415</v>
      </c>
      <c r="C722" s="43" t="s">
        <v>2416</v>
      </c>
      <c r="D722" s="44" t="s">
        <v>52</v>
      </c>
      <c r="E722" s="45" t="s">
        <v>19</v>
      </c>
      <c r="F722" s="44" t="s">
        <v>53</v>
      </c>
      <c r="G722" s="44" t="str">
        <f t="shared" si="1"/>
        <v>Breno</v>
      </c>
      <c r="H722" s="46" t="s">
        <v>107</v>
      </c>
      <c r="I722" s="46" t="s">
        <v>24</v>
      </c>
      <c r="J722" s="44" t="str">
        <f t="shared" si="11"/>
        <v>Não</v>
      </c>
      <c r="K722" s="47">
        <v>45252.0</v>
      </c>
      <c r="L722" s="47"/>
      <c r="M722" s="45" t="s">
        <v>55</v>
      </c>
      <c r="N722" s="117">
        <v>0.01</v>
      </c>
      <c r="O722" s="45" t="s">
        <v>24</v>
      </c>
      <c r="P722" s="118">
        <v>0.0</v>
      </c>
      <c r="Q722" s="50"/>
      <c r="R722" s="251"/>
      <c r="S722" s="45" t="s">
        <v>108</v>
      </c>
      <c r="T722" s="24" t="s">
        <v>2417</v>
      </c>
      <c r="U722" s="9" t="s">
        <v>19</v>
      </c>
      <c r="V722" s="51" t="str">
        <f t="shared" si="8"/>
        <v>Ativo</v>
      </c>
      <c r="W722" s="45"/>
      <c r="X722" s="52" t="s">
        <v>119</v>
      </c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>
        <v>480118.49</v>
      </c>
      <c r="AN722" s="54">
        <v>483878.05</v>
      </c>
      <c r="AO722" s="54">
        <v>487891.47</v>
      </c>
      <c r="AP722" s="53">
        <v>491356.64</v>
      </c>
      <c r="AQ722" s="53">
        <v>494699.39</v>
      </c>
      <c r="AR722" s="53">
        <v>497748.6</v>
      </c>
      <c r="AS722" s="53">
        <v>501009.7</v>
      </c>
      <c r="AT722" s="53">
        <v>505061.2</v>
      </c>
      <c r="AU722" s="53">
        <f t="array" ref="AU722">XLOOKUP(C722,'PL TOTAL D0'!A:A,'PL TOTAL D0'!C:C,"")</f>
        <v>506735.5</v>
      </c>
    </row>
    <row r="723" ht="15.75" customHeight="1">
      <c r="A723" s="41" t="s">
        <v>43</v>
      </c>
      <c r="B723" s="239" t="s">
        <v>2418</v>
      </c>
      <c r="C723" s="250" t="s">
        <v>2419</v>
      </c>
      <c r="D723" s="44" t="s">
        <v>18</v>
      </c>
      <c r="E723" s="45" t="s">
        <v>19</v>
      </c>
      <c r="F723" s="44" t="s">
        <v>20</v>
      </c>
      <c r="G723" s="44" t="str">
        <f t="shared" si="1"/>
        <v>Breno</v>
      </c>
      <c r="H723" s="46" t="s">
        <v>107</v>
      </c>
      <c r="I723" s="46" t="s">
        <v>24</v>
      </c>
      <c r="J723" s="44" t="str">
        <f t="shared" si="11"/>
        <v>Sim</v>
      </c>
      <c r="K723" s="47">
        <v>44945.0</v>
      </c>
      <c r="L723" s="44"/>
      <c r="M723" s="45" t="s">
        <v>55</v>
      </c>
      <c r="N723" s="117">
        <v>0.012</v>
      </c>
      <c r="O723" s="44" t="s">
        <v>24</v>
      </c>
      <c r="P723" s="49">
        <v>0.0</v>
      </c>
      <c r="Q723" s="60" t="s">
        <v>2420</v>
      </c>
      <c r="R723" s="50"/>
      <c r="S723" s="45" t="s">
        <v>108</v>
      </c>
      <c r="T723" s="24" t="s">
        <v>2421</v>
      </c>
      <c r="U723" s="9" t="s">
        <v>19</v>
      </c>
      <c r="V723" s="51" t="str">
        <f t="shared" si="8"/>
        <v>Ativo</v>
      </c>
      <c r="W723" s="45"/>
      <c r="X723" s="52" t="s">
        <v>119</v>
      </c>
      <c r="Y723" s="54"/>
      <c r="Z723" s="54"/>
      <c r="AA723" s="54"/>
      <c r="AB723" s="54"/>
      <c r="AC723" s="54">
        <v>788175.45</v>
      </c>
      <c r="AD723" s="54">
        <v>794794.76</v>
      </c>
      <c r="AE723" s="54">
        <v>803301.69</v>
      </c>
      <c r="AF723" s="54">
        <v>808932.47</v>
      </c>
      <c r="AG723" s="54">
        <v>817587.84</v>
      </c>
      <c r="AH723" s="54">
        <v>824932.72</v>
      </c>
      <c r="AI723" s="54">
        <v>831994.21</v>
      </c>
      <c r="AJ723" s="54">
        <v>840143.99</v>
      </c>
      <c r="AK723" s="54">
        <v>846924.5</v>
      </c>
      <c r="AL723" s="54">
        <v>854397.79</v>
      </c>
      <c r="AM723" s="54">
        <v>860467.18</v>
      </c>
      <c r="AN723" s="54">
        <v>866851.66</v>
      </c>
      <c r="AO723" s="54">
        <v>867115.02</v>
      </c>
      <c r="AP723" s="53">
        <v>873789.21</v>
      </c>
      <c r="AQ723" s="53">
        <v>880475.5</v>
      </c>
      <c r="AR723" s="53">
        <v>884553.95</v>
      </c>
      <c r="AS723" s="53">
        <v>890839.1</v>
      </c>
      <c r="AT723" s="53">
        <v>927297.1</v>
      </c>
      <c r="AU723" s="53">
        <f t="array" ref="AU723">XLOOKUP(C723,'PL TOTAL D0'!A:A,'PL TOTAL D0'!C:C,"")</f>
        <v>930095.2</v>
      </c>
    </row>
    <row r="724" ht="15.75" customHeight="1">
      <c r="A724" s="41" t="s">
        <v>43</v>
      </c>
      <c r="B724" s="64" t="s">
        <v>2422</v>
      </c>
      <c r="C724" s="120" t="s">
        <v>2423</v>
      </c>
      <c r="D724" s="9" t="s">
        <v>52</v>
      </c>
      <c r="E724" s="24" t="s">
        <v>19</v>
      </c>
      <c r="F724" s="9" t="s">
        <v>53</v>
      </c>
      <c r="G724" s="44" t="str">
        <f t="shared" si="1"/>
        <v>Augusto</v>
      </c>
      <c r="H724" s="51" t="s">
        <v>123</v>
      </c>
      <c r="I724" s="51" t="s">
        <v>24</v>
      </c>
      <c r="J724" s="44" t="str">
        <f t="shared" si="11"/>
        <v>Não</v>
      </c>
      <c r="K724" s="57">
        <v>45457.0</v>
      </c>
      <c r="L724" s="92"/>
      <c r="M724" s="24" t="s">
        <v>55</v>
      </c>
      <c r="N724" s="214">
        <v>0.012</v>
      </c>
      <c r="O724" s="9" t="s">
        <v>24</v>
      </c>
      <c r="P724" s="59">
        <v>0.0</v>
      </c>
      <c r="Q724" s="60"/>
      <c r="R724" s="50"/>
      <c r="S724" s="24" t="s">
        <v>108</v>
      </c>
      <c r="T724" s="5" t="s">
        <v>2424</v>
      </c>
      <c r="U724" s="9" t="s">
        <v>19</v>
      </c>
      <c r="V724" s="51" t="str">
        <f t="shared" si="8"/>
        <v>Ativo</v>
      </c>
      <c r="W724" s="24" t="s">
        <v>75</v>
      </c>
      <c r="X724" s="52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3"/>
      <c r="AQ724" s="53"/>
      <c r="AR724" s="53"/>
      <c r="AS724" s="53"/>
      <c r="AT724" s="53">
        <v>314913.7</v>
      </c>
      <c r="AU724" s="53">
        <f t="array" ref="AU724">XLOOKUP(C724,'PL TOTAL D0'!A:A,'PL TOTAL D0'!C:C,"")</f>
        <v>323284.9</v>
      </c>
    </row>
    <row r="725" ht="15.75" customHeight="1">
      <c r="A725" s="41" t="s">
        <v>43</v>
      </c>
      <c r="B725" s="64" t="s">
        <v>2422</v>
      </c>
      <c r="C725" s="65" t="s">
        <v>2425</v>
      </c>
      <c r="D725" s="9" t="s">
        <v>52</v>
      </c>
      <c r="E725" s="24" t="s">
        <v>19</v>
      </c>
      <c r="F725" s="9" t="s">
        <v>53</v>
      </c>
      <c r="G725" s="44" t="str">
        <f t="shared" si="1"/>
        <v>#N/A</v>
      </c>
      <c r="H725" s="51" t="s">
        <v>186</v>
      </c>
      <c r="I725" s="51" t="s">
        <v>161</v>
      </c>
      <c r="J725" s="44" t="str">
        <f t="shared" si="11"/>
        <v>Não</v>
      </c>
      <c r="K725" s="57">
        <v>45422.0</v>
      </c>
      <c r="L725" s="92">
        <v>45457.0</v>
      </c>
      <c r="M725" s="24" t="s">
        <v>55</v>
      </c>
      <c r="N725" s="214">
        <v>0.012</v>
      </c>
      <c r="O725" s="9" t="s">
        <v>24</v>
      </c>
      <c r="P725" s="59">
        <v>0.0</v>
      </c>
      <c r="Q725" s="60"/>
      <c r="R725" s="60" t="s">
        <v>2426</v>
      </c>
      <c r="S725" s="24" t="s">
        <v>108</v>
      </c>
      <c r="T725" s="5" t="s">
        <v>2424</v>
      </c>
      <c r="U725" s="9" t="s">
        <v>19</v>
      </c>
      <c r="V725" s="51" t="str">
        <f t="shared" si="8"/>
        <v>Encerrado</v>
      </c>
      <c r="W725" s="24" t="s">
        <v>75</v>
      </c>
      <c r="X725" s="52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3"/>
      <c r="AQ725" s="53"/>
      <c r="AR725" s="53"/>
      <c r="AS725" s="53">
        <v>0.0</v>
      </c>
      <c r="AT725" s="53">
        <v>0.0</v>
      </c>
      <c r="AU725" s="53" t="str">
        <f t="array" ref="AU725">XLOOKUP(C725,'PL TOTAL D0'!A:A,'PL TOTAL D0'!C:C,"")</f>
        <v/>
      </c>
    </row>
    <row r="726" ht="15.75" customHeight="1">
      <c r="A726" s="41" t="s">
        <v>43</v>
      </c>
      <c r="B726" s="42" t="s">
        <v>2427</v>
      </c>
      <c r="C726" s="43" t="s">
        <v>2428</v>
      </c>
      <c r="D726" s="44" t="s">
        <v>18</v>
      </c>
      <c r="E726" s="45" t="s">
        <v>176</v>
      </c>
      <c r="F726" s="44" t="s">
        <v>197</v>
      </c>
      <c r="G726" s="44" t="str">
        <f t="shared" si="1"/>
        <v>#N/A</v>
      </c>
      <c r="H726" s="51" t="s">
        <v>147</v>
      </c>
      <c r="I726" s="51" t="s">
        <v>219</v>
      </c>
      <c r="J726" s="44" t="str">
        <f t="shared" si="11"/>
        <v>Não</v>
      </c>
      <c r="K726" s="47">
        <v>45029.0</v>
      </c>
      <c r="L726" s="44"/>
      <c r="M726" s="45" t="s">
        <v>55</v>
      </c>
      <c r="N726" s="117">
        <v>0.012</v>
      </c>
      <c r="O726" s="44" t="s">
        <v>24</v>
      </c>
      <c r="P726" s="49">
        <v>0.0</v>
      </c>
      <c r="Q726" s="60"/>
      <c r="R726" s="50"/>
      <c r="S726" s="45" t="s">
        <v>108</v>
      </c>
      <c r="T726" s="24" t="s">
        <v>2429</v>
      </c>
      <c r="U726" s="9" t="s">
        <v>180</v>
      </c>
      <c r="V726" s="51" t="str">
        <f t="shared" si="8"/>
        <v>Ativo</v>
      </c>
      <c r="W726" s="45"/>
      <c r="X726" s="52" t="s">
        <v>110</v>
      </c>
      <c r="Y726" s="54"/>
      <c r="Z726" s="54"/>
      <c r="AA726" s="54"/>
      <c r="AB726" s="54"/>
      <c r="AC726" s="54"/>
      <c r="AD726" s="54"/>
      <c r="AE726" s="54">
        <v>0.0</v>
      </c>
      <c r="AF726" s="54">
        <v>134455.91</v>
      </c>
      <c r="AG726" s="54">
        <v>76467.35</v>
      </c>
      <c r="AH726" s="54">
        <v>82627.98</v>
      </c>
      <c r="AI726" s="54">
        <v>83258.8</v>
      </c>
      <c r="AJ726" s="54">
        <v>90781.64</v>
      </c>
      <c r="AK726" s="54">
        <v>91587.3</v>
      </c>
      <c r="AL726" s="54">
        <v>92396.3</v>
      </c>
      <c r="AM726" s="54">
        <v>120183.45</v>
      </c>
      <c r="AN726" s="54">
        <v>121206.67</v>
      </c>
      <c r="AO726" s="54">
        <v>122210.89</v>
      </c>
      <c r="AP726" s="53">
        <v>133178.72</v>
      </c>
      <c r="AQ726" s="53">
        <v>134379.96</v>
      </c>
      <c r="AR726" s="53">
        <v>135558.38</v>
      </c>
      <c r="AS726" s="53">
        <v>1160.0</v>
      </c>
      <c r="AT726" s="53">
        <v>0.0</v>
      </c>
      <c r="AU726" s="53" t="str">
        <f t="array" ref="AU726">XLOOKUP(C726,'PL TOTAL D0'!A:A,'PL TOTAL D0'!C:C,"")</f>
        <v/>
      </c>
    </row>
    <row r="727" ht="15.75" customHeight="1">
      <c r="A727" s="41" t="s">
        <v>43</v>
      </c>
      <c r="B727" s="42" t="s">
        <v>2430</v>
      </c>
      <c r="C727" s="43" t="s">
        <v>2431</v>
      </c>
      <c r="D727" s="44" t="s">
        <v>105</v>
      </c>
      <c r="E727" s="45" t="s">
        <v>29</v>
      </c>
      <c r="F727" s="44" t="s">
        <v>106</v>
      </c>
      <c r="G727" s="44" t="str">
        <f t="shared" si="1"/>
        <v>#N/A</v>
      </c>
      <c r="H727" s="51" t="s">
        <v>186</v>
      </c>
      <c r="I727" s="46" t="s">
        <v>24</v>
      </c>
      <c r="J727" s="44" t="str">
        <f t="shared" si="11"/>
        <v>Não</v>
      </c>
      <c r="K727" s="47">
        <v>45145.0</v>
      </c>
      <c r="L727" s="92">
        <v>45341.0</v>
      </c>
      <c r="M727" s="45" t="s">
        <v>79</v>
      </c>
      <c r="N727" s="117">
        <v>0.012</v>
      </c>
      <c r="O727" s="45" t="s">
        <v>48</v>
      </c>
      <c r="P727" s="118">
        <v>0.1</v>
      </c>
      <c r="Q727" s="50"/>
      <c r="R727" s="50"/>
      <c r="S727" s="45" t="s">
        <v>108</v>
      </c>
      <c r="T727" s="24" t="s">
        <v>2432</v>
      </c>
      <c r="U727" s="9" t="s">
        <v>29</v>
      </c>
      <c r="V727" s="51" t="str">
        <f t="shared" si="8"/>
        <v>Encerrado</v>
      </c>
      <c r="W727" s="45"/>
      <c r="X727" s="52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>
        <v>847092.01</v>
      </c>
      <c r="AK727" s="54">
        <v>1054776.97</v>
      </c>
      <c r="AL727" s="54">
        <v>1054650.81</v>
      </c>
      <c r="AM727" s="54">
        <v>1072685.68</v>
      </c>
      <c r="AN727" s="54">
        <v>1099271.98</v>
      </c>
      <c r="AO727" s="54">
        <v>1098794.75</v>
      </c>
      <c r="AP727" s="53">
        <v>0.0</v>
      </c>
      <c r="AQ727" s="53">
        <v>0.0</v>
      </c>
      <c r="AR727" s="53">
        <v>0.0</v>
      </c>
      <c r="AS727" s="53">
        <v>0.0</v>
      </c>
      <c r="AT727" s="53">
        <v>0.0</v>
      </c>
      <c r="AU727" s="53" t="str">
        <f t="array" ref="AU727">XLOOKUP(C727,'PL TOTAL D0'!A:A,'PL TOTAL D0'!C:C,"")</f>
        <v/>
      </c>
    </row>
    <row r="728" ht="15.75" customHeight="1">
      <c r="A728" s="41" t="s">
        <v>43</v>
      </c>
      <c r="B728" s="66" t="s">
        <v>2430</v>
      </c>
      <c r="C728" s="71" t="s">
        <v>2433</v>
      </c>
      <c r="D728" s="44" t="s">
        <v>105</v>
      </c>
      <c r="E728" s="45" t="s">
        <v>29</v>
      </c>
      <c r="F728" s="44" t="s">
        <v>106</v>
      </c>
      <c r="G728" s="44" t="str">
        <f t="shared" si="1"/>
        <v>#N/A</v>
      </c>
      <c r="H728" s="46" t="s">
        <v>147</v>
      </c>
      <c r="I728" s="46" t="s">
        <v>219</v>
      </c>
      <c r="J728" s="44" t="str">
        <f t="shared" si="11"/>
        <v>Não</v>
      </c>
      <c r="K728" s="47">
        <v>45187.0</v>
      </c>
      <c r="L728" s="44"/>
      <c r="M728" s="45" t="s">
        <v>164</v>
      </c>
      <c r="N728" s="117">
        <v>0.014</v>
      </c>
      <c r="O728" s="45" t="s">
        <v>48</v>
      </c>
      <c r="P728" s="118">
        <v>0.1</v>
      </c>
      <c r="Q728" s="50"/>
      <c r="R728" s="50"/>
      <c r="S728" s="45" t="s">
        <v>108</v>
      </c>
      <c r="T728" s="24" t="s">
        <v>2432</v>
      </c>
      <c r="U728" s="9" t="s">
        <v>29</v>
      </c>
      <c r="V728" s="51" t="str">
        <f t="shared" si="8"/>
        <v>Ativo</v>
      </c>
      <c r="W728" s="45"/>
      <c r="X728" s="52" t="s">
        <v>119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>
        <v>0.0</v>
      </c>
      <c r="AL728" s="54">
        <v>0.0</v>
      </c>
      <c r="AM728" s="54">
        <v>0.0</v>
      </c>
      <c r="AN728" s="54">
        <v>0.0</v>
      </c>
      <c r="AO728" s="54">
        <v>0.0</v>
      </c>
      <c r="AP728" s="53">
        <v>0.0</v>
      </c>
      <c r="AQ728" s="53">
        <v>0.0</v>
      </c>
      <c r="AR728" s="53">
        <v>0.0</v>
      </c>
      <c r="AS728" s="53">
        <v>0.0</v>
      </c>
      <c r="AT728" s="53">
        <v>0.0</v>
      </c>
      <c r="AU728" s="53" t="str">
        <f t="array" ref="AU728">XLOOKUP(C728,'PL TOTAL D0'!A:A,'PL TOTAL D0'!C:C,"")</f>
        <v/>
      </c>
    </row>
    <row r="729" ht="15.75" customHeight="1">
      <c r="A729" s="6" t="s">
        <v>43</v>
      </c>
      <c r="B729" s="55" t="s">
        <v>2434</v>
      </c>
      <c r="C729" s="56" t="s">
        <v>2435</v>
      </c>
      <c r="D729" s="9" t="s">
        <v>18</v>
      </c>
      <c r="E729" s="24" t="s">
        <v>19</v>
      </c>
      <c r="F729" s="45" t="s">
        <v>122</v>
      </c>
      <c r="G729" s="44" t="str">
        <f t="shared" si="1"/>
        <v>Augusto</v>
      </c>
      <c r="H729" s="51" t="s">
        <v>107</v>
      </c>
      <c r="I729" s="51" t="s">
        <v>24</v>
      </c>
      <c r="J729" s="44" t="str">
        <f t="shared" si="11"/>
        <v>Não</v>
      </c>
      <c r="K729" s="57">
        <v>45282.0</v>
      </c>
      <c r="L729" s="44"/>
      <c r="M729" s="11" t="s">
        <v>278</v>
      </c>
      <c r="N729" s="12">
        <v>0.007</v>
      </c>
      <c r="O729" s="13" t="s">
        <v>24</v>
      </c>
      <c r="P729" s="14">
        <v>0.0</v>
      </c>
      <c r="Q729" s="74"/>
      <c r="R729" s="74"/>
      <c r="S729" s="24" t="s">
        <v>108</v>
      </c>
      <c r="T729" s="24" t="s">
        <v>2436</v>
      </c>
      <c r="U729" s="9" t="s">
        <v>19</v>
      </c>
      <c r="V729" s="51" t="str">
        <f t="shared" si="8"/>
        <v>Ativo</v>
      </c>
      <c r="W729" s="45"/>
      <c r="X729" s="52" t="s">
        <v>119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>
        <v>100024.17</v>
      </c>
      <c r="AO729" s="54">
        <v>101072.51</v>
      </c>
      <c r="AP729" s="53">
        <v>101920.12</v>
      </c>
      <c r="AQ729" s="53">
        <v>102856.91</v>
      </c>
      <c r="AR729" s="53">
        <v>103752.78</v>
      </c>
      <c r="AS729" s="53">
        <v>104522.4</v>
      </c>
      <c r="AT729" s="53">
        <v>105388.7</v>
      </c>
      <c r="AU729" s="53">
        <f t="array" ref="AU729">XLOOKUP(C729,'PL TOTAL D0'!A:A,'PL TOTAL D0'!C:C,"")</f>
        <v>105773.7</v>
      </c>
    </row>
    <row r="730" ht="15.75" customHeight="1">
      <c r="A730" s="41" t="s">
        <v>43</v>
      </c>
      <c r="B730" s="42" t="s">
        <v>2434</v>
      </c>
      <c r="C730" s="43" t="s">
        <v>2437</v>
      </c>
      <c r="D730" s="44" t="s">
        <v>18</v>
      </c>
      <c r="E730" s="45" t="s">
        <v>19</v>
      </c>
      <c r="F730" s="45" t="s">
        <v>122</v>
      </c>
      <c r="G730" s="44" t="str">
        <f t="shared" si="1"/>
        <v>Bruno</v>
      </c>
      <c r="H730" s="46" t="s">
        <v>107</v>
      </c>
      <c r="I730" s="46" t="s">
        <v>24</v>
      </c>
      <c r="J730" s="44" t="str">
        <f t="shared" si="11"/>
        <v>Sim</v>
      </c>
      <c r="K730" s="47">
        <v>45127.0</v>
      </c>
      <c r="L730" s="44"/>
      <c r="M730" s="45" t="s">
        <v>55</v>
      </c>
      <c r="N730" s="117">
        <v>0.012</v>
      </c>
      <c r="O730" s="44" t="s">
        <v>24</v>
      </c>
      <c r="P730" s="49">
        <v>0.0</v>
      </c>
      <c r="Q730" s="73" t="s">
        <v>2438</v>
      </c>
      <c r="R730" s="74"/>
      <c r="S730" s="45" t="s">
        <v>108</v>
      </c>
      <c r="T730" s="24" t="s">
        <v>2436</v>
      </c>
      <c r="U730" s="9" t="s">
        <v>19</v>
      </c>
      <c r="V730" s="51" t="str">
        <f t="shared" si="8"/>
        <v>Ativo</v>
      </c>
      <c r="W730" s="45"/>
      <c r="X730" s="52" t="s">
        <v>119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>
        <v>0.0</v>
      </c>
      <c r="AI730" s="54">
        <v>1875447.01</v>
      </c>
      <c r="AJ730" s="54">
        <v>1896446.3</v>
      </c>
      <c r="AK730" s="54">
        <v>1503271.83</v>
      </c>
      <c r="AL730" s="54">
        <v>1516384.23</v>
      </c>
      <c r="AM730" s="54">
        <v>1527561.79</v>
      </c>
      <c r="AN730" s="54">
        <v>1800247.93</v>
      </c>
      <c r="AO730" s="54">
        <v>1809687.32</v>
      </c>
      <c r="AP730" s="53">
        <v>1813405.43</v>
      </c>
      <c r="AQ730" s="53">
        <v>1823412.12</v>
      </c>
      <c r="AR730" s="53">
        <v>1826537.8</v>
      </c>
      <c r="AS730" s="53">
        <v>1833408.0</v>
      </c>
      <c r="AT730" s="53">
        <v>2138816.0</v>
      </c>
      <c r="AU730" s="53">
        <f t="array" ref="AU730">XLOOKUP(C730,'PL TOTAL D0'!A:A,'PL TOTAL D0'!C:C,"")</f>
        <v>2145932</v>
      </c>
    </row>
    <row r="731" ht="15.75" customHeight="1">
      <c r="A731" s="41" t="s">
        <v>43</v>
      </c>
      <c r="B731" s="42" t="s">
        <v>2439</v>
      </c>
      <c r="C731" s="71" t="s">
        <v>2440</v>
      </c>
      <c r="D731" s="44" t="s">
        <v>18</v>
      </c>
      <c r="E731" s="45" t="s">
        <v>19</v>
      </c>
      <c r="F731" s="45" t="s">
        <v>20</v>
      </c>
      <c r="G731" s="44" t="str">
        <f t="shared" si="1"/>
        <v>Augusto</v>
      </c>
      <c r="H731" s="51" t="s">
        <v>107</v>
      </c>
      <c r="I731" s="51" t="s">
        <v>24</v>
      </c>
      <c r="J731" s="44" t="str">
        <f t="shared" si="11"/>
        <v>Não</v>
      </c>
      <c r="K731" s="47">
        <v>45246.0</v>
      </c>
      <c r="L731" s="44"/>
      <c r="M731" s="45" t="s">
        <v>47</v>
      </c>
      <c r="N731" s="117">
        <v>0.015</v>
      </c>
      <c r="O731" s="44" t="s">
        <v>48</v>
      </c>
      <c r="P731" s="49">
        <v>0.1</v>
      </c>
      <c r="Q731" s="74"/>
      <c r="R731" s="15" t="s">
        <v>2441</v>
      </c>
      <c r="S731" s="45" t="s">
        <v>108</v>
      </c>
      <c r="T731" s="24" t="s">
        <v>2442</v>
      </c>
      <c r="U731" s="9" t="s">
        <v>19</v>
      </c>
      <c r="V731" s="51" t="str">
        <f t="shared" si="8"/>
        <v>Ativo</v>
      </c>
      <c r="W731" s="45"/>
      <c r="X731" s="52" t="s">
        <v>119</v>
      </c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>
        <v>0.0</v>
      </c>
      <c r="AN731" s="54">
        <v>191604.91</v>
      </c>
      <c r="AO731" s="54">
        <v>231090.55</v>
      </c>
      <c r="AP731" s="53">
        <v>322944.63</v>
      </c>
      <c r="AQ731" s="53">
        <v>325691.07</v>
      </c>
      <c r="AR731" s="53">
        <v>324436.52</v>
      </c>
      <c r="AS731" s="53">
        <v>323185.2</v>
      </c>
      <c r="AT731" s="53">
        <v>325243.3</v>
      </c>
      <c r="AU731" s="53">
        <f t="array" ref="AU731">XLOOKUP(C731,'PL TOTAL D0'!A:A,'PL TOTAL D0'!C:C,"")</f>
        <v>242174.5</v>
      </c>
    </row>
    <row r="732" ht="15.75" customHeight="1">
      <c r="A732" s="41" t="s">
        <v>43</v>
      </c>
      <c r="B732" s="42" t="s">
        <v>2443</v>
      </c>
      <c r="C732" s="43" t="s">
        <v>2444</v>
      </c>
      <c r="D732" s="44" t="s">
        <v>18</v>
      </c>
      <c r="E732" s="45" t="s">
        <v>176</v>
      </c>
      <c r="F732" s="45" t="s">
        <v>177</v>
      </c>
      <c r="G732" s="44" t="str">
        <f t="shared" si="1"/>
        <v>Augusto</v>
      </c>
      <c r="H732" s="46" t="s">
        <v>107</v>
      </c>
      <c r="I732" s="46" t="s">
        <v>24</v>
      </c>
      <c r="J732" s="44" t="str">
        <f t="shared" si="11"/>
        <v>Não</v>
      </c>
      <c r="K732" s="47">
        <v>45163.0</v>
      </c>
      <c r="L732" s="47"/>
      <c r="M732" s="45" t="s">
        <v>785</v>
      </c>
      <c r="N732" s="117">
        <v>0.007</v>
      </c>
      <c r="O732" s="45" t="s">
        <v>24</v>
      </c>
      <c r="P732" s="118">
        <v>0.0</v>
      </c>
      <c r="Q732" s="50"/>
      <c r="R732" s="50"/>
      <c r="S732" s="45" t="s">
        <v>108</v>
      </c>
      <c r="T732" s="24" t="s">
        <v>2445</v>
      </c>
      <c r="U732" s="9" t="s">
        <v>152</v>
      </c>
      <c r="V732" s="51" t="str">
        <f t="shared" si="8"/>
        <v>Ativo</v>
      </c>
      <c r="W732" s="45"/>
      <c r="X732" s="52" t="s">
        <v>110</v>
      </c>
      <c r="Y732" s="54"/>
      <c r="Z732" s="54"/>
      <c r="AA732" s="54"/>
      <c r="AB732" s="54"/>
      <c r="AC732" s="54"/>
      <c r="AD732" s="54"/>
      <c r="AE732" s="54"/>
      <c r="AF732" s="54"/>
      <c r="AG732" s="54"/>
      <c r="AH732" s="54">
        <v>0.0</v>
      </c>
      <c r="AI732" s="54">
        <v>0.0</v>
      </c>
      <c r="AJ732" s="54">
        <v>232512.44</v>
      </c>
      <c r="AK732" s="54">
        <v>234923.98</v>
      </c>
      <c r="AL732" s="54">
        <v>237389.47</v>
      </c>
      <c r="AM732" s="54">
        <v>239009.45</v>
      </c>
      <c r="AN732" s="54">
        <v>241044.65</v>
      </c>
      <c r="AO732" s="54">
        <v>243169.14</v>
      </c>
      <c r="AP732" s="53">
        <v>244996.03</v>
      </c>
      <c r="AQ732" s="53">
        <v>247051.88</v>
      </c>
      <c r="AR732" s="53">
        <v>249136.81</v>
      </c>
      <c r="AS732" s="53">
        <v>251061.3</v>
      </c>
      <c r="AT732" s="53">
        <v>252946.6</v>
      </c>
      <c r="AU732" s="53">
        <f t="array" ref="AU732">XLOOKUP(C732,'PL TOTAL D0'!A:A,'PL TOTAL D0'!C:C,"")</f>
        <v>253828.4</v>
      </c>
    </row>
    <row r="733" ht="15.75" customHeight="1">
      <c r="A733" s="41" t="s">
        <v>43</v>
      </c>
      <c r="B733" s="252" t="s">
        <v>2446</v>
      </c>
      <c r="C733" s="67" t="s">
        <v>2447</v>
      </c>
      <c r="D733" s="44" t="s">
        <v>18</v>
      </c>
      <c r="E733" s="45" t="s">
        <v>176</v>
      </c>
      <c r="F733" s="44" t="s">
        <v>197</v>
      </c>
      <c r="G733" s="44" t="str">
        <f t="shared" si="1"/>
        <v>Augusto</v>
      </c>
      <c r="H733" s="46" t="s">
        <v>107</v>
      </c>
      <c r="I733" s="46" t="s">
        <v>24</v>
      </c>
      <c r="J733" s="44" t="str">
        <f t="shared" si="11"/>
        <v>Não</v>
      </c>
      <c r="K733" s="47">
        <v>45190.0</v>
      </c>
      <c r="L733" s="47"/>
      <c r="M733" s="45" t="s">
        <v>55</v>
      </c>
      <c r="N733" s="117">
        <v>0.012</v>
      </c>
      <c r="O733" s="45" t="s">
        <v>24</v>
      </c>
      <c r="P733" s="118">
        <v>0.0</v>
      </c>
      <c r="Q733" s="50"/>
      <c r="R733" s="50"/>
      <c r="S733" s="45" t="s">
        <v>108</v>
      </c>
      <c r="T733" s="24" t="s">
        <v>2448</v>
      </c>
      <c r="U733" s="9" t="s">
        <v>34</v>
      </c>
      <c r="V733" s="51" t="str">
        <f t="shared" si="8"/>
        <v>Ativo</v>
      </c>
      <c r="W733" s="45"/>
      <c r="X733" s="52" t="s">
        <v>110</v>
      </c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>
        <v>50021.25</v>
      </c>
      <c r="AL733" s="54">
        <v>450886.23</v>
      </c>
      <c r="AM733" s="54">
        <v>454556.5</v>
      </c>
      <c r="AN733" s="54">
        <v>456141.06</v>
      </c>
      <c r="AO733" s="54">
        <v>459171.94</v>
      </c>
      <c r="AP733" s="53">
        <v>445108.27</v>
      </c>
      <c r="AQ733" s="53">
        <v>438530.77</v>
      </c>
      <c r="AR733" s="53">
        <v>433722.6</v>
      </c>
      <c r="AS733" s="53">
        <v>411920.8</v>
      </c>
      <c r="AT733" s="53">
        <v>403187.2</v>
      </c>
      <c r="AU733" s="53">
        <f t="array" ref="AU733">XLOOKUP(C733,'PL TOTAL D0'!A:A,'PL TOTAL D0'!C:C,"")</f>
        <v>399435</v>
      </c>
    </row>
    <row r="734" ht="15.75" customHeight="1">
      <c r="A734" s="41" t="s">
        <v>43</v>
      </c>
      <c r="B734" s="42" t="s">
        <v>2449</v>
      </c>
      <c r="C734" s="43" t="s">
        <v>2450</v>
      </c>
      <c r="D734" s="44" t="s">
        <v>18</v>
      </c>
      <c r="E734" s="45" t="s">
        <v>29</v>
      </c>
      <c r="F734" s="44" t="s">
        <v>78</v>
      </c>
      <c r="G734" s="44" t="str">
        <f t="shared" si="1"/>
        <v>Augusto</v>
      </c>
      <c r="H734" s="46" t="s">
        <v>107</v>
      </c>
      <c r="I734" s="46" t="s">
        <v>24</v>
      </c>
      <c r="J734" s="44" t="str">
        <f t="shared" si="11"/>
        <v>Não</v>
      </c>
      <c r="K734" s="47">
        <v>45042.0</v>
      </c>
      <c r="L734" s="44"/>
      <c r="M734" s="45" t="s">
        <v>47</v>
      </c>
      <c r="N734" s="117">
        <v>0.015</v>
      </c>
      <c r="O734" s="45" t="s">
        <v>48</v>
      </c>
      <c r="P734" s="118">
        <v>0.1</v>
      </c>
      <c r="Q734" s="50"/>
      <c r="R734" s="50"/>
      <c r="S734" s="45" t="s">
        <v>108</v>
      </c>
      <c r="T734" s="24" t="s">
        <v>2451</v>
      </c>
      <c r="U734" s="9" t="s">
        <v>29</v>
      </c>
      <c r="V734" s="51" t="str">
        <f t="shared" si="8"/>
        <v>Ativo</v>
      </c>
      <c r="W734" s="45"/>
      <c r="X734" s="52" t="s">
        <v>119</v>
      </c>
      <c r="Y734" s="54"/>
      <c r="Z734" s="54"/>
      <c r="AA734" s="54"/>
      <c r="AB734" s="54"/>
      <c r="AC734" s="54"/>
      <c r="AD734" s="54"/>
      <c r="AE734" s="54"/>
      <c r="AF734" s="54">
        <v>112366.37</v>
      </c>
      <c r="AG734" s="54">
        <v>113918.96</v>
      </c>
      <c r="AH734" s="54">
        <v>200612.93</v>
      </c>
      <c r="AI734" s="54">
        <v>282738.0</v>
      </c>
      <c r="AJ734" s="54">
        <v>231160.19</v>
      </c>
      <c r="AK734" s="54">
        <v>181973.47</v>
      </c>
      <c r="AL734" s="54">
        <v>181576.12</v>
      </c>
      <c r="AM734" s="54">
        <v>134747.78</v>
      </c>
      <c r="AN734" s="54">
        <v>87143.73</v>
      </c>
      <c r="AO734" s="54">
        <v>7174.63</v>
      </c>
      <c r="AP734" s="53">
        <v>7279.92</v>
      </c>
      <c r="AQ734" s="53">
        <v>7323.91</v>
      </c>
      <c r="AR734" s="53">
        <v>7373.52</v>
      </c>
      <c r="AS734" s="53">
        <v>7413.53</v>
      </c>
      <c r="AT734" s="53">
        <v>7460.79</v>
      </c>
      <c r="AU734" s="53">
        <f t="array" ref="AU734">XLOOKUP(C734,'PL TOTAL D0'!A:A,'PL TOTAL D0'!C:C,"")</f>
        <v>7480.62</v>
      </c>
    </row>
    <row r="735" ht="15.75" customHeight="1">
      <c r="A735" s="41" t="s">
        <v>43</v>
      </c>
      <c r="B735" s="64" t="s">
        <v>2452</v>
      </c>
      <c r="C735" s="65" t="s">
        <v>2453</v>
      </c>
      <c r="D735" s="9" t="s">
        <v>18</v>
      </c>
      <c r="E735" s="24" t="s">
        <v>29</v>
      </c>
      <c r="F735" s="9" t="s">
        <v>60</v>
      </c>
      <c r="G735" s="44" t="str">
        <f t="shared" si="1"/>
        <v>#N/A</v>
      </c>
      <c r="H735" s="51" t="s">
        <v>186</v>
      </c>
      <c r="I735" s="51" t="s">
        <v>24</v>
      </c>
      <c r="J735" s="44" t="str">
        <f t="shared" si="11"/>
        <v>Não</v>
      </c>
      <c r="K735" s="57">
        <v>45385.0</v>
      </c>
      <c r="L735" s="92">
        <v>45414.0</v>
      </c>
      <c r="M735" s="24" t="s">
        <v>149</v>
      </c>
      <c r="N735" s="214">
        <v>0.0</v>
      </c>
      <c r="O735" s="24" t="s">
        <v>24</v>
      </c>
      <c r="P735" s="216">
        <v>0.0</v>
      </c>
      <c r="Q735" s="15"/>
      <c r="R735" s="50"/>
      <c r="S735" s="24" t="s">
        <v>108</v>
      </c>
      <c r="T735" s="23" t="s">
        <v>2454</v>
      </c>
      <c r="U735" s="9" t="s">
        <v>29</v>
      </c>
      <c r="V735" s="51" t="str">
        <f t="shared" si="8"/>
        <v>Encerrado</v>
      </c>
      <c r="W735" s="45"/>
      <c r="X735" s="52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3"/>
      <c r="AQ735" s="53"/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41" t="s">
        <v>43</v>
      </c>
      <c r="B736" s="239" t="s">
        <v>2455</v>
      </c>
      <c r="C736" s="43" t="s">
        <v>2456</v>
      </c>
      <c r="D736" s="44" t="s">
        <v>18</v>
      </c>
      <c r="E736" s="45" t="s">
        <v>19</v>
      </c>
      <c r="F736" s="44" t="s">
        <v>1805</v>
      </c>
      <c r="G736" s="44" t="str">
        <f t="shared" si="1"/>
        <v>Augusto</v>
      </c>
      <c r="H736" s="51" t="s">
        <v>147</v>
      </c>
      <c r="I736" s="51" t="s">
        <v>219</v>
      </c>
      <c r="J736" s="44" t="str">
        <f t="shared" si="11"/>
        <v>Não</v>
      </c>
      <c r="K736" s="47">
        <v>45099.0</v>
      </c>
      <c r="L736" s="47"/>
      <c r="M736" s="45" t="s">
        <v>47</v>
      </c>
      <c r="N736" s="117">
        <v>0.015</v>
      </c>
      <c r="O736" s="44" t="s">
        <v>48</v>
      </c>
      <c r="P736" s="49">
        <v>0.1</v>
      </c>
      <c r="Q736" s="50"/>
      <c r="R736" s="50"/>
      <c r="S736" s="45" t="s">
        <v>108</v>
      </c>
      <c r="T736" s="24" t="s">
        <v>2457</v>
      </c>
      <c r="U736" s="9" t="s">
        <v>19</v>
      </c>
      <c r="V736" s="51" t="str">
        <f t="shared" si="8"/>
        <v>Ativo</v>
      </c>
      <c r="W736" s="45"/>
      <c r="X736" s="52" t="s">
        <v>119</v>
      </c>
      <c r="Y736" s="54"/>
      <c r="Z736" s="54"/>
      <c r="AA736" s="54"/>
      <c r="AB736" s="54"/>
      <c r="AC736" s="54"/>
      <c r="AD736" s="54">
        <v>15000.0</v>
      </c>
      <c r="AE736" s="54">
        <v>15000.0</v>
      </c>
      <c r="AF736" s="54">
        <v>15000.0</v>
      </c>
      <c r="AG736" s="54">
        <v>15000.0</v>
      </c>
      <c r="AH736" s="54">
        <v>15046.9</v>
      </c>
      <c r="AI736" s="54">
        <v>0.01</v>
      </c>
      <c r="AJ736" s="54">
        <v>0.0</v>
      </c>
      <c r="AK736" s="54">
        <v>0.0</v>
      </c>
      <c r="AL736" s="54">
        <v>0.0</v>
      </c>
      <c r="AM736" s="54">
        <v>0.01</v>
      </c>
      <c r="AN736" s="54">
        <v>0.01</v>
      </c>
      <c r="AO736" s="54">
        <v>0.01</v>
      </c>
      <c r="AP736" s="53">
        <v>0.01</v>
      </c>
      <c r="AQ736" s="53">
        <v>0.01</v>
      </c>
      <c r="AR736" s="53">
        <v>0.01</v>
      </c>
      <c r="AS736" s="53">
        <v>0.01</v>
      </c>
      <c r="AT736" s="53">
        <v>0.01</v>
      </c>
      <c r="AU736" s="53">
        <f t="array" ref="AU736">XLOOKUP(C736,'PL TOTAL D0'!A:A,'PL TOTAL D0'!C:C,"")</f>
        <v>0.01</v>
      </c>
    </row>
    <row r="737" ht="15.75" customHeight="1">
      <c r="A737" s="41" t="s">
        <v>43</v>
      </c>
      <c r="B737" s="66" t="s">
        <v>2458</v>
      </c>
      <c r="C737" s="81" t="s">
        <v>2459</v>
      </c>
      <c r="D737" s="44" t="s">
        <v>18</v>
      </c>
      <c r="E737" s="45" t="s">
        <v>29</v>
      </c>
      <c r="F737" s="44" t="s">
        <v>60</v>
      </c>
      <c r="G737" s="44" t="str">
        <f t="shared" si="1"/>
        <v>#N/A</v>
      </c>
      <c r="H737" s="51" t="s">
        <v>186</v>
      </c>
      <c r="I737" s="51" t="s">
        <v>24</v>
      </c>
      <c r="J737" s="44" t="str">
        <f>IF(R737=0,"Não","Sim")</f>
        <v>Sim</v>
      </c>
      <c r="K737" s="47">
        <v>45175.0</v>
      </c>
      <c r="L737" s="57">
        <v>45411.0</v>
      </c>
      <c r="M737" s="45" t="s">
        <v>194</v>
      </c>
      <c r="N737" s="117">
        <v>0.008</v>
      </c>
      <c r="O737" s="44" t="s">
        <v>195</v>
      </c>
      <c r="P737" s="49">
        <v>0.1</v>
      </c>
      <c r="Q737" s="245"/>
      <c r="R737" s="60" t="s">
        <v>239</v>
      </c>
      <c r="S737" s="45" t="s">
        <v>108</v>
      </c>
      <c r="T737" s="24" t="s">
        <v>2460</v>
      </c>
      <c r="U737" s="9" t="s">
        <v>791</v>
      </c>
      <c r="V737" s="51" t="str">
        <f t="shared" si="8"/>
        <v>Encerrado</v>
      </c>
      <c r="W737" s="45"/>
      <c r="X737" s="52" t="s">
        <v>110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>
        <v>0.0</v>
      </c>
      <c r="AK737" s="54">
        <v>193844.4</v>
      </c>
      <c r="AL737" s="54">
        <v>201445.17</v>
      </c>
      <c r="AM737" s="54">
        <v>205170.0</v>
      </c>
      <c r="AN737" s="54">
        <v>209842.97</v>
      </c>
      <c r="AO737" s="54">
        <v>210504.58</v>
      </c>
      <c r="AP737" s="53">
        <v>0.0</v>
      </c>
      <c r="AQ737" s="53">
        <v>0.0</v>
      </c>
      <c r="AR737" s="53">
        <v>0.0</v>
      </c>
      <c r="AS737" s="53">
        <v>0.0</v>
      </c>
      <c r="AT737" s="53">
        <v>0.0</v>
      </c>
      <c r="AU737" s="53" t="str">
        <f t="array" ref="AU737">XLOOKUP(C737,'PL TOTAL D0'!A:A,'PL TOTAL D0'!C:C,"")</f>
        <v/>
      </c>
    </row>
    <row r="738" ht="15.75" customHeight="1">
      <c r="A738" s="41" t="s">
        <v>43</v>
      </c>
      <c r="B738" s="239" t="s">
        <v>2461</v>
      </c>
      <c r="C738" s="250" t="s">
        <v>2462</v>
      </c>
      <c r="D738" s="44" t="s">
        <v>18</v>
      </c>
      <c r="E738" s="45" t="s">
        <v>19</v>
      </c>
      <c r="F738" s="44" t="s">
        <v>213</v>
      </c>
      <c r="G738" s="44" t="str">
        <f t="shared" si="1"/>
        <v>#N/A</v>
      </c>
      <c r="H738" s="46" t="s">
        <v>107</v>
      </c>
      <c r="I738" s="46" t="s">
        <v>24</v>
      </c>
      <c r="J738" s="44" t="str">
        <f t="shared" ref="J738:J760" si="12">IF(Q738=0,"Não","Sim")</f>
        <v>Não</v>
      </c>
      <c r="K738" s="47">
        <v>44959.0</v>
      </c>
      <c r="L738" s="44"/>
      <c r="M738" s="45" t="s">
        <v>55</v>
      </c>
      <c r="N738" s="117">
        <v>0.012</v>
      </c>
      <c r="O738" s="44" t="s">
        <v>24</v>
      </c>
      <c r="P738" s="49">
        <v>0.0</v>
      </c>
      <c r="Q738" s="50"/>
      <c r="R738" s="50"/>
      <c r="S738" s="45" t="s">
        <v>108</v>
      </c>
      <c r="T738" s="24" t="s">
        <v>2463</v>
      </c>
      <c r="U738" s="9" t="s">
        <v>19</v>
      </c>
      <c r="V738" s="51" t="str">
        <f t="shared" si="8"/>
        <v>Ativo</v>
      </c>
      <c r="W738" s="45"/>
      <c r="X738" s="52" t="s">
        <v>119</v>
      </c>
      <c r="Y738" s="54"/>
      <c r="Z738" s="54"/>
      <c r="AA738" s="54"/>
      <c r="AB738" s="54"/>
      <c r="AC738" s="54">
        <v>0.0</v>
      </c>
      <c r="AD738" s="54">
        <v>2010017.61</v>
      </c>
      <c r="AE738" s="54">
        <v>2031340.41</v>
      </c>
      <c r="AF738" s="54">
        <v>2045094.56</v>
      </c>
      <c r="AG738" s="54">
        <v>2066995.05</v>
      </c>
      <c r="AH738" s="54">
        <v>2086021.94</v>
      </c>
      <c r="AI738" s="54">
        <v>2104306.92</v>
      </c>
      <c r="AJ738" s="54">
        <v>2124517.67</v>
      </c>
      <c r="AK738" s="54">
        <v>2141809.61</v>
      </c>
      <c r="AL738" s="54">
        <v>2160907.49</v>
      </c>
      <c r="AM738" s="54">
        <v>2176880.26</v>
      </c>
      <c r="AN738" s="54">
        <v>2193936.22</v>
      </c>
      <c r="AO738" s="54">
        <v>2213182.04</v>
      </c>
      <c r="AP738" s="53">
        <v>2224003.28</v>
      </c>
      <c r="AQ738" s="53">
        <v>2241552.06</v>
      </c>
      <c r="AR738" s="53">
        <v>1531733.78</v>
      </c>
      <c r="AS738" s="53">
        <v>1540547.0</v>
      </c>
      <c r="AT738" s="53">
        <v>1553698.0</v>
      </c>
      <c r="AU738" s="53" t="str">
        <f t="array" ref="AU738">XLOOKUP(C738,'PL TOTAL D0'!A:A,'PL TOTAL D0'!C:C,"")</f>
        <v/>
      </c>
    </row>
    <row r="739" ht="15.75" customHeight="1">
      <c r="A739" s="41" t="s">
        <v>43</v>
      </c>
      <c r="B739" s="239" t="s">
        <v>2464</v>
      </c>
      <c r="C739" s="250" t="s">
        <v>2465</v>
      </c>
      <c r="D739" s="44" t="s">
        <v>18</v>
      </c>
      <c r="E739" s="45" t="s">
        <v>19</v>
      </c>
      <c r="F739" s="44" t="s">
        <v>20</v>
      </c>
      <c r="G739" s="44" t="str">
        <f t="shared" si="1"/>
        <v>Augusto</v>
      </c>
      <c r="H739" s="51" t="s">
        <v>147</v>
      </c>
      <c r="I739" s="51" t="s">
        <v>693</v>
      </c>
      <c r="J739" s="44" t="str">
        <f t="shared" si="12"/>
        <v>Não</v>
      </c>
      <c r="K739" s="47">
        <v>44957.0</v>
      </c>
      <c r="L739" s="44"/>
      <c r="M739" s="45" t="s">
        <v>55</v>
      </c>
      <c r="N739" s="117">
        <v>0.01</v>
      </c>
      <c r="O739" s="44" t="s">
        <v>24</v>
      </c>
      <c r="P739" s="49">
        <v>0.0</v>
      </c>
      <c r="Q739" s="50"/>
      <c r="R739" s="50"/>
      <c r="S739" s="45" t="s">
        <v>108</v>
      </c>
      <c r="T739" s="24" t="s">
        <v>2466</v>
      </c>
      <c r="U739" s="9" t="s">
        <v>19</v>
      </c>
      <c r="V739" s="51" t="str">
        <f t="shared" si="8"/>
        <v>Ativo</v>
      </c>
      <c r="W739" s="45"/>
      <c r="X739" s="52" t="s">
        <v>119</v>
      </c>
      <c r="Y739" s="54"/>
      <c r="Z739" s="54"/>
      <c r="AA739" s="54"/>
      <c r="AB739" s="54"/>
      <c r="AC739" s="54">
        <v>367453.7</v>
      </c>
      <c r="AD739" s="54">
        <v>371328.96</v>
      </c>
      <c r="AE739" s="54">
        <v>376736.61</v>
      </c>
      <c r="AF739" s="54">
        <v>377025.32</v>
      </c>
      <c r="AG739" s="54">
        <v>378013.16</v>
      </c>
      <c r="AH739" s="54">
        <v>375411.82</v>
      </c>
      <c r="AI739" s="54">
        <v>376086.9</v>
      </c>
      <c r="AJ739" s="54">
        <v>375895.74</v>
      </c>
      <c r="AK739" s="54">
        <v>373156.75</v>
      </c>
      <c r="AL739" s="54">
        <v>369535.58</v>
      </c>
      <c r="AM739" s="54">
        <v>368890.63</v>
      </c>
      <c r="AN739" s="54">
        <v>370566.31</v>
      </c>
      <c r="AO739" s="54">
        <v>371332.54</v>
      </c>
      <c r="AP739" s="53">
        <v>360194.42</v>
      </c>
      <c r="AQ739" s="53">
        <v>357875.71</v>
      </c>
      <c r="AR739" s="53">
        <v>302413.17</v>
      </c>
      <c r="AS739" s="53">
        <v>297869.3</v>
      </c>
      <c r="AT739" s="53">
        <v>280188.1</v>
      </c>
      <c r="AU739" s="53">
        <f t="array" ref="AU739">XLOOKUP(C739,'PL TOTAL D0'!A:A,'PL TOTAL D0'!C:C,"")</f>
        <v>33138.54</v>
      </c>
    </row>
    <row r="740" ht="15.75" customHeight="1">
      <c r="A740" s="41" t="s">
        <v>43</v>
      </c>
      <c r="B740" s="42" t="s">
        <v>2467</v>
      </c>
      <c r="C740" s="43" t="s">
        <v>2468</v>
      </c>
      <c r="D740" s="44" t="s">
        <v>18</v>
      </c>
      <c r="E740" s="45" t="s">
        <v>19</v>
      </c>
      <c r="F740" s="44" t="s">
        <v>20</v>
      </c>
      <c r="G740" s="44" t="str">
        <f t="shared" si="1"/>
        <v>Augusto</v>
      </c>
      <c r="H740" s="46" t="s">
        <v>107</v>
      </c>
      <c r="I740" s="46" t="s">
        <v>24</v>
      </c>
      <c r="J740" s="44" t="str">
        <f t="shared" si="12"/>
        <v>Não</v>
      </c>
      <c r="K740" s="47">
        <v>45163.0</v>
      </c>
      <c r="L740" s="44"/>
      <c r="M740" s="45" t="s">
        <v>55</v>
      </c>
      <c r="N740" s="117">
        <v>0.012</v>
      </c>
      <c r="O740" s="44" t="s">
        <v>24</v>
      </c>
      <c r="P740" s="49">
        <v>0.0</v>
      </c>
      <c r="Q740" s="50"/>
      <c r="R740" s="50"/>
      <c r="S740" s="45" t="s">
        <v>108</v>
      </c>
      <c r="T740" s="24" t="s">
        <v>2469</v>
      </c>
      <c r="U740" s="9" t="s">
        <v>19</v>
      </c>
      <c r="V740" s="51" t="str">
        <f t="shared" si="8"/>
        <v>Ativo</v>
      </c>
      <c r="W740" s="45"/>
      <c r="X740" s="52" t="s">
        <v>119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>
        <v>0.0</v>
      </c>
      <c r="AJ740" s="54">
        <v>47901.55</v>
      </c>
      <c r="AK740" s="54">
        <v>48256.88</v>
      </c>
      <c r="AL740" s="54">
        <v>48591.25</v>
      </c>
      <c r="AM740" s="54">
        <v>48964.38</v>
      </c>
      <c r="AN740" s="54">
        <v>49359.0</v>
      </c>
      <c r="AO740" s="54">
        <v>59863.5</v>
      </c>
      <c r="AP740" s="53">
        <v>68398.09</v>
      </c>
      <c r="AQ740" s="53">
        <v>69000.88</v>
      </c>
      <c r="AR740" s="53">
        <v>69574.13</v>
      </c>
      <c r="AS740" s="53">
        <v>70142.12</v>
      </c>
      <c r="AT740" s="53">
        <v>70349.28</v>
      </c>
      <c r="AU740" s="53">
        <f t="array" ref="AU740">XLOOKUP(C740,'PL TOTAL D0'!A:A,'PL TOTAL D0'!C:C,"")</f>
        <v>70588.2</v>
      </c>
    </row>
    <row r="741" ht="15.75" customHeight="1">
      <c r="A741" s="41" t="s">
        <v>43</v>
      </c>
      <c r="B741" s="64" t="s">
        <v>2470</v>
      </c>
      <c r="C741" s="65" t="s">
        <v>2471</v>
      </c>
      <c r="D741" s="9" t="s">
        <v>18</v>
      </c>
      <c r="E741" s="45" t="s">
        <v>19</v>
      </c>
      <c r="F741" s="9" t="s">
        <v>213</v>
      </c>
      <c r="G741" s="44" t="str">
        <f t="shared" si="1"/>
        <v>Bruno</v>
      </c>
      <c r="H741" s="51" t="s">
        <v>107</v>
      </c>
      <c r="I741" s="51" t="s">
        <v>24</v>
      </c>
      <c r="J741" s="44" t="str">
        <f t="shared" si="12"/>
        <v>Sim</v>
      </c>
      <c r="K741" s="57">
        <v>45446.0</v>
      </c>
      <c r="L741" s="44"/>
      <c r="M741" s="130" t="s">
        <v>389</v>
      </c>
      <c r="N741" s="86">
        <v>0.007</v>
      </c>
      <c r="O741" s="87" t="s">
        <v>24</v>
      </c>
      <c r="P741" s="88">
        <v>0.0</v>
      </c>
      <c r="Q741" s="60" t="s">
        <v>2472</v>
      </c>
      <c r="R741" s="50"/>
      <c r="S741" s="24" t="s">
        <v>369</v>
      </c>
      <c r="T741" s="23" t="s">
        <v>2473</v>
      </c>
      <c r="U741" s="9" t="s">
        <v>19</v>
      </c>
      <c r="V741" s="51" t="str">
        <f t="shared" si="8"/>
        <v>Ativo</v>
      </c>
      <c r="W741" s="24" t="s">
        <v>63</v>
      </c>
      <c r="X741" s="52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3"/>
      <c r="AQ741" s="53"/>
      <c r="AR741" s="53"/>
      <c r="AS741" s="53"/>
      <c r="AT741" s="53">
        <v>503028.1</v>
      </c>
      <c r="AU741" s="53">
        <f t="array" ref="AU741">XLOOKUP(C741,'PL TOTAL D0'!A:A,'PL TOTAL D0'!C:C,"")</f>
        <v>1507901</v>
      </c>
    </row>
    <row r="742" ht="15.75" customHeight="1">
      <c r="A742" s="6" t="s">
        <v>43</v>
      </c>
      <c r="B742" s="239" t="s">
        <v>2474</v>
      </c>
      <c r="C742" s="113" t="s">
        <v>2475</v>
      </c>
      <c r="D742" s="9" t="s">
        <v>18</v>
      </c>
      <c r="E742" s="24" t="s">
        <v>34</v>
      </c>
      <c r="F742" s="44" t="s">
        <v>574</v>
      </c>
      <c r="G742" s="44" t="str">
        <f t="shared" si="1"/>
        <v>Augusto</v>
      </c>
      <c r="H742" s="51" t="s">
        <v>107</v>
      </c>
      <c r="I742" s="51" t="s">
        <v>24</v>
      </c>
      <c r="J742" s="44" t="str">
        <f t="shared" si="12"/>
        <v>Não</v>
      </c>
      <c r="K742" s="57">
        <v>45348.0</v>
      </c>
      <c r="L742" s="44"/>
      <c r="M742" s="24" t="s">
        <v>190</v>
      </c>
      <c r="N742" s="214">
        <v>0.025</v>
      </c>
      <c r="O742" s="24" t="s">
        <v>191</v>
      </c>
      <c r="P742" s="216">
        <v>0.2</v>
      </c>
      <c r="Q742" s="60"/>
      <c r="R742" s="60" t="s">
        <v>2476</v>
      </c>
      <c r="S742" s="24" t="s">
        <v>108</v>
      </c>
      <c r="T742" s="24" t="s">
        <v>2477</v>
      </c>
      <c r="U742" s="9" t="s">
        <v>34</v>
      </c>
      <c r="V742" s="51" t="str">
        <f t="shared" si="8"/>
        <v>Ativo</v>
      </c>
      <c r="W742" s="45"/>
      <c r="X742" s="52" t="s">
        <v>119</v>
      </c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3">
        <v>177833.16</v>
      </c>
      <c r="AQ742" s="53">
        <v>180938.03</v>
      </c>
      <c r="AR742" s="53">
        <v>173455.26</v>
      </c>
      <c r="AS742" s="53">
        <v>168089.1</v>
      </c>
      <c r="AT742" s="53">
        <v>168367.9</v>
      </c>
      <c r="AU742" s="53">
        <f t="array" ref="AU742">XLOOKUP(C742,'PL TOTAL D0'!A:A,'PL TOTAL D0'!C:C,"")</f>
        <v>175797.2</v>
      </c>
    </row>
    <row r="743" ht="15.75" customHeight="1">
      <c r="A743" s="41" t="s">
        <v>43</v>
      </c>
      <c r="B743" s="239" t="s">
        <v>2474</v>
      </c>
      <c r="C743" s="250" t="s">
        <v>2478</v>
      </c>
      <c r="D743" s="44" t="s">
        <v>18</v>
      </c>
      <c r="E743" s="45" t="s">
        <v>34</v>
      </c>
      <c r="F743" s="44" t="s">
        <v>574</v>
      </c>
      <c r="G743" s="44" t="str">
        <f t="shared" si="1"/>
        <v>Augusto</v>
      </c>
      <c r="H743" s="51" t="s">
        <v>107</v>
      </c>
      <c r="I743" s="51" t="s">
        <v>24</v>
      </c>
      <c r="J743" s="44" t="str">
        <f t="shared" si="12"/>
        <v>Não</v>
      </c>
      <c r="K743" s="47">
        <v>44998.0</v>
      </c>
      <c r="L743" s="44"/>
      <c r="M743" s="24" t="s">
        <v>55</v>
      </c>
      <c r="N743" s="214">
        <v>0.012</v>
      </c>
      <c r="O743" s="24" t="s">
        <v>24</v>
      </c>
      <c r="P743" s="216">
        <v>0.0</v>
      </c>
      <c r="Q743" s="60"/>
      <c r="R743" s="60" t="s">
        <v>2479</v>
      </c>
      <c r="S743" s="45" t="s">
        <v>108</v>
      </c>
      <c r="T743" s="24" t="s">
        <v>2480</v>
      </c>
      <c r="U743" s="9" t="s">
        <v>34</v>
      </c>
      <c r="V743" s="51" t="str">
        <f t="shared" si="8"/>
        <v>Ativo</v>
      </c>
      <c r="W743" s="45"/>
      <c r="X743" s="52" t="s">
        <v>119</v>
      </c>
      <c r="Y743" s="54"/>
      <c r="Z743" s="54"/>
      <c r="AA743" s="54"/>
      <c r="AB743" s="54"/>
      <c r="AC743" s="54"/>
      <c r="AD743" s="54">
        <v>4066.02</v>
      </c>
      <c r="AE743" s="54">
        <v>119885.32</v>
      </c>
      <c r="AF743" s="54">
        <v>120387.26</v>
      </c>
      <c r="AG743" s="54">
        <v>122550.79</v>
      </c>
      <c r="AH743" s="54">
        <v>124736.01</v>
      </c>
      <c r="AI743" s="54">
        <v>126205.58</v>
      </c>
      <c r="AJ743" s="54">
        <v>126009.64</v>
      </c>
      <c r="AK743" s="54">
        <v>238439.05</v>
      </c>
      <c r="AL743" s="54">
        <v>238416.3</v>
      </c>
      <c r="AM743" s="54">
        <v>243583.02</v>
      </c>
      <c r="AN743" s="54">
        <v>248332.55</v>
      </c>
      <c r="AO743" s="54">
        <v>244038.43</v>
      </c>
      <c r="AP743" s="53">
        <v>167467.49</v>
      </c>
      <c r="AQ743" s="53">
        <v>168695.58</v>
      </c>
      <c r="AR743" s="53">
        <v>169793.89</v>
      </c>
      <c r="AS743" s="53">
        <v>171131.9</v>
      </c>
      <c r="AT743" s="53">
        <v>172418.8</v>
      </c>
      <c r="AU743" s="53">
        <f t="array" ref="AU743">XLOOKUP(C743,'PL TOTAL D0'!A:A,'PL TOTAL D0'!C:C,"")</f>
        <v>172917.1</v>
      </c>
    </row>
    <row r="744" ht="15.75" customHeight="1">
      <c r="A744" s="41" t="s">
        <v>43</v>
      </c>
      <c r="B744" s="42" t="s">
        <v>2481</v>
      </c>
      <c r="C744" s="43" t="s">
        <v>2482</v>
      </c>
      <c r="D744" s="44" t="s">
        <v>52</v>
      </c>
      <c r="E744" s="45" t="s">
        <v>19</v>
      </c>
      <c r="F744" s="44" t="s">
        <v>53</v>
      </c>
      <c r="G744" s="44" t="str">
        <f t="shared" si="1"/>
        <v>Bruno</v>
      </c>
      <c r="H744" s="46" t="s">
        <v>107</v>
      </c>
      <c r="I744" s="46" t="s">
        <v>24</v>
      </c>
      <c r="J744" s="44" t="str">
        <f t="shared" si="12"/>
        <v>Não</v>
      </c>
      <c r="K744" s="47">
        <v>45253.0</v>
      </c>
      <c r="L744" s="44"/>
      <c r="M744" s="45" t="s">
        <v>55</v>
      </c>
      <c r="N744" s="94">
        <v>0.012</v>
      </c>
      <c r="O744" s="95" t="s">
        <v>24</v>
      </c>
      <c r="P744" s="96">
        <v>0.0</v>
      </c>
      <c r="Q744" s="50"/>
      <c r="R744" s="50"/>
      <c r="S744" s="45" t="s">
        <v>108</v>
      </c>
      <c r="T744" s="24" t="s">
        <v>2483</v>
      </c>
      <c r="U744" s="9" t="s">
        <v>19</v>
      </c>
      <c r="V744" s="51" t="str">
        <f t="shared" si="8"/>
        <v>Ativo</v>
      </c>
      <c r="W744" s="45"/>
      <c r="X744" s="52" t="s">
        <v>119</v>
      </c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>
        <v>170070.52</v>
      </c>
      <c r="AN744" s="54">
        <v>171445.43</v>
      </c>
      <c r="AO744" s="54">
        <v>607050.12</v>
      </c>
      <c r="AP744" s="53">
        <v>615015.2</v>
      </c>
      <c r="AQ744" s="53">
        <v>623702.07</v>
      </c>
      <c r="AR744" s="53">
        <v>977080.97</v>
      </c>
      <c r="AS744" s="53">
        <v>990953.2</v>
      </c>
      <c r="AT744" s="53">
        <v>1003964.0</v>
      </c>
      <c r="AU744" s="53">
        <f t="array" ref="AU744">XLOOKUP(C744,'PL TOTAL D0'!A:A,'PL TOTAL D0'!C:C,"")</f>
        <v>1019188</v>
      </c>
    </row>
    <row r="745" ht="15.75" customHeight="1">
      <c r="A745" s="41" t="s">
        <v>43</v>
      </c>
      <c r="B745" s="239" t="s">
        <v>2484</v>
      </c>
      <c r="C745" s="43" t="s">
        <v>2485</v>
      </c>
      <c r="D745" s="44" t="s">
        <v>18</v>
      </c>
      <c r="E745" s="45" t="s">
        <v>176</v>
      </c>
      <c r="F745" s="44" t="s">
        <v>177</v>
      </c>
      <c r="G745" s="44" t="str">
        <f t="shared" si="1"/>
        <v>Augusto</v>
      </c>
      <c r="H745" s="46" t="s">
        <v>107</v>
      </c>
      <c r="I745" s="46" t="s">
        <v>24</v>
      </c>
      <c r="J745" s="44" t="str">
        <f t="shared" si="12"/>
        <v>Sim</v>
      </c>
      <c r="K745" s="47">
        <v>45008.0</v>
      </c>
      <c r="L745" s="44"/>
      <c r="M745" s="45" t="s">
        <v>194</v>
      </c>
      <c r="N745" s="117">
        <v>0.008</v>
      </c>
      <c r="O745" s="45" t="s">
        <v>195</v>
      </c>
      <c r="P745" s="118">
        <v>0.1</v>
      </c>
      <c r="Q745" s="60" t="s">
        <v>2486</v>
      </c>
      <c r="R745" s="50"/>
      <c r="S745" s="45" t="s">
        <v>108</v>
      </c>
      <c r="T745" s="24" t="s">
        <v>2487</v>
      </c>
      <c r="U745" s="9" t="s">
        <v>180</v>
      </c>
      <c r="V745" s="51" t="str">
        <f t="shared" si="8"/>
        <v>Ativo</v>
      </c>
      <c r="W745" s="45"/>
      <c r="X745" s="52" t="s">
        <v>110</v>
      </c>
      <c r="Y745" s="54"/>
      <c r="Z745" s="54"/>
      <c r="AA745" s="54"/>
      <c r="AB745" s="54"/>
      <c r="AC745" s="54"/>
      <c r="AD745" s="54"/>
      <c r="AE745" s="54">
        <v>163277.33</v>
      </c>
      <c r="AF745" s="54">
        <v>169594.56</v>
      </c>
      <c r="AG745" s="54">
        <v>180521.59</v>
      </c>
      <c r="AH745" s="54">
        <v>184229.48</v>
      </c>
      <c r="AI745" s="54">
        <v>191310.25</v>
      </c>
      <c r="AJ745" s="54">
        <v>207176.92</v>
      </c>
      <c r="AK745" s="54">
        <v>205472.06</v>
      </c>
      <c r="AL745" s="54">
        <v>200959.98</v>
      </c>
      <c r="AM745" s="54">
        <v>204814.37</v>
      </c>
      <c r="AN745" s="54">
        <v>213492.69</v>
      </c>
      <c r="AO745" s="54">
        <v>213961.05</v>
      </c>
      <c r="AP745" s="53">
        <v>214669.12</v>
      </c>
      <c r="AQ745" s="53">
        <v>214690.42</v>
      </c>
      <c r="AR745" s="53">
        <v>213125.79</v>
      </c>
      <c r="AS745" s="53">
        <v>213944.5</v>
      </c>
      <c r="AT745" s="53">
        <v>214275.0</v>
      </c>
      <c r="AU745" s="53">
        <f t="array" ref="AU745">XLOOKUP(C745,'PL TOTAL D0'!A:A,'PL TOTAL D0'!C:C,"")</f>
        <v>215009.3</v>
      </c>
    </row>
    <row r="746" ht="15.75" customHeight="1">
      <c r="A746" s="41" t="s">
        <v>43</v>
      </c>
      <c r="B746" s="239" t="s">
        <v>2484</v>
      </c>
      <c r="C746" s="43" t="s">
        <v>2488</v>
      </c>
      <c r="D746" s="44" t="s">
        <v>18</v>
      </c>
      <c r="E746" s="45" t="s">
        <v>176</v>
      </c>
      <c r="F746" s="44" t="s">
        <v>177</v>
      </c>
      <c r="G746" s="44" t="str">
        <f t="shared" si="1"/>
        <v>Augusto</v>
      </c>
      <c r="H746" s="46" t="s">
        <v>107</v>
      </c>
      <c r="I746" s="46" t="s">
        <v>24</v>
      </c>
      <c r="J746" s="44" t="str">
        <f t="shared" si="12"/>
        <v>Não</v>
      </c>
      <c r="K746" s="47">
        <v>45065.0</v>
      </c>
      <c r="L746" s="44"/>
      <c r="M746" s="45" t="s">
        <v>190</v>
      </c>
      <c r="N746" s="117">
        <v>0.025</v>
      </c>
      <c r="O746" s="45" t="s">
        <v>191</v>
      </c>
      <c r="P746" s="118">
        <v>0.2</v>
      </c>
      <c r="Q746" s="60"/>
      <c r="R746" s="50"/>
      <c r="S746" s="45" t="s">
        <v>108</v>
      </c>
      <c r="T746" s="24" t="s">
        <v>2487</v>
      </c>
      <c r="U746" s="9" t="s">
        <v>180</v>
      </c>
      <c r="V746" s="51" t="str">
        <f t="shared" si="8"/>
        <v>Ativo</v>
      </c>
      <c r="W746" s="45"/>
      <c r="X746" s="52" t="s">
        <v>110</v>
      </c>
      <c r="Y746" s="54"/>
      <c r="Z746" s="54"/>
      <c r="AA746" s="54"/>
      <c r="AB746" s="54"/>
      <c r="AC746" s="54"/>
      <c r="AD746" s="54"/>
      <c r="AE746" s="54">
        <v>0.0</v>
      </c>
      <c r="AF746" s="54">
        <v>0.0</v>
      </c>
      <c r="AG746" s="54">
        <v>36143.78</v>
      </c>
      <c r="AH746" s="54">
        <v>149606.67</v>
      </c>
      <c r="AI746" s="54">
        <v>196044.31</v>
      </c>
      <c r="AJ746" s="54">
        <v>200551.99</v>
      </c>
      <c r="AK746" s="54">
        <v>200139.34</v>
      </c>
      <c r="AL746" s="54">
        <v>191279.63</v>
      </c>
      <c r="AM746" s="54">
        <v>205527.0</v>
      </c>
      <c r="AN746" s="54">
        <v>215348.53</v>
      </c>
      <c r="AO746" s="54">
        <v>200476.15</v>
      </c>
      <c r="AP746" s="53">
        <v>203263.17</v>
      </c>
      <c r="AQ746" s="53">
        <v>206222.73</v>
      </c>
      <c r="AR746" s="53">
        <v>197992.05</v>
      </c>
      <c r="AS746" s="53">
        <v>192081.4</v>
      </c>
      <c r="AT746" s="53">
        <v>192412.9</v>
      </c>
      <c r="AU746" s="53">
        <f t="array" ref="AU746">XLOOKUP(C746,'PL TOTAL D0'!A:A,'PL TOTAL D0'!C:C,"")</f>
        <v>200897.9</v>
      </c>
    </row>
    <row r="747" ht="15.75" customHeight="1">
      <c r="A747" s="41" t="s">
        <v>43</v>
      </c>
      <c r="B747" s="239" t="s">
        <v>2484</v>
      </c>
      <c r="C747" s="250" t="s">
        <v>2489</v>
      </c>
      <c r="D747" s="44" t="s">
        <v>18</v>
      </c>
      <c r="E747" s="45" t="s">
        <v>176</v>
      </c>
      <c r="F747" s="44" t="s">
        <v>177</v>
      </c>
      <c r="G747" s="44" t="str">
        <f t="shared" si="1"/>
        <v>Breno</v>
      </c>
      <c r="H747" s="46" t="s">
        <v>107</v>
      </c>
      <c r="I747" s="46" t="s">
        <v>24</v>
      </c>
      <c r="J747" s="44" t="str">
        <f t="shared" si="12"/>
        <v>Não</v>
      </c>
      <c r="K747" s="47">
        <v>45008.0</v>
      </c>
      <c r="L747" s="44"/>
      <c r="M747" s="45" t="s">
        <v>55</v>
      </c>
      <c r="N747" s="117">
        <v>0.012</v>
      </c>
      <c r="O747" s="44" t="s">
        <v>24</v>
      </c>
      <c r="P747" s="49">
        <v>0.0</v>
      </c>
      <c r="Q747" s="60"/>
      <c r="R747" s="50"/>
      <c r="S747" s="45" t="s">
        <v>108</v>
      </c>
      <c r="T747" s="24" t="s">
        <v>2487</v>
      </c>
      <c r="U747" s="9" t="s">
        <v>180</v>
      </c>
      <c r="V747" s="51" t="str">
        <f t="shared" si="8"/>
        <v>Ativo</v>
      </c>
      <c r="W747" s="45"/>
      <c r="X747" s="52" t="s">
        <v>110</v>
      </c>
      <c r="Y747" s="54"/>
      <c r="Z747" s="54"/>
      <c r="AA747" s="54"/>
      <c r="AB747" s="54"/>
      <c r="AC747" s="54"/>
      <c r="AD747" s="54"/>
      <c r="AE747" s="54">
        <v>521621.68</v>
      </c>
      <c r="AF747" s="54">
        <v>532518.37</v>
      </c>
      <c r="AG747" s="54">
        <v>507006.42</v>
      </c>
      <c r="AH747" s="54">
        <v>431627.77</v>
      </c>
      <c r="AI747" s="54">
        <v>435468.55</v>
      </c>
      <c r="AJ747" s="54">
        <v>439899.37</v>
      </c>
      <c r="AK747" s="54">
        <v>442964.55</v>
      </c>
      <c r="AL747" s="54">
        <v>446342.96</v>
      </c>
      <c r="AM747" s="54">
        <v>449986.5</v>
      </c>
      <c r="AN747" s="54">
        <v>453760.24</v>
      </c>
      <c r="AO747" s="54">
        <v>457488.96</v>
      </c>
      <c r="AP747" s="53">
        <v>456700.32</v>
      </c>
      <c r="AQ747" s="53">
        <v>460657.48</v>
      </c>
      <c r="AR747" s="53">
        <v>462071.8</v>
      </c>
      <c r="AS747" s="53">
        <v>463926.1</v>
      </c>
      <c r="AT747" s="53">
        <v>467784.5</v>
      </c>
      <c r="AU747" s="53">
        <f t="array" ref="AU747">XLOOKUP(C747,'PL TOTAL D0'!A:A,'PL TOTAL D0'!C:C,"")</f>
        <v>468252.1</v>
      </c>
    </row>
    <row r="748" ht="15.75" customHeight="1">
      <c r="A748" s="41" t="s">
        <v>43</v>
      </c>
      <c r="B748" s="239" t="s">
        <v>2490</v>
      </c>
      <c r="C748" s="250" t="s">
        <v>2491</v>
      </c>
      <c r="D748" s="44" t="s">
        <v>18</v>
      </c>
      <c r="E748" s="45" t="s">
        <v>19</v>
      </c>
      <c r="F748" s="44" t="s">
        <v>20</v>
      </c>
      <c r="G748" s="44" t="str">
        <f t="shared" si="1"/>
        <v>Breno</v>
      </c>
      <c r="H748" s="46" t="s">
        <v>107</v>
      </c>
      <c r="I748" s="46" t="s">
        <v>24</v>
      </c>
      <c r="J748" s="44" t="str">
        <f t="shared" si="12"/>
        <v>Não</v>
      </c>
      <c r="K748" s="47">
        <v>44952.0</v>
      </c>
      <c r="L748" s="44"/>
      <c r="M748" s="45" t="s">
        <v>55</v>
      </c>
      <c r="N748" s="117">
        <v>0.012</v>
      </c>
      <c r="O748" s="44" t="s">
        <v>24</v>
      </c>
      <c r="P748" s="49">
        <v>0.0</v>
      </c>
      <c r="Q748" s="41"/>
      <c r="R748" s="60" t="s">
        <v>2492</v>
      </c>
      <c r="S748" s="45" t="s">
        <v>108</v>
      </c>
      <c r="T748" s="24" t="s">
        <v>2493</v>
      </c>
      <c r="U748" s="9" t="s">
        <v>19</v>
      </c>
      <c r="V748" s="51" t="str">
        <f t="shared" si="8"/>
        <v>Ativo</v>
      </c>
      <c r="W748" s="45"/>
      <c r="X748" s="52" t="s">
        <v>119</v>
      </c>
      <c r="Y748" s="54"/>
      <c r="Z748" s="54"/>
      <c r="AA748" s="54"/>
      <c r="AB748" s="54"/>
      <c r="AC748" s="54">
        <v>579196.03</v>
      </c>
      <c r="AD748" s="54">
        <v>798318.68</v>
      </c>
      <c r="AE748" s="54">
        <v>807877.6</v>
      </c>
      <c r="AF748" s="54">
        <v>813726.89</v>
      </c>
      <c r="AG748" s="54">
        <v>887588.24</v>
      </c>
      <c r="AH748" s="54">
        <v>843575.38</v>
      </c>
      <c r="AI748" s="54">
        <v>832895.88</v>
      </c>
      <c r="AJ748" s="54">
        <v>839324.22</v>
      </c>
      <c r="AK748" s="54">
        <v>793669.27</v>
      </c>
      <c r="AL748" s="54">
        <v>798873.52</v>
      </c>
      <c r="AM748" s="54">
        <v>804218.39</v>
      </c>
      <c r="AN748" s="54">
        <v>799945.06</v>
      </c>
      <c r="AO748" s="54">
        <v>806505.87</v>
      </c>
      <c r="AP748" s="53">
        <v>452576.47</v>
      </c>
      <c r="AQ748" s="53">
        <v>456589.58</v>
      </c>
      <c r="AR748" s="53">
        <v>428573.93</v>
      </c>
      <c r="AS748" s="53">
        <v>431991.8</v>
      </c>
      <c r="AT748" s="53">
        <v>435329.3</v>
      </c>
      <c r="AU748" s="53">
        <f t="array" ref="AU748">XLOOKUP(C748,'PL TOTAL D0'!A:A,'PL TOTAL D0'!C:C,"")</f>
        <v>436388.8</v>
      </c>
    </row>
    <row r="749" ht="15.75" customHeight="1">
      <c r="A749" s="41" t="s">
        <v>43</v>
      </c>
      <c r="B749" s="61" t="s">
        <v>2494</v>
      </c>
      <c r="C749" s="43" t="s">
        <v>2495</v>
      </c>
      <c r="D749" s="44" t="s">
        <v>18</v>
      </c>
      <c r="E749" s="45" t="s">
        <v>19</v>
      </c>
      <c r="F749" s="44" t="s">
        <v>256</v>
      </c>
      <c r="G749" s="44" t="str">
        <f t="shared" si="1"/>
        <v>Augusto</v>
      </c>
      <c r="H749" s="51" t="s">
        <v>147</v>
      </c>
      <c r="I749" s="51" t="s">
        <v>161</v>
      </c>
      <c r="J749" s="44" t="str">
        <f t="shared" si="12"/>
        <v>Não</v>
      </c>
      <c r="K749" s="47">
        <v>44986.0</v>
      </c>
      <c r="L749" s="45"/>
      <c r="M749" s="45" t="s">
        <v>55</v>
      </c>
      <c r="N749" s="48">
        <v>0.012</v>
      </c>
      <c r="O749" s="44" t="s">
        <v>24</v>
      </c>
      <c r="P749" s="49">
        <v>0.0</v>
      </c>
      <c r="Q749" s="50"/>
      <c r="R749" s="50"/>
      <c r="S749" s="45" t="s">
        <v>108</v>
      </c>
      <c r="T749" s="24" t="s">
        <v>2496</v>
      </c>
      <c r="U749" s="9" t="s">
        <v>19</v>
      </c>
      <c r="V749" s="51" t="str">
        <f t="shared" si="8"/>
        <v>Ativo</v>
      </c>
      <c r="W749" s="45"/>
      <c r="X749" s="52" t="s">
        <v>119</v>
      </c>
      <c r="Y749" s="54"/>
      <c r="Z749" s="54"/>
      <c r="AA749" s="54"/>
      <c r="AB749" s="54"/>
      <c r="AC749" s="54"/>
      <c r="AD749" s="54">
        <v>0.0</v>
      </c>
      <c r="AE749" s="54">
        <v>302924.14</v>
      </c>
      <c r="AF749" s="54">
        <v>305070.15</v>
      </c>
      <c r="AG749" s="54">
        <v>308282.0</v>
      </c>
      <c r="AH749" s="54">
        <v>277.8</v>
      </c>
      <c r="AI749" s="54">
        <v>14.67</v>
      </c>
      <c r="AJ749" s="54">
        <v>14.67</v>
      </c>
      <c r="AK749" s="54">
        <v>14.67</v>
      </c>
      <c r="AL749" s="54">
        <v>14.67</v>
      </c>
      <c r="AM749" s="54">
        <v>14.67</v>
      </c>
      <c r="AN749" s="54">
        <v>14.67</v>
      </c>
      <c r="AO749" s="54">
        <v>14.67</v>
      </c>
      <c r="AP749" s="53">
        <v>14.67</v>
      </c>
      <c r="AQ749" s="53">
        <v>14.67</v>
      </c>
      <c r="AR749" s="53">
        <v>14.67</v>
      </c>
      <c r="AS749" s="53">
        <v>14.67</v>
      </c>
      <c r="AT749" s="53">
        <v>14.67</v>
      </c>
      <c r="AU749" s="53">
        <f t="array" ref="AU749">XLOOKUP(C749,'PL TOTAL D0'!A:A,'PL TOTAL D0'!C:C,"")</f>
        <v>14.67</v>
      </c>
    </row>
    <row r="750" ht="15.75" customHeight="1">
      <c r="A750" s="6" t="s">
        <v>43</v>
      </c>
      <c r="B750" s="55" t="s">
        <v>2497</v>
      </c>
      <c r="C750" s="56" t="s">
        <v>2498</v>
      </c>
      <c r="D750" s="9" t="s">
        <v>105</v>
      </c>
      <c r="E750" s="24" t="s">
        <v>29</v>
      </c>
      <c r="F750" s="9" t="s">
        <v>106</v>
      </c>
      <c r="G750" s="44" t="str">
        <f t="shared" si="1"/>
        <v>Augusto</v>
      </c>
      <c r="H750" s="51" t="s">
        <v>107</v>
      </c>
      <c r="I750" s="51" t="s">
        <v>24</v>
      </c>
      <c r="J750" s="44" t="str">
        <f t="shared" si="12"/>
        <v>Não</v>
      </c>
      <c r="K750" s="57">
        <v>45315.0</v>
      </c>
      <c r="L750" s="45"/>
      <c r="M750" s="24" t="s">
        <v>47</v>
      </c>
      <c r="N750" s="58">
        <v>0.015</v>
      </c>
      <c r="O750" s="9" t="s">
        <v>48</v>
      </c>
      <c r="P750" s="59">
        <v>0.1</v>
      </c>
      <c r="Q750" s="50"/>
      <c r="R750" s="50"/>
      <c r="S750" s="24" t="s">
        <v>108</v>
      </c>
      <c r="T750" s="24" t="s">
        <v>2499</v>
      </c>
      <c r="U750" s="9" t="s">
        <v>29</v>
      </c>
      <c r="V750" s="51" t="str">
        <f t="shared" si="8"/>
        <v>Ativo</v>
      </c>
      <c r="W750" s="45"/>
      <c r="X750" s="52" t="s">
        <v>119</v>
      </c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>
        <v>249493.29</v>
      </c>
      <c r="AP750" s="53">
        <v>252033.87</v>
      </c>
      <c r="AQ750" s="53">
        <v>254560.55</v>
      </c>
      <c r="AR750" s="53">
        <v>252704.25</v>
      </c>
      <c r="AS750" s="53">
        <v>251759.9</v>
      </c>
      <c r="AT750" s="53">
        <v>253263.5</v>
      </c>
      <c r="AU750" s="53">
        <f t="array" ref="AU750">XLOOKUP(C750,'PL TOTAL D0'!A:A,'PL TOTAL D0'!C:C,"")</f>
        <v>226733.2</v>
      </c>
    </row>
    <row r="751" ht="16.5" customHeight="1">
      <c r="A751" s="41" t="s">
        <v>43</v>
      </c>
      <c r="B751" s="66" t="s">
        <v>2500</v>
      </c>
      <c r="C751" s="67" t="s">
        <v>2501</v>
      </c>
      <c r="D751" s="44" t="s">
        <v>18</v>
      </c>
      <c r="E751" s="45" t="s">
        <v>29</v>
      </c>
      <c r="F751" s="44" t="s">
        <v>60</v>
      </c>
      <c r="G751" s="44" t="str">
        <f t="shared" si="1"/>
        <v>Augusto</v>
      </c>
      <c r="H751" s="46" t="s">
        <v>107</v>
      </c>
      <c r="I751" s="46" t="s">
        <v>24</v>
      </c>
      <c r="J751" s="44" t="str">
        <f t="shared" si="12"/>
        <v>Não</v>
      </c>
      <c r="K751" s="47">
        <v>45182.0</v>
      </c>
      <c r="L751" s="45"/>
      <c r="M751" s="45" t="s">
        <v>55</v>
      </c>
      <c r="N751" s="48">
        <v>0.012</v>
      </c>
      <c r="O751" s="44" t="s">
        <v>24</v>
      </c>
      <c r="P751" s="49">
        <v>0.0</v>
      </c>
      <c r="Q751" s="50"/>
      <c r="R751" s="50"/>
      <c r="S751" s="45" t="s">
        <v>108</v>
      </c>
      <c r="T751" s="24" t="s">
        <v>2502</v>
      </c>
      <c r="U751" s="9" t="s">
        <v>29</v>
      </c>
      <c r="V751" s="51" t="str">
        <f t="shared" si="8"/>
        <v>Ativo</v>
      </c>
      <c r="W751" s="45"/>
      <c r="X751" s="52" t="s">
        <v>119</v>
      </c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>
        <v>131676.6</v>
      </c>
      <c r="AL751" s="54">
        <v>142546.85</v>
      </c>
      <c r="AM751" s="54">
        <v>144758.67</v>
      </c>
      <c r="AN751" s="54">
        <v>146016.86</v>
      </c>
      <c r="AO751" s="54">
        <v>147259.55</v>
      </c>
      <c r="AP751" s="53">
        <v>148387.2</v>
      </c>
      <c r="AQ751" s="53">
        <v>149376.34</v>
      </c>
      <c r="AR751" s="53">
        <v>150548.75</v>
      </c>
      <c r="AS751" s="53">
        <v>151824.5</v>
      </c>
      <c r="AT751" s="53">
        <v>153021.3</v>
      </c>
      <c r="AU751" s="53">
        <f t="array" ref="AU751">XLOOKUP(C751,'PL TOTAL D0'!A:A,'PL TOTAL D0'!C:C,"")</f>
        <v>160061.8</v>
      </c>
    </row>
    <row r="752" ht="16.5" customHeight="1">
      <c r="A752" s="41" t="s">
        <v>43</v>
      </c>
      <c r="B752" s="42" t="s">
        <v>2503</v>
      </c>
      <c r="C752" s="43" t="s">
        <v>2504</v>
      </c>
      <c r="D752" s="44" t="s">
        <v>18</v>
      </c>
      <c r="E752" s="45" t="s">
        <v>29</v>
      </c>
      <c r="F752" s="44" t="s">
        <v>78</v>
      </c>
      <c r="G752" s="44" t="str">
        <f t="shared" si="1"/>
        <v>#N/A</v>
      </c>
      <c r="H752" s="51" t="s">
        <v>186</v>
      </c>
      <c r="I752" s="51" t="s">
        <v>24</v>
      </c>
      <c r="J752" s="44" t="str">
        <f t="shared" si="12"/>
        <v>Não</v>
      </c>
      <c r="K752" s="47">
        <v>45051.0</v>
      </c>
      <c r="L752" s="68">
        <v>45449.0</v>
      </c>
      <c r="M752" s="45" t="s">
        <v>55</v>
      </c>
      <c r="N752" s="48">
        <v>0.01</v>
      </c>
      <c r="O752" s="44" t="s">
        <v>24</v>
      </c>
      <c r="P752" s="49">
        <v>0.0</v>
      </c>
      <c r="Q752" s="50"/>
      <c r="R752" s="60" t="s">
        <v>239</v>
      </c>
      <c r="S752" s="45" t="s">
        <v>108</v>
      </c>
      <c r="T752" s="24" t="s">
        <v>2505</v>
      </c>
      <c r="U752" s="9" t="s">
        <v>152</v>
      </c>
      <c r="V752" s="51" t="str">
        <f t="shared" si="8"/>
        <v>Encerrado</v>
      </c>
      <c r="W752" s="45"/>
      <c r="X752" s="52" t="s">
        <v>110</v>
      </c>
      <c r="Y752" s="54"/>
      <c r="Z752" s="54"/>
      <c r="AA752" s="54"/>
      <c r="AB752" s="54"/>
      <c r="AC752" s="54"/>
      <c r="AD752" s="54"/>
      <c r="AE752" s="54"/>
      <c r="AF752" s="54">
        <v>1689189.64</v>
      </c>
      <c r="AG752" s="54">
        <v>1696169.83</v>
      </c>
      <c r="AH752" s="54">
        <v>1715562.2</v>
      </c>
      <c r="AI752" s="54">
        <v>1374140.03</v>
      </c>
      <c r="AJ752" s="54">
        <v>0.0</v>
      </c>
      <c r="AK752" s="54">
        <v>0.0</v>
      </c>
      <c r="AL752" s="54">
        <v>0.0</v>
      </c>
      <c r="AM752" s="54">
        <v>0.0</v>
      </c>
      <c r="AN752" s="54">
        <v>0.0</v>
      </c>
      <c r="AO752" s="54">
        <v>0.0</v>
      </c>
      <c r="AP752" s="53">
        <v>0.0</v>
      </c>
      <c r="AQ752" s="53">
        <v>0.0</v>
      </c>
      <c r="AR752" s="53">
        <v>0.0</v>
      </c>
      <c r="AS752" s="53">
        <v>0.0</v>
      </c>
      <c r="AT752" s="53">
        <v>0.0</v>
      </c>
      <c r="AU752" s="53" t="str">
        <f t="array" ref="AU752">XLOOKUP(C752,'PL TOTAL D0'!A:A,'PL TOTAL D0'!C:C,"")</f>
        <v/>
      </c>
    </row>
    <row r="753" ht="16.5" customHeight="1">
      <c r="A753" s="6" t="s">
        <v>43</v>
      </c>
      <c r="B753" s="55" t="s">
        <v>2506</v>
      </c>
      <c r="C753" s="7" t="s">
        <v>2507</v>
      </c>
      <c r="D753" s="9" t="s">
        <v>105</v>
      </c>
      <c r="E753" s="24" t="s">
        <v>29</v>
      </c>
      <c r="F753" s="9" t="s">
        <v>106</v>
      </c>
      <c r="G753" s="44" t="str">
        <f t="shared" si="1"/>
        <v>Breno</v>
      </c>
      <c r="H753" s="51" t="s">
        <v>147</v>
      </c>
      <c r="I753" s="51" t="s">
        <v>148</v>
      </c>
      <c r="J753" s="44" t="str">
        <f t="shared" si="12"/>
        <v>Não</v>
      </c>
      <c r="K753" s="57">
        <v>45359.0</v>
      </c>
      <c r="L753" s="45"/>
      <c r="M753" s="24" t="s">
        <v>149</v>
      </c>
      <c r="N753" s="58">
        <v>0.0</v>
      </c>
      <c r="O753" s="9" t="s">
        <v>24</v>
      </c>
      <c r="P753" s="59">
        <v>0.0</v>
      </c>
      <c r="Q753" s="50"/>
      <c r="R753" s="50"/>
      <c r="S753" s="24" t="s">
        <v>108</v>
      </c>
      <c r="T753" s="5" t="s">
        <v>2508</v>
      </c>
      <c r="U753" s="9" t="s">
        <v>34</v>
      </c>
      <c r="V753" s="51" t="str">
        <f t="shared" si="8"/>
        <v>Ativo</v>
      </c>
      <c r="W753" s="45"/>
      <c r="X753" s="52" t="s">
        <v>110</v>
      </c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3"/>
      <c r="AQ753" s="53">
        <v>536257.18</v>
      </c>
      <c r="AR753" s="53">
        <v>560300.31</v>
      </c>
      <c r="AS753" s="53">
        <v>564711.3</v>
      </c>
      <c r="AT753" s="53">
        <v>563857.4</v>
      </c>
      <c r="AU753" s="53">
        <f t="array" ref="AU753">XLOOKUP(C753,'PL TOTAL D0'!A:A,'PL TOTAL D0'!C:C,"")</f>
        <v>590350.2</v>
      </c>
    </row>
    <row r="754" ht="15.75" customHeight="1">
      <c r="A754" s="41" t="s">
        <v>43</v>
      </c>
      <c r="B754" s="115" t="s">
        <v>2509</v>
      </c>
      <c r="C754" s="43" t="s">
        <v>2510</v>
      </c>
      <c r="D754" s="44" t="s">
        <v>18</v>
      </c>
      <c r="E754" s="45" t="s">
        <v>19</v>
      </c>
      <c r="F754" s="44" t="s">
        <v>20</v>
      </c>
      <c r="G754" s="44" t="str">
        <f t="shared" si="1"/>
        <v>Augusto</v>
      </c>
      <c r="H754" s="51" t="s">
        <v>147</v>
      </c>
      <c r="I754" s="51" t="s">
        <v>219</v>
      </c>
      <c r="J754" s="44" t="str">
        <f t="shared" si="12"/>
        <v>Não</v>
      </c>
      <c r="K754" s="47">
        <v>44992.0</v>
      </c>
      <c r="L754" s="45"/>
      <c r="M754" s="45" t="s">
        <v>55</v>
      </c>
      <c r="N754" s="48">
        <v>0.01</v>
      </c>
      <c r="O754" s="44" t="s">
        <v>24</v>
      </c>
      <c r="P754" s="49">
        <v>0.0</v>
      </c>
      <c r="Q754" s="50"/>
      <c r="R754" s="50"/>
      <c r="S754" s="45" t="s">
        <v>108</v>
      </c>
      <c r="T754" s="24" t="s">
        <v>2511</v>
      </c>
      <c r="U754" s="9" t="s">
        <v>19</v>
      </c>
      <c r="V754" s="51" t="str">
        <f t="shared" si="8"/>
        <v>Ativo</v>
      </c>
      <c r="W754" s="45"/>
      <c r="X754" s="52" t="s">
        <v>110</v>
      </c>
      <c r="Y754" s="54"/>
      <c r="Z754" s="54"/>
      <c r="AA754" s="54"/>
      <c r="AB754" s="54"/>
      <c r="AC754" s="54"/>
      <c r="AD754" s="54">
        <v>68740.04</v>
      </c>
      <c r="AE754" s="54">
        <v>69255.53</v>
      </c>
      <c r="AF754" s="54">
        <v>69786.2</v>
      </c>
      <c r="AG754" s="54">
        <v>70572.13</v>
      </c>
      <c r="AH754" s="54">
        <v>71251.35</v>
      </c>
      <c r="AI754" s="54">
        <v>61652.23</v>
      </c>
      <c r="AJ754" s="54">
        <v>62276.69</v>
      </c>
      <c r="AK754" s="54">
        <v>62797.85</v>
      </c>
      <c r="AL754" s="54">
        <v>63368.38</v>
      </c>
      <c r="AM754" s="54">
        <v>63801.15</v>
      </c>
      <c r="AN754" s="54">
        <v>64203.2</v>
      </c>
      <c r="AO754" s="54">
        <v>64745.13</v>
      </c>
      <c r="AP754" s="53">
        <v>65189.27</v>
      </c>
      <c r="AQ754" s="53">
        <v>65158.14</v>
      </c>
      <c r="AR754" s="53">
        <v>65720.44</v>
      </c>
      <c r="AS754" s="53">
        <v>0.0</v>
      </c>
      <c r="AT754" s="53">
        <v>20.89</v>
      </c>
      <c r="AU754" s="53">
        <f t="array" ref="AU754">XLOOKUP(C754,'PL TOTAL D0'!A:A,'PL TOTAL D0'!C:C,"")</f>
        <v>20.89</v>
      </c>
    </row>
    <row r="755" ht="15.75" customHeight="1">
      <c r="A755" s="253" t="s">
        <v>43</v>
      </c>
      <c r="B755" s="254" t="s">
        <v>2512</v>
      </c>
      <c r="C755" s="255" t="s">
        <v>2513</v>
      </c>
      <c r="D755" s="256" t="s">
        <v>18</v>
      </c>
      <c r="E755" s="257" t="s">
        <v>29</v>
      </c>
      <c r="F755" s="256" t="s">
        <v>60</v>
      </c>
      <c r="G755" s="44" t="str">
        <f t="shared" si="1"/>
        <v>Augusto</v>
      </c>
      <c r="H755" s="258" t="s">
        <v>147</v>
      </c>
      <c r="I755" s="258" t="s">
        <v>219</v>
      </c>
      <c r="J755" s="44" t="str">
        <f t="shared" si="12"/>
        <v>Não</v>
      </c>
      <c r="K755" s="259">
        <v>44894.0</v>
      </c>
      <c r="L755" s="257"/>
      <c r="M755" s="257" t="s">
        <v>389</v>
      </c>
      <c r="N755" s="260">
        <v>0.007</v>
      </c>
      <c r="O755" s="256" t="s">
        <v>24</v>
      </c>
      <c r="P755" s="261">
        <v>0.0</v>
      </c>
      <c r="Q755" s="50"/>
      <c r="R755" s="262"/>
      <c r="S755" s="257" t="s">
        <v>369</v>
      </c>
      <c r="T755" s="263" t="s">
        <v>2514</v>
      </c>
      <c r="U755" s="264" t="s">
        <v>152</v>
      </c>
      <c r="V755" s="51" t="str">
        <f t="shared" si="8"/>
        <v>Ativo</v>
      </c>
      <c r="W755" s="257"/>
      <c r="X755" s="265" t="s">
        <v>119</v>
      </c>
      <c r="Y755" s="266"/>
      <c r="Z755" s="266"/>
      <c r="AA755" s="266"/>
      <c r="AB755" s="266">
        <v>2655155.41</v>
      </c>
      <c r="AC755" s="266">
        <v>2675570.11</v>
      </c>
      <c r="AD755" s="266">
        <v>2699231.96</v>
      </c>
      <c r="AE755" s="266">
        <v>2728008.19</v>
      </c>
      <c r="AF755" s="266">
        <v>2738653.68</v>
      </c>
      <c r="AG755" s="266">
        <v>2770866.74</v>
      </c>
      <c r="AH755" s="266">
        <v>2798261.37</v>
      </c>
      <c r="AI755" s="266">
        <v>2825569.34</v>
      </c>
      <c r="AJ755" s="266">
        <v>2851375.93</v>
      </c>
      <c r="AK755" s="266">
        <v>2873474.15</v>
      </c>
      <c r="AL755" s="266">
        <v>2892360.45</v>
      </c>
      <c r="AM755" s="266">
        <v>360671.84</v>
      </c>
      <c r="AN755" s="266">
        <v>362643.08</v>
      </c>
      <c r="AO755" s="266">
        <v>220.0</v>
      </c>
      <c r="AP755" s="53">
        <v>170.04</v>
      </c>
      <c r="AQ755" s="53">
        <v>170.67</v>
      </c>
      <c r="AR755" s="53">
        <v>172.16</v>
      </c>
      <c r="AS755" s="53">
        <v>173.05</v>
      </c>
      <c r="AT755" s="53">
        <v>174.41</v>
      </c>
      <c r="AU755" s="53">
        <f t="array" ref="AU755">XLOOKUP(C755,'PL TOTAL D0'!A:A,'PL TOTAL D0'!C:C,"")</f>
        <v>175.09</v>
      </c>
    </row>
    <row r="756" ht="15.75" customHeight="1">
      <c r="A756" s="267" t="s">
        <v>43</v>
      </c>
      <c r="B756" s="64" t="s">
        <v>2515</v>
      </c>
      <c r="C756" s="65" t="s">
        <v>2516</v>
      </c>
      <c r="D756" s="264" t="s">
        <v>52</v>
      </c>
      <c r="E756" s="263" t="s">
        <v>19</v>
      </c>
      <c r="F756" s="9" t="s">
        <v>53</v>
      </c>
      <c r="G756" s="44" t="str">
        <f t="shared" si="1"/>
        <v>Augusto</v>
      </c>
      <c r="H756" s="258" t="s">
        <v>107</v>
      </c>
      <c r="I756" s="258" t="s">
        <v>24</v>
      </c>
      <c r="J756" s="44" t="str">
        <f t="shared" si="12"/>
        <v>Não</v>
      </c>
      <c r="K756" s="268">
        <v>45376.0</v>
      </c>
      <c r="L756" s="257"/>
      <c r="M756" s="263" t="s">
        <v>55</v>
      </c>
      <c r="N756" s="269">
        <v>0.012</v>
      </c>
      <c r="O756" s="264" t="s">
        <v>24</v>
      </c>
      <c r="P756" s="270">
        <v>0.0</v>
      </c>
      <c r="Q756" s="50"/>
      <c r="R756" s="262"/>
      <c r="S756" s="263" t="s">
        <v>108</v>
      </c>
      <c r="T756" s="5" t="s">
        <v>2517</v>
      </c>
      <c r="U756" s="264" t="s">
        <v>19</v>
      </c>
      <c r="V756" s="51" t="str">
        <f t="shared" si="8"/>
        <v>Ativo</v>
      </c>
      <c r="W756" s="257"/>
      <c r="X756" s="265"/>
      <c r="Y756" s="266"/>
      <c r="Z756" s="266"/>
      <c r="AA756" s="266"/>
      <c r="AB756" s="266"/>
      <c r="AC756" s="266"/>
      <c r="AD756" s="266"/>
      <c r="AE756" s="266"/>
      <c r="AF756" s="266"/>
      <c r="AG756" s="266"/>
      <c r="AH756" s="266"/>
      <c r="AI756" s="266"/>
      <c r="AJ756" s="266"/>
      <c r="AK756" s="266"/>
      <c r="AL756" s="266"/>
      <c r="AM756" s="266"/>
      <c r="AN756" s="266"/>
      <c r="AO756" s="266"/>
      <c r="AP756" s="53"/>
      <c r="AQ756" s="53">
        <v>0.0</v>
      </c>
      <c r="AR756" s="53">
        <v>201422.5</v>
      </c>
      <c r="AS756" s="53">
        <v>203080.1</v>
      </c>
      <c r="AT756" s="53">
        <v>204808.8</v>
      </c>
      <c r="AU756" s="53">
        <f t="array" ref="AU756">XLOOKUP(C756,'PL TOTAL D0'!A:A,'PL TOTAL D0'!C:C,"")</f>
        <v>205486.7</v>
      </c>
    </row>
    <row r="757" ht="15.75" customHeight="1">
      <c r="A757" s="41" t="s">
        <v>43</v>
      </c>
      <c r="B757" s="239" t="s">
        <v>2518</v>
      </c>
      <c r="C757" s="271" t="s">
        <v>2519</v>
      </c>
      <c r="D757" s="44" t="s">
        <v>18</v>
      </c>
      <c r="E757" s="45" t="s">
        <v>176</v>
      </c>
      <c r="F757" s="44" t="s">
        <v>197</v>
      </c>
      <c r="G757" s="44" t="str">
        <f t="shared" si="1"/>
        <v>Augusto</v>
      </c>
      <c r="H757" s="46" t="s">
        <v>107</v>
      </c>
      <c r="I757" s="46" t="s">
        <v>24</v>
      </c>
      <c r="J757" s="44" t="str">
        <f t="shared" si="12"/>
        <v>Não</v>
      </c>
      <c r="K757" s="47">
        <v>45159.0</v>
      </c>
      <c r="L757" s="62"/>
      <c r="M757" s="45" t="s">
        <v>55</v>
      </c>
      <c r="N757" s="48">
        <v>0.012</v>
      </c>
      <c r="O757" s="44" t="s">
        <v>24</v>
      </c>
      <c r="P757" s="49">
        <v>0.0</v>
      </c>
      <c r="Q757" s="74"/>
      <c r="R757" s="60" t="s">
        <v>2520</v>
      </c>
      <c r="S757" s="45" t="s">
        <v>108</v>
      </c>
      <c r="T757" s="24" t="s">
        <v>2521</v>
      </c>
      <c r="U757" s="9" t="s">
        <v>180</v>
      </c>
      <c r="V757" s="51" t="str">
        <f t="shared" si="8"/>
        <v>Ativo</v>
      </c>
      <c r="W757" s="45"/>
      <c r="X757" s="52" t="s">
        <v>110</v>
      </c>
      <c r="Y757" s="54"/>
      <c r="Z757" s="54"/>
      <c r="AA757" s="54"/>
      <c r="AB757" s="54"/>
      <c r="AC757" s="54"/>
      <c r="AD757" s="54"/>
      <c r="AE757" s="54"/>
      <c r="AF757" s="54">
        <v>0.0</v>
      </c>
      <c r="AG757" s="54">
        <v>0.0</v>
      </c>
      <c r="AH757" s="54">
        <v>0.0</v>
      </c>
      <c r="AI757" s="54">
        <v>0.0</v>
      </c>
      <c r="AJ757" s="54">
        <v>211510.28</v>
      </c>
      <c r="AK757" s="54">
        <v>213108.31</v>
      </c>
      <c r="AL757" s="54">
        <v>214818.17</v>
      </c>
      <c r="AM757" s="54">
        <v>233600.15</v>
      </c>
      <c r="AN757" s="54">
        <v>234755.16</v>
      </c>
      <c r="AO757" s="54">
        <v>236867.04</v>
      </c>
      <c r="AP757" s="53">
        <v>238650.84</v>
      </c>
      <c r="AQ757" s="53">
        <v>240282.31</v>
      </c>
      <c r="AR757" s="53">
        <v>242157.27</v>
      </c>
      <c r="AS757" s="53">
        <v>244070.6</v>
      </c>
      <c r="AT757" s="53">
        <v>245977.1</v>
      </c>
      <c r="AU757" s="53">
        <f t="array" ref="AU757">XLOOKUP(C757,'PL TOTAL D0'!A:A,'PL TOTAL D0'!C:C,"")</f>
        <v>246779.2</v>
      </c>
    </row>
    <row r="758" ht="15.75" customHeight="1">
      <c r="A758" s="41" t="s">
        <v>43</v>
      </c>
      <c r="B758" s="64" t="s">
        <v>2522</v>
      </c>
      <c r="C758" s="65" t="s">
        <v>2523</v>
      </c>
      <c r="D758" s="9" t="s">
        <v>70</v>
      </c>
      <c r="E758" s="24" t="s">
        <v>29</v>
      </c>
      <c r="F758" s="9" t="s">
        <v>309</v>
      </c>
      <c r="G758" s="44" t="str">
        <f t="shared" si="1"/>
        <v>Augusto</v>
      </c>
      <c r="H758" s="51" t="s">
        <v>107</v>
      </c>
      <c r="I758" s="51" t="s">
        <v>24</v>
      </c>
      <c r="J758" s="44" t="str">
        <f t="shared" si="12"/>
        <v>Sim</v>
      </c>
      <c r="K758" s="57">
        <v>45407.0</v>
      </c>
      <c r="L758" s="62"/>
      <c r="M758" s="45" t="s">
        <v>55</v>
      </c>
      <c r="N758" s="48">
        <v>0.012</v>
      </c>
      <c r="O758" s="44" t="s">
        <v>24</v>
      </c>
      <c r="P758" s="49">
        <v>0.0</v>
      </c>
      <c r="Q758" s="15" t="s">
        <v>2524</v>
      </c>
      <c r="R758" s="60"/>
      <c r="S758" s="24" t="s">
        <v>108</v>
      </c>
      <c r="T758" s="5" t="s">
        <v>2525</v>
      </c>
      <c r="U758" s="9" t="s">
        <v>29</v>
      </c>
      <c r="V758" s="51" t="str">
        <f t="shared" si="8"/>
        <v>Ativo</v>
      </c>
      <c r="W758" s="24" t="s">
        <v>67</v>
      </c>
      <c r="X758" s="52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3"/>
      <c r="AQ758" s="53"/>
      <c r="AR758" s="53">
        <v>130756.33</v>
      </c>
      <c r="AS758" s="53">
        <v>131987.1</v>
      </c>
      <c r="AT758" s="53">
        <v>132528.1</v>
      </c>
      <c r="AU758" s="53">
        <f t="array" ref="AU758">XLOOKUP(C758,'PL TOTAL D0'!A:A,'PL TOTAL D0'!C:C,"")</f>
        <v>132898</v>
      </c>
    </row>
    <row r="759" ht="15.75" customHeight="1">
      <c r="A759" s="41" t="s">
        <v>43</v>
      </c>
      <c r="B759" s="64" t="s">
        <v>2526</v>
      </c>
      <c r="C759" s="65" t="s">
        <v>2527</v>
      </c>
      <c r="D759" s="9" t="s">
        <v>1279</v>
      </c>
      <c r="E759" s="24" t="s">
        <v>176</v>
      </c>
      <c r="F759" s="9" t="s">
        <v>2528</v>
      </c>
      <c r="G759" s="44" t="str">
        <f t="shared" si="1"/>
        <v>Augusto</v>
      </c>
      <c r="H759" s="51" t="s">
        <v>107</v>
      </c>
      <c r="I759" s="51" t="s">
        <v>24</v>
      </c>
      <c r="J759" s="44" t="str">
        <f t="shared" si="12"/>
        <v>Não</v>
      </c>
      <c r="K759" s="57">
        <v>45421.0</v>
      </c>
      <c r="L759" s="62"/>
      <c r="M759" s="24" t="s">
        <v>55</v>
      </c>
      <c r="N759" s="58">
        <v>0.012</v>
      </c>
      <c r="O759" s="9" t="s">
        <v>24</v>
      </c>
      <c r="P759" s="59">
        <v>0.0</v>
      </c>
      <c r="Q759" s="15"/>
      <c r="R759" s="60"/>
      <c r="S759" s="24" t="s">
        <v>108</v>
      </c>
      <c r="T759" s="23" t="s">
        <v>2529</v>
      </c>
      <c r="U759" s="9" t="s">
        <v>34</v>
      </c>
      <c r="V759" s="51" t="str">
        <f t="shared" si="8"/>
        <v>Ativo</v>
      </c>
      <c r="W759" s="24" t="s">
        <v>75</v>
      </c>
      <c r="X759" s="52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3"/>
      <c r="AQ759" s="53"/>
      <c r="AR759" s="53"/>
      <c r="AS759" s="53">
        <v>100722.2</v>
      </c>
      <c r="AT759" s="53">
        <v>101684.2</v>
      </c>
      <c r="AU759" s="53">
        <f t="array" ref="AU759">XLOOKUP(C759,'PL TOTAL D0'!A:A,'PL TOTAL D0'!C:C,"")</f>
        <v>102095.6</v>
      </c>
    </row>
    <row r="760" ht="15.75" customHeight="1">
      <c r="A760" s="41" t="s">
        <v>43</v>
      </c>
      <c r="B760" s="64" t="s">
        <v>2530</v>
      </c>
      <c r="C760" s="65" t="s">
        <v>2531</v>
      </c>
      <c r="D760" s="9" t="s">
        <v>18</v>
      </c>
      <c r="E760" s="24" t="s">
        <v>29</v>
      </c>
      <c r="F760" s="9" t="s">
        <v>632</v>
      </c>
      <c r="G760" s="44" t="str">
        <f t="shared" si="1"/>
        <v>Augusto</v>
      </c>
      <c r="H760" s="51" t="s">
        <v>147</v>
      </c>
      <c r="I760" s="51" t="s">
        <v>148</v>
      </c>
      <c r="J760" s="44" t="str">
        <f t="shared" si="12"/>
        <v>Não</v>
      </c>
      <c r="K760" s="57">
        <v>45394.0</v>
      </c>
      <c r="L760" s="62"/>
      <c r="M760" s="24" t="s">
        <v>149</v>
      </c>
      <c r="N760" s="58">
        <v>0.0</v>
      </c>
      <c r="O760" s="9" t="s">
        <v>24</v>
      </c>
      <c r="P760" s="59">
        <v>0.0</v>
      </c>
      <c r="Q760" s="73"/>
      <c r="R760" s="60"/>
      <c r="S760" s="24" t="s">
        <v>108</v>
      </c>
      <c r="T760" s="5" t="s">
        <v>2532</v>
      </c>
      <c r="U760" s="9" t="s">
        <v>1497</v>
      </c>
      <c r="V760" s="51" t="str">
        <f t="shared" si="8"/>
        <v>Ativo</v>
      </c>
      <c r="W760" s="24" t="s">
        <v>75</v>
      </c>
      <c r="X760" s="52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3"/>
      <c r="AQ760" s="53"/>
      <c r="AR760" s="53">
        <v>40169.61</v>
      </c>
      <c r="AS760" s="53">
        <v>45573.03</v>
      </c>
      <c r="AT760" s="53">
        <v>51030.45</v>
      </c>
      <c r="AU760" s="53">
        <f t="array" ref="AU760">XLOOKUP(C760,'PL TOTAL D0'!A:A,'PL TOTAL D0'!C:C,"")</f>
        <v>61283.31</v>
      </c>
    </row>
    <row r="761" ht="15.75" customHeight="1">
      <c r="A761" s="272"/>
      <c r="B761" s="272"/>
      <c r="C761" s="75"/>
      <c r="D761" s="273"/>
      <c r="E761" s="273"/>
      <c r="F761" s="274"/>
      <c r="G761" s="274"/>
      <c r="H761" s="275"/>
      <c r="I761" s="276"/>
      <c r="J761" s="275"/>
      <c r="K761" s="277"/>
      <c r="L761" s="277"/>
      <c r="M761" s="274"/>
      <c r="N761" s="278"/>
      <c r="O761" s="278"/>
      <c r="P761" s="279"/>
      <c r="Q761" s="181"/>
      <c r="R761" s="181"/>
      <c r="S761" s="274"/>
      <c r="T761" s="274"/>
      <c r="U761" s="274"/>
      <c r="V761" s="274"/>
      <c r="W761" s="277"/>
      <c r="X761" s="277"/>
      <c r="Y761" s="280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</row>
    <row r="762" ht="15.75" customHeight="1">
      <c r="A762" s="282"/>
      <c r="B762" s="283" t="s">
        <v>2533</v>
      </c>
      <c r="C762" s="284">
        <f>COUNTIF(H:H,"Ativo")</f>
        <v>510</v>
      </c>
      <c r="D762" s="202"/>
      <c r="E762" s="274"/>
      <c r="F762" s="274"/>
      <c r="G762" s="274"/>
      <c r="H762" s="274"/>
      <c r="I762" s="285"/>
      <c r="J762" s="274"/>
      <c r="K762" s="277"/>
      <c r="L762" s="277"/>
      <c r="M762" s="274"/>
      <c r="N762" s="278"/>
      <c r="O762" s="278"/>
      <c r="P762" s="279"/>
      <c r="Q762" s="181"/>
      <c r="R762" s="181"/>
      <c r="S762" s="274"/>
      <c r="T762" s="202"/>
      <c r="U762" s="202"/>
      <c r="V762" s="274"/>
      <c r="W762" s="277"/>
      <c r="X762" s="277"/>
      <c r="Y762" s="280"/>
      <c r="Z762" s="286">
        <f t="shared" ref="Z762:AG762" si="13">SUM(Z5:Z761)</f>
        <v>0</v>
      </c>
      <c r="AA762" s="286">
        <f t="shared" si="13"/>
        <v>0</v>
      </c>
      <c r="AB762" s="286">
        <f t="shared" si="13"/>
        <v>11487265.99</v>
      </c>
      <c r="AC762" s="286">
        <f t="shared" si="13"/>
        <v>27095720.27</v>
      </c>
      <c r="AD762" s="286">
        <f t="shared" si="13"/>
        <v>67316998.84</v>
      </c>
      <c r="AE762" s="286">
        <f t="shared" si="13"/>
        <v>121282813.8</v>
      </c>
      <c r="AF762" s="286">
        <f t="shared" si="13"/>
        <v>158453126.6</v>
      </c>
      <c r="AG762" s="286">
        <f t="shared" si="13"/>
        <v>176485810.2</v>
      </c>
      <c r="AH762" s="286">
        <f t="shared" ref="AH762:AU762" si="14">SUM(AH3:AH761)</f>
        <v>200973916.2</v>
      </c>
      <c r="AI762" s="286">
        <f t="shared" si="14"/>
        <v>222922707.5</v>
      </c>
      <c r="AJ762" s="286">
        <f t="shared" si="14"/>
        <v>249214850.5</v>
      </c>
      <c r="AK762" s="286">
        <f t="shared" si="14"/>
        <v>250660649.1</v>
      </c>
      <c r="AL762" s="286">
        <f t="shared" si="14"/>
        <v>258435640.9</v>
      </c>
      <c r="AM762" s="286">
        <f t="shared" si="14"/>
        <v>266732383.1</v>
      </c>
      <c r="AN762" s="286">
        <f t="shared" si="14"/>
        <v>274974231.5</v>
      </c>
      <c r="AO762" s="286">
        <f t="shared" si="14"/>
        <v>275664520.8</v>
      </c>
      <c r="AP762" s="286">
        <f t="shared" si="14"/>
        <v>280174492.2</v>
      </c>
      <c r="AQ762" s="286">
        <f t="shared" si="14"/>
        <v>277774998.8</v>
      </c>
      <c r="AR762" s="286">
        <f t="shared" si="14"/>
        <v>278643964.6</v>
      </c>
      <c r="AS762" s="286">
        <f t="shared" si="14"/>
        <v>286606345.5</v>
      </c>
      <c r="AT762" s="286">
        <f t="shared" si="14"/>
        <v>291364904</v>
      </c>
      <c r="AU762" s="286">
        <f t="shared" si="14"/>
        <v>296148228.2</v>
      </c>
    </row>
    <row r="763" ht="15.75" customHeight="1">
      <c r="A763" s="287"/>
      <c r="B763" s="288" t="s">
        <v>2534</v>
      </c>
      <c r="C763" s="289">
        <f>COUNTIF(H:H,"Inativo")</f>
        <v>165</v>
      </c>
      <c r="D763" s="202"/>
      <c r="E763" s="290"/>
      <c r="F763" s="275"/>
      <c r="G763" s="275"/>
      <c r="H763" s="273"/>
      <c r="I763" s="291"/>
      <c r="J763" s="273"/>
      <c r="K763" s="292"/>
      <c r="L763" s="293"/>
      <c r="M763" s="273"/>
      <c r="N763" s="278"/>
      <c r="O763" s="278"/>
      <c r="P763" s="279"/>
      <c r="Q763" s="181"/>
      <c r="R763" s="181"/>
      <c r="S763" s="274"/>
      <c r="T763" s="202"/>
      <c r="U763" s="202"/>
      <c r="V763" s="274"/>
      <c r="W763" s="293"/>
      <c r="X763" s="293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81"/>
      <c r="AR763" s="281"/>
      <c r="AS763" s="294"/>
      <c r="AT763" s="294"/>
      <c r="AU763" s="294"/>
    </row>
    <row r="764" ht="15.75" customHeight="1">
      <c r="A764" s="287"/>
      <c r="B764" s="288" t="s">
        <v>2535</v>
      </c>
      <c r="C764" s="289">
        <f>COUNTIF(H:H,"Encerrado")</f>
        <v>58</v>
      </c>
      <c r="D764" s="202"/>
      <c r="E764" s="290"/>
      <c r="F764" s="275"/>
      <c r="G764" s="275"/>
      <c r="H764" s="273"/>
      <c r="I764" s="291"/>
      <c r="J764" s="273"/>
      <c r="K764" s="292"/>
      <c r="L764" s="293"/>
      <c r="M764" s="273"/>
      <c r="N764" s="278"/>
      <c r="O764" s="278"/>
      <c r="P764" s="279"/>
      <c r="Q764" s="181"/>
      <c r="R764" s="181"/>
      <c r="S764" s="274"/>
      <c r="T764" s="202"/>
      <c r="U764" s="202"/>
      <c r="V764" s="274"/>
      <c r="W764" s="293"/>
      <c r="X764" s="293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94"/>
      <c r="AR764" s="281"/>
      <c r="AS764" s="294"/>
      <c r="AT764" s="294"/>
      <c r="AU764" s="294"/>
    </row>
    <row r="765" ht="15.75" customHeight="1">
      <c r="A765" s="295"/>
      <c r="B765" s="296" t="s">
        <v>2536</v>
      </c>
      <c r="C765" s="297">
        <f>COUNTIF(H:H,"Pode Operar")</f>
        <v>25</v>
      </c>
      <c r="D765" s="202"/>
      <c r="E765" s="290"/>
      <c r="F765" s="275"/>
      <c r="G765" s="275"/>
      <c r="H765" s="273"/>
      <c r="I765" s="291"/>
      <c r="J765" s="273"/>
      <c r="K765" s="292"/>
      <c r="L765" s="293"/>
      <c r="M765" s="273"/>
      <c r="N765" s="278"/>
      <c r="O765" s="278"/>
      <c r="P765" s="279"/>
      <c r="Q765" s="181"/>
      <c r="R765" s="181"/>
      <c r="S765" s="274"/>
      <c r="T765" s="202"/>
      <c r="U765" s="202"/>
      <c r="V765" s="274"/>
      <c r="W765" s="293"/>
      <c r="X765" s="293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</row>
    <row r="766" ht="15.75" customHeight="1">
      <c r="A766" s="298"/>
      <c r="B766" s="298"/>
      <c r="C766" s="299"/>
      <c r="D766" s="290"/>
      <c r="E766" s="290"/>
      <c r="F766" s="300"/>
      <c r="G766" s="300"/>
      <c r="H766" s="273"/>
      <c r="I766" s="291"/>
      <c r="J766" s="273"/>
      <c r="K766" s="292"/>
      <c r="L766" s="277"/>
      <c r="M766" s="274"/>
      <c r="N766" s="278"/>
      <c r="O766" s="278"/>
      <c r="P766" s="279"/>
      <c r="Q766" s="181"/>
      <c r="R766" s="181"/>
      <c r="S766" s="274"/>
      <c r="T766" s="301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94"/>
      <c r="AS766" s="281"/>
      <c r="AT766" s="294"/>
      <c r="AU766" s="294"/>
    </row>
    <row r="767" ht="15.75" customHeight="1">
      <c r="A767" s="298"/>
      <c r="B767" s="298"/>
      <c r="C767" s="299"/>
      <c r="D767" s="290"/>
      <c r="E767" s="290"/>
      <c r="F767" s="300"/>
      <c r="G767" s="300"/>
      <c r="H767" s="273"/>
      <c r="I767" s="291"/>
      <c r="J767" s="273"/>
      <c r="K767" s="292"/>
      <c r="L767" s="277"/>
      <c r="M767" s="274"/>
      <c r="N767" s="278"/>
      <c r="O767" s="278"/>
      <c r="P767" s="279"/>
      <c r="Q767" s="181"/>
      <c r="R767" s="181"/>
      <c r="S767" s="274"/>
      <c r="T767" s="301"/>
      <c r="U767" s="274"/>
      <c r="V767" s="274"/>
      <c r="W767" s="277"/>
      <c r="X767" s="277"/>
      <c r="Y767" s="280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</row>
    <row r="768" ht="15.75" customHeight="1">
      <c r="A768" s="298"/>
      <c r="B768" s="298"/>
      <c r="C768" s="299"/>
      <c r="D768" s="290"/>
      <c r="E768" s="290"/>
      <c r="F768" s="300"/>
      <c r="G768" s="300"/>
      <c r="H768" s="273"/>
      <c r="I768" s="291"/>
      <c r="J768" s="273"/>
      <c r="K768" s="292"/>
      <c r="L768" s="277"/>
      <c r="M768" s="274"/>
      <c r="N768" s="278"/>
      <c r="O768" s="278"/>
      <c r="P768" s="279"/>
      <c r="Q768" s="181"/>
      <c r="R768" s="181"/>
      <c r="S768" s="274"/>
      <c r="T768" s="301"/>
      <c r="U768" s="274"/>
      <c r="V768" s="274"/>
      <c r="W768" s="277"/>
      <c r="X768" s="277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</row>
    <row r="769" ht="15.75" customHeight="1">
      <c r="A769" s="298"/>
      <c r="B769" s="298"/>
      <c r="C769" s="299"/>
      <c r="D769" s="290"/>
      <c r="E769" s="290"/>
      <c r="F769" s="300"/>
      <c r="G769" s="300"/>
      <c r="H769" s="273"/>
      <c r="I769" s="291"/>
      <c r="J769" s="273"/>
      <c r="K769" s="292"/>
      <c r="L769" s="277"/>
      <c r="M769" s="274"/>
      <c r="N769" s="278"/>
      <c r="O769" s="278"/>
      <c r="P769" s="279"/>
      <c r="Q769" s="181"/>
      <c r="R769" s="181"/>
      <c r="S769" s="274"/>
      <c r="T769" s="301"/>
      <c r="U769" s="274"/>
      <c r="V769" s="274"/>
      <c r="W769" s="277"/>
      <c r="X769" s="277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</row>
    <row r="770" ht="15.75" customHeight="1">
      <c r="A770" s="298"/>
      <c r="B770" s="298"/>
      <c r="C770" s="299"/>
      <c r="D770" s="290"/>
      <c r="E770" s="290"/>
      <c r="F770" s="300"/>
      <c r="G770" s="300"/>
      <c r="H770" s="273"/>
      <c r="I770" s="291"/>
      <c r="J770" s="273"/>
      <c r="K770" s="292"/>
      <c r="L770" s="277"/>
      <c r="M770" s="274"/>
      <c r="N770" s="278"/>
      <c r="O770" s="278"/>
      <c r="P770" s="279"/>
      <c r="Q770" s="181"/>
      <c r="R770" s="181"/>
      <c r="S770" s="274"/>
      <c r="T770" s="301"/>
      <c r="U770" s="274"/>
      <c r="V770" s="274"/>
      <c r="W770" s="277"/>
      <c r="X770" s="277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94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1"/>
      <c r="R771" s="181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81"/>
      <c r="AS771" s="281"/>
      <c r="AT771" s="281"/>
      <c r="AU771" s="281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1"/>
      <c r="R772" s="181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1"/>
      <c r="R773" s="181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1"/>
      <c r="R774" s="181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  <row r="775" ht="15.75" customHeight="1">
      <c r="A775" s="298"/>
      <c r="B775" s="298"/>
      <c r="C775" s="299"/>
      <c r="D775" s="290"/>
      <c r="E775" s="290"/>
      <c r="F775" s="300"/>
      <c r="G775" s="300"/>
      <c r="H775" s="273"/>
      <c r="I775" s="291"/>
      <c r="J775" s="273"/>
      <c r="K775" s="292"/>
      <c r="L775" s="277"/>
      <c r="M775" s="274"/>
      <c r="N775" s="278"/>
      <c r="O775" s="278"/>
      <c r="P775" s="279"/>
      <c r="Q775" s="181"/>
      <c r="R775" s="181"/>
      <c r="S775" s="274"/>
      <c r="T775" s="301"/>
      <c r="U775" s="274"/>
      <c r="V775" s="274"/>
      <c r="W775" s="277"/>
      <c r="X775" s="277"/>
      <c r="Y775" s="280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L775" s="281"/>
      <c r="AM775" s="281"/>
      <c r="AN775" s="281"/>
      <c r="AO775" s="281"/>
      <c r="AP775" s="281"/>
      <c r="AQ775" s="281"/>
      <c r="AR775" s="281"/>
      <c r="AS775" s="281"/>
      <c r="AT775" s="281"/>
      <c r="AU775" s="281"/>
    </row>
    <row r="776" ht="15.75" customHeight="1">
      <c r="A776" s="298"/>
      <c r="B776" s="298"/>
      <c r="C776" s="299"/>
      <c r="D776" s="290"/>
      <c r="E776" s="290"/>
      <c r="F776" s="300"/>
      <c r="G776" s="300"/>
      <c r="H776" s="273"/>
      <c r="I776" s="291"/>
      <c r="J776" s="273"/>
      <c r="K776" s="292"/>
      <c r="L776" s="277"/>
      <c r="M776" s="274"/>
      <c r="N776" s="278"/>
      <c r="O776" s="278"/>
      <c r="P776" s="279"/>
      <c r="Q776" s="181"/>
      <c r="R776" s="181"/>
      <c r="S776" s="274"/>
      <c r="T776" s="301"/>
      <c r="U776" s="274"/>
      <c r="V776" s="274"/>
      <c r="W776" s="277"/>
      <c r="X776" s="277"/>
      <c r="Y776" s="280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L776" s="281"/>
      <c r="AM776" s="281"/>
      <c r="AN776" s="281"/>
      <c r="AO776" s="281"/>
      <c r="AP776" s="281"/>
      <c r="AQ776" s="281"/>
      <c r="AR776" s="281"/>
      <c r="AS776" s="281"/>
      <c r="AT776" s="281"/>
      <c r="AU776" s="281"/>
    </row>
  </sheetData>
  <customSheetViews>
    <customSheetView guid="{D46EE40F-F813-42C1-BCBB-7E3CE76BEF6A}" filter="1" showAutoFilter="1">
      <autoFilter ref="$D$2:$F$766"/>
    </customSheetView>
    <customSheetView guid="{A613CB1A-8D02-4219-831A-5459B0CFD5BA}" filter="1" showAutoFilter="1">
      <autoFilter ref="$A$1:$AP$758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1C1335D7-E2F9-4069-85C4-DE8335E9CA63}" filter="1" showAutoFilter="1">
      <autoFilter ref="$A$1:$AU$761"/>
    </customSheetView>
    <customSheetView guid="{F42BB246-2CF4-4B56-8C5B-E429A93CE638}" filter="1" showAutoFilter="1">
      <autoFilter ref="$A$1:$AQ$758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73124181-5C2E-44A2-BD1F-8DBA32850D3C}" filter="1" showAutoFilter="1">
      <autoFilter ref="$A$1:$AL$761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C5BCE252-50A6-4475-8861-533DFF234630}" filter="1" showAutoFilter="1">
      <autoFilter ref="$A$1:$AK$761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B0AA6F25-1F29-4A61-9DF2-C449D8B02114}" filter="1" showAutoFilter="1">
      <autoFilter ref="$A$1:$AQ$758">
        <filterColumn colId="7">
          <filters>
            <filter val="Pode Operar"/>
          </filters>
        </filterColumn>
      </autoFilter>
    </customSheetView>
    <customSheetView guid="{58178040-2D59-4F96-B7CE-33C5E4534889}" filter="1" showAutoFilter="1">
      <autoFilter ref="$A$1:$AK$761"/>
    </customSheetView>
    <customSheetView guid="{AC480C24-6F8A-45A4-8FE4-1F7B679F60BD}" filter="1" showAutoFilter="1">
      <autoFilter ref="$A$1:$AO$758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B1A2AC4A-C64C-414F-87A6-C08D5FF9589C}" filter="1" showAutoFilter="1">
      <autoFilter ref="$B$2:$AF$761"/>
    </customSheetView>
    <customSheetView guid="{30CD6512-7846-476B-89BC-9FFEB186AB82}" filter="1" showAutoFilter="1">
      <autoFilter ref="$A$2:$AQ$758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7696A896-DA7B-4BCF-8F35-60E2EA48F19A}" filter="1" showAutoFilter="1">
      <autoFilter ref="$AI$2:$AI$766"/>
    </customSheetView>
    <customSheetView guid="{AB061334-D821-4D2B-BE6A-D12ED1C28A6D}" filter="1" showAutoFilter="1">
      <autoFilter ref="$A$1:$AO$758"/>
    </customSheetView>
    <customSheetView guid="{2EBB1C1F-0762-48CC-AFFE-494739D58B2A}" filter="1" showAutoFilter="1">
      <autoFilter ref="$A$2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F52BADBB-2250-4EB0-AE59-3B351AF4CB20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ACF45FD7-71F9-4C35-9A00-429AF94A3B85}" filter="1" showAutoFilter="1">
      <autoFilter ref="$A$1:$AO$758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1935068D-4DDF-492B-86B3-E23BE8435FE4}" filter="1" showAutoFilter="1">
      <autoFilter ref="$A$1:$AQ$758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59745CF7-9E8E-49DF-9D7F-82B01D0A03CA}" filter="1" showAutoFilter="1">
      <autoFilter ref="$A$2:$AK$761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F6D75903-A93A-4F57-B54E-1739ADB203EE}" filter="1" showAutoFilter="1">
      <autoFilter ref="$A$2:$AK$761"/>
    </customSheetView>
    <customSheetView guid="{CE214755-37C0-4B56-9E0D-5EDB9F6A70AC}" filter="1" showAutoFilter="1">
      <autoFilter ref="$A$1:$AK$761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4276E4B9-3427-43C7-8DF0-FAF8C39984FE}" filter="1" showAutoFilter="1">
      <autoFilter ref="$A$1:$AQ$758">
        <filterColumn colId="12">
          <filters>
            <filter val="FUND"/>
          </filters>
        </filterColumn>
      </autoFilter>
    </customSheetView>
    <customSheetView guid="{351B93A4-D157-4FFA-A79E-34101ADDD644}" filter="1" showAutoFilter="1">
      <autoFilter ref="$A$1:$AL$765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0BAC67E8-67C6-4D67-9245-65AC284F29C8}" filter="1" showAutoFilter="1">
      <autoFilter ref="$K$2:$K$766"/>
    </customSheetView>
    <customSheetView guid="{0A28620A-A772-4E99-864E-56FAB5CC1494}" filter="1" showAutoFilter="1">
      <autoFilter ref="$M$2:$O$766"/>
    </customSheetView>
    <customSheetView guid="{FFEA9777-B900-416B-87B5-6A916F50D15D}" filter="1" showAutoFilter="1">
      <autoFilter ref="$AG$2:$AG$766"/>
    </customSheetView>
    <customSheetView guid="{ADD7C9E2-2292-4CA9-9D54-6DB837E5D79F}" filter="1" showAutoFilter="1">
      <autoFilter ref="$B$2:$AI$766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E2A18CCD-FD0F-45C2-9452-352C9795E5B8}" filter="1" showAutoFilter="1">
      <autoFilter ref="$A$1:$AK$761">
        <filterColumn colId="6">
          <filters blank="1">
            <filter val="Augusto"/>
            <filter val="#N/A"/>
          </filters>
        </filterColumn>
      </autoFilter>
    </customSheetView>
    <customSheetView guid="{527816A2-4B9B-45A3-8053-6B2C2E9D6D5F}" filter="1" showAutoFilter="1">
      <autoFilter ref="$F$2:$F$766"/>
    </customSheetView>
    <customSheetView guid="{44D829E6-AF38-437D-8A74-D8794E25A397}" filter="1" showAutoFilter="1">
      <autoFilter ref="$A$1:$AK$766"/>
    </customSheetView>
    <customSheetView guid="{49C3099A-0237-44FF-ADF8-8F5F2B461757}" filter="1" showAutoFilter="1">
      <autoFilter ref="$A$1:$AN$758"/>
    </customSheetView>
    <customSheetView guid="{9C800DEC-CD4D-4DE6-8AF7-2DE4613307B0}" filter="1" showAutoFilter="1">
      <autoFilter ref="$A$1:$AK$761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3654C13C-2944-4916-A043-D1B3ED0574D7}" filter="1" showAutoFilter="1">
      <autoFilter ref="$A$1:$AO$766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632978AA-877A-435A-80FF-BF648B47C576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9B49E8BA-48FA-4020-8F93-B79C24E211EC}" filter="1" showAutoFilter="1">
      <autoFilter ref="$A$1:$AL$766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4E2753BD-4DF6-432C-83F4-D732350596C8}" filter="1" showAutoFilter="1">
      <autoFilter ref="$A$2:$AO$758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E8AE4EC0-D8EA-4FC9-B21B-43589401B177}" filter="1" showAutoFilter="1">
      <autoFilter ref="$B$2:$AI$761"/>
    </customSheetView>
    <customSheetView guid="{71C85B78-63E1-4EF4-BC8E-3B477CF22AD7}" filter="1" showAutoFilter="1">
      <autoFilter ref="$A$1:$AO$758"/>
    </customSheetView>
    <customSheetView guid="{27DE9437-2943-4E51-9CAA-22481BEDC85A}" filter="1" showAutoFilter="1">
      <autoFilter ref="$A$1:$AP$758">
        <filterColumn colId="8">
          <filters>
            <filter val="Alteração de C.A"/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FD8A57D8-FAC6-460A-AE37-3396EA73D671}" filter="1" showAutoFilter="1">
      <autoFilter ref="$A$2:$AN$758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8EF56468-1A36-43B5-A416-398A33762E5C}" filter="1" showAutoFilter="1">
      <autoFilter ref="$F$2:$M$766"/>
    </customSheetView>
    <customSheetView guid="{98B7228B-6EF6-4FC0-A24B-A3E30B3D065D}" filter="1" showAutoFilter="1">
      <autoFilter ref="$A$2:$AO$758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D4668A8E-9B32-4C23-98AE-F6C439C33CDE}" filter="1" showAutoFilter="1">
      <autoFilter ref="$F$2:$F$766"/>
    </customSheetView>
    <customSheetView guid="{CF76C9AA-9ED5-44A2-99C9-F8913CE6944D}" filter="1" showAutoFilter="1">
      <autoFilter ref="$A$1:$AL$761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90BDC925-56AF-4128-BD36-B333764EE125}" filter="1" showAutoFilter="1">
      <autoFilter ref="$A$2:$AM$758">
        <filterColumn colId="12">
          <filters>
            <filter val="CON/ GR"/>
            <filter val="CORP"/>
            <filter val="MOD/ GR"/>
          </filters>
        </filterColumn>
      </autoFilter>
    </customSheetView>
    <customSheetView guid="{6E5CBF55-620D-4794-A697-C5B463839A69}" filter="1" showAutoFilter="1">
      <autoFilter ref="$A$1:$AK$761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F8C59293-A29C-4252-980A-AC0680D21F03}" filter="1" showAutoFilter="1">
      <autoFilter ref="$A$2:$AP$758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B37ED8BD-A081-4587-B9D7-F0165E145E89}" filter="1" showAutoFilter="1">
      <autoFilter ref="$AI$2:$AI$766"/>
    </customSheetView>
    <customSheetView guid="{2FB56CF0-E762-477D-AB70-F0F5CBA2529B}" filter="1" showAutoFilter="1">
      <autoFilter ref="$A$1:$AK$761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22E34851-C712-4DB9-9F53-90ABD4960326}" filter="1" showAutoFilter="1">
      <autoFilter ref="$A$1:$AK$761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F72DA440-B165-470D-8DA5-D9CD2A2394F4}" filter="1" showAutoFilter="1">
      <autoFilter ref="$A$1:$AO$758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50A64E20-179A-461B-8B35-654E924468DE}" filter="1" showAutoFilter="1">
      <autoFilter ref="$A$1:$AP$758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CF9BBF74-3EB1-4F1E-8AB9-3B8870336168}" filter="1" showAutoFilter="1">
      <autoFilter ref="$B$2:$AJ$761">
        <filterColumn colId="6">
          <filters blank="1">
            <filter val="Inativo"/>
            <filter val="Ativo"/>
          </filters>
        </filterColumn>
      </autoFilter>
    </customSheetView>
    <customSheetView guid="{047EEB22-2913-4543-9148-09809BEE786D}" filter="1" showAutoFilter="1">
      <autoFilter ref="$B$2:$AH$761"/>
    </customSheetView>
    <customSheetView guid="{6733F935-C852-47D5-98BD-8140433034FA}" filter="1" showAutoFilter="1">
      <autoFilter ref="$B$2:$AH$766"/>
    </customSheetView>
    <customSheetView guid="{F687DD08-BAD0-41DF-967D-B3D5FD09BE12}" filter="1" showAutoFilter="1">
      <autoFilter ref="$A$1:$AP$758"/>
    </customSheetView>
    <customSheetView guid="{7116B13B-1593-49E0-8822-D288A8A506B5}" filter="1" showAutoFilter="1">
      <autoFilter ref="$B$2:$AF$761"/>
    </customSheetView>
    <customSheetView guid="{9DBE5638-85DB-4244-9C36-853C80B127BD}" filter="1" showAutoFilter="1">
      <autoFilter ref="$A$1:$F$758"/>
    </customSheetView>
    <customSheetView guid="{CC81063B-6265-4319-9636-317DE3114619}" filter="1" showAutoFilter="1">
      <autoFilter ref="$A$1:$AM$758">
        <filterColumn colId="4">
          <filters blank="1">
            <filter val="DF"/>
          </filters>
        </filterColumn>
      </autoFilter>
    </customSheetView>
    <customSheetView guid="{3601C08F-C1EA-4C56-85EF-27960E955E0B}" filter="1" showAutoFilter="1">
      <autoFilter ref="$A$2:$AP$758">
        <filterColumn colId="4">
          <filters blank="1">
            <filter val="SUL"/>
          </filters>
        </filterColumn>
      </autoFilter>
    </customSheetView>
    <customSheetView guid="{F2743C07-3896-4714-8988-946704903AA9}" filter="1" showAutoFilter="1">
      <autoFilter ref="$A$1:$AO$758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3EE42EF3-FEFE-45C5-9C1B-CF7EAA5578F5}" filter="1" showAutoFilter="1">
      <autoFilter ref="$A$1:$AM$766"/>
    </customSheetView>
    <customSheetView guid="{87660795-0C12-4D8D-B39A-BE0FE0615B3B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7A6CDDCD-2F33-4272-B4F1-A34C4A6C4EF9}" filter="1" showAutoFilter="1">
      <autoFilter ref="$AB$2:$AB$766"/>
    </customSheetView>
    <customSheetView guid="{93649D97-0246-4A99-85BE-DDB9B45A1123}" filter="1" showAutoFilter="1">
      <autoFilter ref="$D$2:$AH$766"/>
    </customSheetView>
    <customSheetView guid="{4DF567FA-14CE-4DE8-B839-12BA79204493}" filter="1" showAutoFilter="1">
      <autoFilter ref="$B$2:$AI$761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DD004607-5750-4979-B357-44EAE975BDB6}" filter="1" showAutoFilter="1">
      <autoFilter ref="$A$1:$AN$758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0DBFFFC7-5474-4620-9D7B-3D6876EC9FC3}" filter="1" showAutoFilter="1">
      <autoFilter ref="$A$1:$AK$76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2E1C32E7-917B-49DA-B2E0-D6E471C622BC}" filter="1" showAutoFilter="1">
      <autoFilter ref="$D$2:$E$760">
        <filterColumn colId="1">
          <filters blank="1">
            <filter val="SUL"/>
          </filters>
        </filterColumn>
      </autoFilter>
    </customSheetView>
    <customSheetView guid="{60630ED3-C60B-4E90-B253-7BB4E3CEC8F1}" filter="1" showAutoFilter="1">
      <autoFilter ref="$B$2:$AI$761"/>
    </customSheetView>
    <customSheetView guid="{8AB1E79D-D44B-4A2E-9F3E-6435461CA99B}" filter="1" showAutoFilter="1">
      <autoFilter ref="$B$2:$AJ$761"/>
    </customSheetView>
    <customSheetView guid="{560CDF4B-5B61-4B33-A448-649891A23A1C}" filter="1" showAutoFilter="1">
      <autoFilter ref="$A$1:$AO$758"/>
    </customSheetView>
    <customSheetView guid="{2D7533EA-FA8D-4AD8-9CA9-A82A44690947}" filter="1" showAutoFilter="1">
      <autoFilter ref="$A$2:$AQ$758">
        <filterColumn colId="7">
          <filters>
            <filter val="Pode Operar"/>
          </filters>
        </filterColumn>
      </autoFilter>
    </customSheetView>
    <customSheetView guid="{8596839A-D596-42C2-9694-EB0B4B1E00CA}" filter="1" showAutoFilter="1">
      <autoFilter ref="$D$2:$F$766"/>
    </customSheetView>
    <customSheetView guid="{F5C80CFB-B622-4464-936A-672870383AD5}" filter="1" showAutoFilter="1">
      <autoFilter ref="$B$2:$AF$761"/>
    </customSheetView>
    <customSheetView guid="{195AA3C8-95D2-4D35-B94E-2D77426CB4B7}" filter="1" showAutoFilter="1">
      <autoFilter ref="$F$2:$F$766"/>
    </customSheetView>
    <customSheetView guid="{218E914D-901C-4984-811D-7D6977C94C2E}" filter="1" showAutoFilter="1">
      <autoFilter ref="$A$2:$AP$758"/>
    </customSheetView>
    <customSheetView guid="{B3C95940-EF79-4BA2-8A8A-94BF0DD31775}" filter="1" showAutoFilter="1">
      <autoFilter ref="$A$1:$AL$766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FAA4E4B3-F66C-45EF-AD3C-648637A05FC9}" filter="1" showAutoFilter="1">
      <autoFilter ref="$A$1:$AO$758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424A57B6-17E1-4DCA-AE69-B7F6B870FE48}" filter="1" showAutoFilter="1">
      <autoFilter ref="$B$2:$AI$761"/>
    </customSheetView>
    <customSheetView guid="{36E0A0F7-4BC8-4711-9CE3-4631AEDA9133}" filter="1" showAutoFilter="1">
      <autoFilter ref="$A$1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89DD8F7B-8177-47AF-ADAF-E718951036C8}" filter="1" showAutoFilter="1">
      <autoFilter ref="$A$1:$AK$761"/>
    </customSheetView>
    <customSheetView guid="{B114EDA5-FA5E-41B2-80BD-659B93AB751E}" filter="1" showAutoFilter="1">
      <autoFilter ref="$A$2:$AQ$758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E1FF9EE-17F4-4E10-A930-20801D66BC0D}" filter="1" showAutoFilter="1">
      <autoFilter ref="$B$2:$AF$761"/>
    </customSheetView>
    <customSheetView guid="{807BCDEA-6B95-434C-81E7-0B3CE4ECB2DF}" filter="1" showAutoFilter="1">
      <autoFilter ref="$B$2:$AH$761"/>
    </customSheetView>
    <customSheetView guid="{939316C9-8393-4C5D-85C5-12C6B26E4407}" filter="1" showAutoFilter="1">
      <autoFilter ref="$AQ$7:$AQ$755"/>
    </customSheetView>
    <customSheetView guid="{368E1FB8-A388-41E2-8745-99814610ED1D}" filter="1" showAutoFilter="1">
      <autoFilter ref="$D$2:$F$766"/>
    </customSheetView>
    <customSheetView guid="{56ECC9D4-F02E-40F7-8CB1-5252EB723433}" filter="1" showAutoFilter="1">
      <autoFilter ref="$A$1:$AK$761"/>
    </customSheetView>
    <customSheetView guid="{6ECC0E83-B4E3-425E-B35B-A29539F661CE}" filter="1" showAutoFilter="1">
      <autoFilter ref="$A$2:$AP$758">
        <filterColumn colId="8">
          <filters>
            <filter val="Bloqueado"/>
            <filter val="Sem Saldo"/>
            <filter val="Resgate Total"/>
          </filters>
        </filterColumn>
      </autoFilter>
    </customSheetView>
    <customSheetView guid="{06DFA47C-6E11-42C8-99CA-A31C782226EE}" filter="1" showAutoFilter="1">
      <autoFilter ref="$A$2:$AQ$758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3605FC9A-83A4-4339-B8CA-08AEEBCE0400}" filter="1" showAutoFilter="1">
      <autoFilter ref="$A$1:$AL$766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CCAA395F-B7AE-40E3-9A48-35D53FA4C242}" filter="1" showAutoFilter="1">
      <autoFilter ref="$F$2:$AH$766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4A99E02D-9CF3-40CD-804D-2A74A1FD528D}" filter="1" showAutoFilter="1">
      <autoFilter ref="$A$1:$AQ$758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6B781031-E317-408B-AA3E-BBA15CAB4E3F}" filter="1" showAutoFilter="1">
      <autoFilter ref="$B$2:$AH$761"/>
    </customSheetView>
    <customSheetView guid="{13C62020-787E-4841-8A7B-CE905996EBE9}" filter="1" showAutoFilter="1">
      <autoFilter ref="$B$2:$AI$761"/>
    </customSheetView>
    <customSheetView guid="{C4A2D276-8F5F-4095-B7C9-226D4DB300B0}" filter="1" showAutoFilter="1">
      <autoFilter ref="$D$2:$K$766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A41BA7D-6020-4640-923F-79F2C27C1BD0}" filter="1" showAutoFilter="1">
      <autoFilter ref="$A$1:$AK$761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8A853D5-7798-4D28-8F1A-12FAA0502223}" filter="1" showAutoFilter="1">
      <autoFilter ref="$D$2:$AH$766"/>
    </customSheetView>
    <customSheetView guid="{A740F4B9-955A-48E7-803D-91BAA0B9B916}" filter="1" showAutoFilter="1">
      <autoFilter ref="$B$2:$AI$761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oi até o final do ano. (12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FF227447-C1C9-42D2-8D8A-C56572AD35C7}" filter="1" showAutoFilter="1">
      <autoFilter ref="$A$1:$AP$758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FF8A4E44-D465-4B96-B6A0-15E8BA187261}" filter="1" showAutoFilter="1">
      <autoFilter ref="$M$2:$M$766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C3793248-EC38-49A8-A093-85230ABDFD7C}" filter="1" showAutoFilter="1">
      <autoFilter ref="$A$1:$AO$758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50A705E5-6084-4A14-9446-A8F5C19216DC}" filter="1" showAutoFilter="1">
      <autoFilter ref="$B$2:$Q$761">
        <filterColumn colId="13">
          <filters blank="1">
            <filter val="S&amp;P 500"/>
            <filter val="IFIX"/>
          </filters>
        </filterColumn>
      </autoFilter>
    </customSheetView>
    <customSheetView guid="{69755950-0F37-4A21-A01E-D49190A07E6D}" filter="1" showAutoFilter="1">
      <autoFilter ref="$A$1:$AU$761"/>
    </customSheetView>
    <customSheetView guid="{E13C4A8D-7CD6-4E07-A1F1-DA6D79223014}" filter="1" showAutoFilter="1">
      <autoFilter ref="$B$2:$AH$761"/>
    </customSheetView>
    <customSheetView guid="{203CFD03-B588-4CE1-B45A-B66FC78144D3}" filter="1" showAutoFilter="1">
      <autoFilter ref="$F$2:$F$766"/>
    </customSheetView>
    <customSheetView guid="{2C8EFD8E-E1A1-451E-BE86-04CE4043094B}" filter="1" showAutoFilter="1">
      <autoFilter ref="$A$1:$AK$761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799F23A9-123F-451F-997A-0AB92C074595}" filter="1" showAutoFilter="1">
      <autoFilter ref="$A$1:$AQ$758">
        <filterColumn colId="8">
          <filters>
            <filter val="Bloqueado"/>
            <filter val="Resgate Total"/>
          </filters>
        </filterColumn>
      </autoFilter>
    </customSheetView>
    <customSheetView guid="{17A1DC01-E6CA-4A1D-AC0D-45D893B2B4B7}" filter="1" showAutoFilter="1">
      <autoFilter ref="$A$1:$AQ$758"/>
    </customSheetView>
    <customSheetView guid="{6BD601B2-B813-4770-9558-9A9BF894111C}" filter="1" showAutoFilter="1">
      <autoFilter ref="$D$2:$F$766"/>
    </customSheetView>
    <customSheetView guid="{098DAA67-F337-4C14-BDDF-C2F448607A66}" filter="1" showAutoFilter="1">
      <autoFilter ref="$A$1:$AQ$761">
        <filterColumn colId="7">
          <filters blank="1">
            <filter val="Ativo"/>
          </filters>
        </filterColumn>
      </autoFilter>
    </customSheetView>
    <customSheetView guid="{7894E2DB-6D88-41B9-B0FD-BB12B1149442}" filter="1" showAutoFilter="1">
      <autoFilter ref="$B$2:$AI$761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oi até o final do ano. (12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7714BA43-C4CF-4668-B58E-368070C4EE36}" filter="1" showAutoFilter="1">
      <autoFilter ref="$A$1:$AO$758"/>
    </customSheetView>
    <customSheetView guid="{17313076-8C49-4194-8EC8-B18A813C525D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6C19CD0F-061D-43E0-8C09-B350629DF4FF}" filter="1" showAutoFilter="1">
      <autoFilter ref="$A$1:$AL$765">
        <filterColumn colId="12">
          <filters>
            <filter val="CON/ GR"/>
            <filter val="DIV"/>
            <filter val="MOD/ GR"/>
          </filters>
        </filterColumn>
      </autoFilter>
    </customSheetView>
    <customSheetView guid="{1B65BCE5-C2D2-4C7D-AC35-0F4F34D9AC32}" filter="1" showAutoFilter="1">
      <autoFilter ref="$A$1:$AL$766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4F74C571-8FE8-4562-BC75-783698851E8F}" filter="1" showAutoFilter="1">
      <autoFilter ref="$A$1:$AO$758"/>
    </customSheetView>
    <customSheetView guid="{067530D5-BC65-40A2-8AFE-3C1AD2D03064}" filter="1" showAutoFilter="1">
      <autoFilter ref="$A$1:$AQ$758">
        <filterColumn colId="7">
          <filters>
            <filter val="Pode Operar"/>
          </filters>
        </filterColumn>
      </autoFilter>
    </customSheetView>
    <customSheetView guid="{5FF7DAD9-66A0-41CC-8AA0-7CD64962C232}" filter="1" showAutoFilter="1">
      <autoFilter ref="$A$1:$AO$758">
        <filterColumn colId="21">
          <filters>
            <filter val="Inativo"/>
          </filters>
        </filterColumn>
      </autoFilter>
    </customSheetView>
    <customSheetView guid="{51D89032-F787-4C29-827C-391D59734DAF}" filter="1" showAutoFilter="1">
      <autoFilter ref="$A$1:$AQ$761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0DE29AA8-A065-4C1F-96D4-EA94F5C88C6F}" filter="1" showAutoFilter="1">
      <autoFilter ref="$E$2:$F$766"/>
    </customSheetView>
    <customSheetView guid="{29963C01-07DE-4ACC-B284-4C74A359E65D}" filter="1" showAutoFilter="1">
      <autoFilter ref="$A$1:$AQ$758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D55A992-373B-4D0F-A016-4436D4DC1687}" filter="1" showAutoFilter="1">
      <autoFilter ref="$K$2:$K$766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B0E377F-73BF-4366-82F4-24FE0BA2DF7F}" filter="1" showAutoFilter="1">
      <autoFilter ref="$A$2:$AQ$758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C551A29-707B-4289-A8DB-F4ED5B9795F4}" filter="1" showAutoFilter="1">
      <autoFilter ref="$A$1:$AK$761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991CEE5F-E673-4161-8EFA-857CF5B7ECE8}" filter="1" showAutoFilter="1">
      <autoFilter ref="$A$1:$AL$758"/>
    </customSheetView>
    <customSheetView guid="{B8DC0B3D-DE55-47D7-8D36-352A667DD24A}" filter="1" showAutoFilter="1">
      <autoFilter ref="$A$1:$AL$766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7BCA2C2C-F7E8-4C6F-8167-87779DE61747}" filter="1" showAutoFilter="1">
      <autoFilter ref="$AA$2:$AA$766"/>
    </customSheetView>
    <customSheetView guid="{BE7F9010-0702-46BA-8615-F4442E99271F}" filter="1" showAutoFilter="1">
      <autoFilter ref="$A$1:$AL$766"/>
    </customSheetView>
    <customSheetView guid="{3A2E2F56-5C26-4727-B870-37D27FA0CF5F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0C64D1DF-F9E6-41EC-A890-6C4BDAEAA33D}" filter="1" showAutoFilter="1">
      <autoFilter ref="$K$2:$L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DD7283C-19A8-4365-853C-187FE31A095B}" filter="1" showAutoFilter="1">
      <autoFilter ref="$B$2:$AI$761"/>
    </customSheetView>
    <customSheetView guid="{65B22A8E-A19E-4771-9DB2-BC4B71992246}" filter="1" showAutoFilter="1">
      <autoFilter ref="$A$2:$AO$758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0F5477F4-8DEC-4DEA-9327-C8DD35B24055}" filter="1" showAutoFilter="1">
      <autoFilter ref="$A$1:$AQ$758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9806863C-61C7-4C39-A9C0-4CEDC4F750D7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994380C-DC42-4D10-B92D-DD6A46C0BCE6}" filter="1" showAutoFilter="1">
      <autoFilter ref="$F$2:$F$766"/>
    </customSheetView>
    <customSheetView guid="{EBE105E8-56E8-4505-B28E-67C2CC303C02}" filter="1" showAutoFilter="1">
      <autoFilter ref="$B$2:$AH$761"/>
    </customSheetView>
    <customSheetView guid="{80591A99-46B9-4F94-B0C2-B94E874E67D6}" filter="1" showAutoFilter="1">
      <autoFilter ref="$B$2:$AI$761"/>
    </customSheetView>
    <customSheetView guid="{16DA525E-0801-4067-A4F6-0C4EED30B94C}" filter="1" showAutoFilter="1">
      <autoFilter ref="$A$2:$AP$758">
        <filterColumn colId="8">
          <filters>
            <filter val="Monitoramento"/>
            <filter val="Resgate Total"/>
          </filters>
        </filterColumn>
      </autoFilter>
    </customSheetView>
    <customSheetView guid="{82738ACB-3941-440C-8D56-0EBE99A16184}" filter="1" showAutoFilter="1">
      <autoFilter ref="$A$1:$AO$758">
        <filterColumn colId="21">
          <filters>
            <filter val="Inativo"/>
          </filters>
        </filterColumn>
      </autoFilter>
    </customSheetView>
    <customSheetView guid="{ABBB9E71-D770-4D37-9FAE-0A1D3982C5C6}" filter="1" showAutoFilter="1">
      <autoFilter ref="$A$1:$AN$758"/>
    </customSheetView>
    <customSheetView guid="{9AD3171E-9C73-48CC-A722-A91CBAFE3F7D}" filter="1" showAutoFilter="1">
      <autoFilter ref="$A$1:$AP$758">
        <filterColumn colId="21">
          <filters>
            <filter val="Inativo"/>
          </filters>
        </filterColumn>
      </autoFilter>
    </customSheetView>
    <customSheetView guid="{8FDBAED6-7314-41A3-AD61-5FB61237D173}" filter="1" showAutoFilter="1">
      <autoFilter ref="$A$2:$AP$758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56CD33F0-8B37-4EED-BCDA-EA36FB4AAC78}" filter="1" showAutoFilter="1">
      <autoFilter ref="$A$2:$AO$758">
        <filterColumn colId="21">
          <filters/>
        </filterColumn>
      </autoFilter>
    </customSheetView>
    <customSheetView guid="{8A98D7DB-89CE-4CEA-993E-25A6AC0B04D7}" filter="1" showAutoFilter="1">
      <autoFilter ref="$A$2:$AQ$758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8FD0294-0BF4-44EE-8184-397C77AA4C49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7C9AAB0-0B99-46F9-8089-D57269F3B169}" filter="1" showAutoFilter="1">
      <autoFilter ref="$B$2:$AI$761"/>
    </customSheetView>
    <customSheetView guid="{9C06E5C7-F415-4312-B81A-EAA4F6A09DCB}" filter="1" showAutoFilter="1">
      <autoFilter ref="$Q$2:$Q$766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oi até o final do ano. (12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2ADBE1CE-B7B7-4A58-9C30-D576E9273C0E}" filter="1" showAutoFilter="1">
      <autoFilter ref="$A$1:$AO$758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941322FC-F5D4-4321-A327-B6A7BCCE58AF}" filter="1" showAutoFilter="1">
      <autoFilter ref="$A$1:$AO$758">
        <filterColumn colId="21">
          <filters>
            <filter val="Ativo"/>
          </filters>
        </filterColumn>
      </autoFilter>
    </customSheetView>
    <customSheetView guid="{249DC8AA-ACA6-4B9C-A07F-AB9BD6C0EE3A}" filter="1" showAutoFilter="1">
      <autoFilter ref="$B$2:$AF$761"/>
    </customSheetView>
    <customSheetView guid="{7072D128-9EA6-4728-A634-81E48BE183B9}" filter="1" showAutoFilter="1">
      <autoFilter ref="$B$2:$AF$761"/>
    </customSheetView>
    <customSheetView guid="{FF719EC1-702E-4BD4-8255-1E1EDD5DED28}" filter="1" showAutoFilter="1">
      <autoFilter ref="$A$1:$AN$758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80B0F7F4-594E-4CC0-84BC-AF991D56D7AE}" filter="1" showAutoFilter="1">
      <autoFilter ref="$H$1:$I$760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11F02779-0190-4AF9-9527-CBF5F9A43F4E}" filter="1" showAutoFilter="1">
      <autoFilter ref="$A$1:$AN$766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B8D7389D-EA13-45B6-A864-F4E0128C6069}" filter="1" showAutoFilter="1">
      <autoFilter ref="$F$2:$F$766"/>
    </customSheetView>
    <customSheetView guid="{B121C2D8-29F2-41CE-A81E-32C7C85891D5}" filter="1" showAutoFilter="1">
      <autoFilter ref="$A$1:$AP$758">
        <filterColumn colId="21">
          <filters>
            <filter val="Inativo"/>
          </filters>
        </filterColumn>
      </autoFilter>
    </customSheetView>
    <customSheetView guid="{A90D1CE9-2DD8-4EF7-AB3F-AA9D15B48525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B9053C8-9A46-4618-98DF-AEE2777B8CFF}" filter="1" showAutoFilter="1">
      <autoFilter ref="$A$2:$AP$758">
        <filterColumn colId="8">
          <filters>
            <filter val="Alteração de C.A"/>
            <filter val="STVM Saída"/>
            <filter val="STVM Entrada"/>
            <filter val="Resgate Total"/>
          </filters>
        </filterColumn>
      </autoFilter>
    </customSheetView>
    <customSheetView guid="{E419869F-94CF-4F23-866F-70B2C4A863B5}" filter="1" showAutoFilter="1">
      <autoFilter ref="$A$2:$AQ$758">
        <filterColumn colId="8">
          <filters>
            <filter val="Alteração de C.A"/>
            <filter val="STVM Saída"/>
            <filter val="STVM Entrada"/>
            <filter val="Resgate Total"/>
          </filters>
        </filterColumn>
      </autoFilter>
    </customSheetView>
    <customSheetView guid="{31ED8FC5-61F6-4B2C-9005-2511CFFDEBE4}" filter="1" showAutoFilter="1">
      <autoFilter ref="$A$1:$AP$758"/>
    </customSheetView>
    <customSheetView guid="{6577FA48-69E8-4983-A974-47F8B553129B}" filter="1" showAutoFilter="1">
      <autoFilter ref="$A$1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9A44EB57-E979-44EC-97BB-83D26FF83971}" filter="1" showAutoFilter="1">
      <autoFilter ref="$B$2:$AI$761"/>
    </customSheetView>
    <customSheetView guid="{1B2EE39D-5AF7-4367-B877-1CE29A8BF146}" filter="1" showAutoFilter="1">
      <autoFilter ref="$B$2:$AH$761"/>
    </customSheetView>
    <customSheetView guid="{56A44B63-6071-47E2-B164-21D93611246C}" filter="1" showAutoFilter="1">
      <autoFilter ref="$J$1:$P$757"/>
    </customSheetView>
    <customSheetView guid="{F5088339-4517-40AA-8AA0-9770E7964E8D}" filter="1" showAutoFilter="1">
      <autoFilter ref="$B$2:$AI$761"/>
    </customSheetView>
    <customSheetView guid="{D47B45DE-C83F-4A7C-8B39-135BE9D9DA5A}" filter="1" showAutoFilter="1">
      <autoFilter ref="$B$2:$AF$761"/>
    </customSheetView>
    <customSheetView guid="{C81DB2FB-8DBF-4E3A-B758-305FD7FEA09C}" filter="1" showAutoFilter="1">
      <autoFilter ref="$B$2:$AH$766"/>
    </customSheetView>
    <customSheetView guid="{1E4656B6-04EF-4C51-8BEF-0D3E4B854513}" filter="1" showAutoFilter="1">
      <autoFilter ref="$A$1:$AQ$758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AF409453-BC67-45E0-920B-4FE1B872DC88}" filter="1" showAutoFilter="1">
      <autoFilter ref="$A$1:$AK$76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54D44DF-3139-400C-8D16-F0861529D2A4}" filter="1" showAutoFilter="1">
      <autoFilter ref="$B$2:$AH$761"/>
    </customSheetView>
    <customSheetView guid="{08D8628B-0391-401E-8541-E619E5D1C521}" filter="1" showAutoFilter="1">
      <autoFilter ref="$D$2:$F$766"/>
    </customSheetView>
    <customSheetView guid="{4F918789-E6EC-4FDC-A4F2-F77B8A664208}" filter="1" showAutoFilter="1">
      <autoFilter ref="$AH$2:$AH$766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002BD7C7-0543-4964-91BC-717EEDED7FED}" filter="1" showAutoFilter="1">
      <autoFilter ref="$A$1:$AN$758"/>
    </customSheetView>
    <customSheetView guid="{A5EAA86F-C7EC-4DBD-8A09-8CEDB0F21861}" filter="1" showAutoFilter="1">
      <autoFilter ref="$A$1:$AK$761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E2036CD5-2579-46B7-90F1-CC323A007696}" filter="1" showAutoFilter="1">
      <autoFilter ref="$A$2:$AQ$758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BCAF7EC-F177-43E2-A7F6-731BC7259EB1}" filter="1" showAutoFilter="1">
      <autoFilter ref="$A$2:$AO$758"/>
    </customSheetView>
    <customSheetView guid="{2C570B30-E496-48AB-880D-A8BFB9D9CC25}" filter="1" showAutoFilter="1">
      <autoFilter ref="$B$2:$AI$766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E4D65EE7-8307-4FA6-802F-84511C17C5BA}" filter="1" showAutoFilter="1">
      <autoFilter ref="$K$2:$K$766"/>
    </customSheetView>
  </customSheetViews>
  <mergeCells count="5">
    <mergeCell ref="A1:F1"/>
    <mergeCell ref="H1:I1"/>
    <mergeCell ref="J1:P1"/>
    <mergeCell ref="S1:Y1"/>
    <mergeCell ref="Z1:AJ1"/>
  </mergeCells>
  <conditionalFormatting sqref="E3:E760">
    <cfRule type="cellIs" dxfId="0" priority="1" operator="equal">
      <formula>"Conquest"</formula>
    </cfRule>
  </conditionalFormatting>
  <conditionalFormatting sqref="E3:E760">
    <cfRule type="cellIs" dxfId="1" priority="2" operator="equal">
      <formula>"Voga"</formula>
    </cfRule>
  </conditionalFormatting>
  <conditionalFormatting sqref="W3:W510 W513:W760">
    <cfRule type="notContainsBlanks" dxfId="2" priority="3">
      <formula>LEN(TRIM(W3))&gt;0</formula>
    </cfRule>
  </conditionalFormatting>
  <dataValidations>
    <dataValidation type="list" allowBlank="1" showErrorMessage="1" sqref="W3:W510 W512 W514:W760">
      <formula1>"Conservador,Moderado,Arrojado"</formula1>
    </dataValidation>
    <dataValidation type="list" allowBlank="1" showErrorMessage="1" sqref="D3:D760">
      <formula1>"Bluemetrix,Voga,Conquest,VcInvest,Bluemetrix (MI),Altum,Poupinvista,Solution For Life"</formula1>
    </dataValidation>
    <dataValidation type="list" allowBlank="1" showErrorMessage="1" sqref="V3:V760">
      <formula1>"Ativo,Inativo,Encerrado"</formula1>
    </dataValidation>
    <dataValidation type="list" allowBlank="1" showErrorMessage="1" sqref="X3:X161 X164:X510 X512 X514:X760">
      <formula1>"Não Qualificado,Qualificado,Profissional"</formula1>
    </dataValidation>
    <dataValidation type="list" allowBlank="1" showErrorMessage="1" sqref="I3:I760">
      <formula1>"------,Sem Saldo,STVM Entrada,STVM Saída,Alteração de C.A,Monitoramento,Bloqueado,Resgate,Resgate Total"</formula1>
    </dataValidation>
    <dataValidation type="list" allowBlank="1" showErrorMessage="1" sqref="O3:O760">
      <formula1>"IBOV,CDI,------,IFIX,SMALL,S&amp;P 500"</formula1>
    </dataValidation>
    <dataValidation type="list" allowBlank="1" showErrorMessage="1" sqref="E3:E760">
      <formula1>"DF,GO,SUL,SP"</formula1>
    </dataValidation>
    <dataValidation type="list" allowBlank="1" showErrorMessage="1" sqref="H3:H760">
      <formula1>"Ativo,Inativo,Encerrado,Pode Operar"</formula1>
    </dataValidation>
    <dataValidation type="list" allowBlank="1" showErrorMessage="1" sqref="S3:S760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2" t="s">
        <v>2537</v>
      </c>
      <c r="B1" s="303"/>
      <c r="C1" s="303"/>
      <c r="D1" s="303"/>
      <c r="E1" s="303"/>
      <c r="F1" s="304"/>
      <c r="G1" s="305" t="s">
        <v>83</v>
      </c>
      <c r="H1" s="306" t="s">
        <v>84</v>
      </c>
      <c r="I1" s="304"/>
      <c r="J1" s="302" t="s">
        <v>2537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2538</v>
      </c>
      <c r="U1" s="308" t="s">
        <v>2537</v>
      </c>
      <c r="V1" s="309" t="s">
        <v>85</v>
      </c>
      <c r="W1" s="303"/>
      <c r="X1" s="303"/>
      <c r="Y1" s="303"/>
      <c r="Z1" s="303"/>
      <c r="AA1" s="303"/>
      <c r="AB1" s="303"/>
      <c r="AC1" s="303"/>
      <c r="AD1" s="304"/>
      <c r="AE1" s="310" t="s">
        <v>86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  <c r="CI1" s="313"/>
    </row>
    <row r="2" ht="15.75" customHeight="1">
      <c r="A2" s="3" t="s">
        <v>3</v>
      </c>
      <c r="B2" s="3" t="s">
        <v>87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88</v>
      </c>
      <c r="H2" s="4" t="s">
        <v>89</v>
      </c>
      <c r="I2" s="315" t="s">
        <v>90</v>
      </c>
      <c r="J2" s="3" t="s">
        <v>91</v>
      </c>
      <c r="K2" s="34" t="s">
        <v>92</v>
      </c>
      <c r="L2" s="3" t="s">
        <v>93</v>
      </c>
      <c r="M2" s="34" t="s">
        <v>9</v>
      </c>
      <c r="N2" s="34" t="s">
        <v>94</v>
      </c>
      <c r="O2" s="3" t="s">
        <v>2539</v>
      </c>
      <c r="P2" s="3" t="s">
        <v>12</v>
      </c>
      <c r="Q2" s="4" t="s">
        <v>2540</v>
      </c>
      <c r="R2" s="4" t="s">
        <v>2541</v>
      </c>
      <c r="S2" s="3" t="s">
        <v>2542</v>
      </c>
      <c r="T2" s="4" t="s">
        <v>96</v>
      </c>
      <c r="U2" s="4" t="s">
        <v>2543</v>
      </c>
      <c r="V2" s="2" t="s">
        <v>2544</v>
      </c>
      <c r="W2" s="33" t="s">
        <v>38</v>
      </c>
      <c r="X2" s="34" t="s">
        <v>39</v>
      </c>
      <c r="Y2" s="1" t="s">
        <v>99</v>
      </c>
      <c r="Z2" s="2" t="s">
        <v>2545</v>
      </c>
      <c r="AA2" s="3" t="s">
        <v>100</v>
      </c>
      <c r="AB2" s="3" t="s">
        <v>100</v>
      </c>
      <c r="AC2" s="1" t="s">
        <v>101</v>
      </c>
      <c r="AD2" s="35" t="s">
        <v>2546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7" t="s">
        <v>2547</v>
      </c>
      <c r="B3" s="317" t="s">
        <v>2548</v>
      </c>
      <c r="C3" s="318" t="s">
        <v>2549</v>
      </c>
      <c r="D3" s="319" t="s">
        <v>2550</v>
      </c>
      <c r="E3" s="319" t="s">
        <v>29</v>
      </c>
      <c r="F3" s="319" t="s">
        <v>2551</v>
      </c>
      <c r="G3" s="44" t="str">
        <f t="shared" ref="G3:G395" si="1">IFS($CE$3:$CE$678&lt;=100000,"Augusto",$CE$3:$CE$678&lt;=800000,"Breno",$CE$3:$CE$678&lt;=20000000,"Bruno")</f>
        <v>Augusto</v>
      </c>
      <c r="H3" s="165" t="s">
        <v>147</v>
      </c>
      <c r="I3" s="51" t="s">
        <v>219</v>
      </c>
      <c r="J3" s="319" t="str">
        <f t="shared" ref="J3:J395" si="2">IF(T3=0,"Não","Sim")</f>
        <v>Não</v>
      </c>
      <c r="K3" s="320">
        <v>43570.0</v>
      </c>
      <c r="L3" s="95"/>
      <c r="M3" s="95" t="s">
        <v>79</v>
      </c>
      <c r="N3" s="321">
        <v>0.01</v>
      </c>
      <c r="O3" s="319" t="s">
        <v>2552</v>
      </c>
      <c r="P3" s="322">
        <v>0.0</v>
      </c>
      <c r="Q3" s="319" t="str">
        <f>IFERROR(VLOOKUP(F3,'Cadastro de assessores'!A:B,2,FALSE),"Não Cadastrado")</f>
        <v>17573</v>
      </c>
      <c r="R3" s="319" t="s">
        <v>107</v>
      </c>
      <c r="S3" s="320">
        <v>43577.0</v>
      </c>
      <c r="T3" s="169"/>
      <c r="U3" s="323" t="s">
        <v>2553</v>
      </c>
      <c r="V3" s="45" t="s">
        <v>108</v>
      </c>
      <c r="W3" s="324" t="s">
        <v>2554</v>
      </c>
      <c r="X3" s="164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119</v>
      </c>
      <c r="AC3" s="95"/>
      <c r="AD3" s="95" t="s">
        <v>2555</v>
      </c>
      <c r="AE3" s="171">
        <v>447120.35</v>
      </c>
      <c r="AF3" s="171">
        <v>440380.83</v>
      </c>
      <c r="AG3" s="171">
        <v>427324.53</v>
      </c>
      <c r="AH3" s="171">
        <v>433321.2</v>
      </c>
      <c r="AI3" s="171">
        <v>438487.86</v>
      </c>
      <c r="AJ3" s="171">
        <v>442712.83</v>
      </c>
      <c r="AK3" s="171">
        <v>459795.06</v>
      </c>
      <c r="AL3" s="171">
        <v>461529.88</v>
      </c>
      <c r="AM3" s="171">
        <v>461105.93</v>
      </c>
      <c r="AN3" s="171">
        <v>460647.72</v>
      </c>
      <c r="AO3" s="171">
        <v>470935.49</v>
      </c>
      <c r="AP3" s="171">
        <v>478252.68</v>
      </c>
      <c r="AQ3" s="171">
        <v>475399.28</v>
      </c>
      <c r="AR3" s="171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1">
        <v>479395.21</v>
      </c>
      <c r="AY3" s="171">
        <v>477928.32</v>
      </c>
      <c r="AZ3" s="171">
        <v>474162.73</v>
      </c>
      <c r="BA3" s="171">
        <v>417534.79</v>
      </c>
      <c r="BB3" s="171">
        <v>464464.66</v>
      </c>
      <c r="BC3" s="171">
        <v>243244.18</v>
      </c>
      <c r="BD3" s="171">
        <v>223194.51</v>
      </c>
      <c r="BE3" s="171">
        <v>215207.03</v>
      </c>
      <c r="BF3" s="171">
        <v>115466.93</v>
      </c>
      <c r="BG3" s="171">
        <v>118445.35</v>
      </c>
      <c r="BH3" s="171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  <c r="CI3" s="329"/>
    </row>
    <row r="4" ht="15.75" customHeight="1">
      <c r="A4" s="317" t="s">
        <v>2547</v>
      </c>
      <c r="B4" s="42" t="s">
        <v>2556</v>
      </c>
      <c r="C4" s="330" t="s">
        <v>2557</v>
      </c>
      <c r="D4" s="319" t="s">
        <v>18</v>
      </c>
      <c r="E4" s="319" t="s">
        <v>176</v>
      </c>
      <c r="F4" s="319" t="s">
        <v>197</v>
      </c>
      <c r="G4" s="44" t="str">
        <f t="shared" si="1"/>
        <v>Augusto</v>
      </c>
      <c r="H4" s="165" t="s">
        <v>147</v>
      </c>
      <c r="I4" s="51" t="s">
        <v>219</v>
      </c>
      <c r="J4" s="319" t="str">
        <f t="shared" si="2"/>
        <v>Não</v>
      </c>
      <c r="K4" s="320">
        <v>44664.0</v>
      </c>
      <c r="L4" s="95"/>
      <c r="M4" s="95" t="s">
        <v>79</v>
      </c>
      <c r="N4" s="117">
        <v>0.012</v>
      </c>
      <c r="O4" s="319" t="s">
        <v>2552</v>
      </c>
      <c r="P4" s="322">
        <v>0.0</v>
      </c>
      <c r="Q4" s="319" t="str">
        <f>IFERROR(VLOOKUP(F4,'Cadastro de assessores'!A:B,2,FALSE),"Não Cadastrado")</f>
        <v>28411</v>
      </c>
      <c r="R4" s="319" t="s">
        <v>107</v>
      </c>
      <c r="S4" s="320">
        <v>44664.0</v>
      </c>
      <c r="T4" s="63"/>
      <c r="U4" s="50" t="s">
        <v>1481</v>
      </c>
      <c r="V4" s="45" t="s">
        <v>108</v>
      </c>
      <c r="W4" s="5" t="s">
        <v>2558</v>
      </c>
      <c r="X4" s="164" t="s">
        <v>180</v>
      </c>
      <c r="Y4" s="51" t="str">
        <f t="shared" si="3"/>
        <v>Ativo</v>
      </c>
      <c r="Z4" s="325"/>
      <c r="AA4" s="95" t="str">
        <f t="shared" si="4"/>
        <v>Varejo</v>
      </c>
      <c r="AB4" s="13" t="s">
        <v>119</v>
      </c>
      <c r="AC4" s="95"/>
      <c r="AD4" s="95" t="s">
        <v>2559</v>
      </c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191"/>
      <c r="AP4" s="191"/>
      <c r="AQ4" s="191"/>
      <c r="AR4" s="171"/>
      <c r="AS4" s="326"/>
      <c r="AT4" s="326"/>
      <c r="AU4" s="326"/>
      <c r="AV4" s="326"/>
      <c r="AW4" s="326"/>
      <c r="AX4" s="171"/>
      <c r="AY4" s="171"/>
      <c r="AZ4" s="171"/>
      <c r="BA4" s="171"/>
      <c r="BB4" s="171"/>
      <c r="BC4" s="171"/>
      <c r="BD4" s="171"/>
      <c r="BE4" s="171"/>
      <c r="BF4" s="171">
        <v>0.0</v>
      </c>
      <c r="BG4" s="171"/>
      <c r="BH4" s="171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  <c r="CI4" s="329"/>
    </row>
    <row r="5" ht="15.75" customHeight="1">
      <c r="A5" s="317" t="s">
        <v>2547</v>
      </c>
      <c r="B5" s="235" t="s">
        <v>2560</v>
      </c>
      <c r="C5" s="331" t="s">
        <v>2561</v>
      </c>
      <c r="D5" s="319" t="s">
        <v>2550</v>
      </c>
      <c r="E5" s="319" t="s">
        <v>29</v>
      </c>
      <c r="F5" s="95" t="s">
        <v>2562</v>
      </c>
      <c r="G5" s="44" t="str">
        <f t="shared" si="1"/>
        <v>Augusto</v>
      </c>
      <c r="H5" s="332" t="s">
        <v>186</v>
      </c>
      <c r="I5" s="46" t="s">
        <v>24</v>
      </c>
      <c r="J5" s="319" t="str">
        <f t="shared" si="2"/>
        <v>Não</v>
      </c>
      <c r="K5" s="333">
        <v>43874.0</v>
      </c>
      <c r="L5" s="333">
        <v>44314.0</v>
      </c>
      <c r="M5" s="95" t="s">
        <v>47</v>
      </c>
      <c r="N5" s="334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2563</v>
      </c>
      <c r="S5" s="333">
        <v>43874.0</v>
      </c>
      <c r="T5" s="63"/>
      <c r="U5" s="74"/>
      <c r="V5" s="45" t="s">
        <v>108</v>
      </c>
      <c r="W5" s="13" t="s">
        <v>2564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2565</v>
      </c>
      <c r="AE5" s="171">
        <v>0.0</v>
      </c>
      <c r="AF5" s="171">
        <v>96776.56</v>
      </c>
      <c r="AG5" s="171">
        <v>183783.56</v>
      </c>
      <c r="AH5" s="171">
        <v>287893.4</v>
      </c>
      <c r="AI5" s="171">
        <v>291343.79</v>
      </c>
      <c r="AJ5" s="171">
        <v>294698.38</v>
      </c>
      <c r="AK5" s="171">
        <v>299232.66</v>
      </c>
      <c r="AL5" s="171">
        <v>292938.64</v>
      </c>
      <c r="AM5" s="171">
        <v>288710.24</v>
      </c>
      <c r="AN5" s="171">
        <v>288349.59</v>
      </c>
      <c r="AO5" s="171">
        <v>300617.48</v>
      </c>
      <c r="AP5" s="171">
        <v>305040.57</v>
      </c>
      <c r="AQ5" s="171">
        <v>301563.7</v>
      </c>
      <c r="AR5" s="171">
        <v>294929.9</v>
      </c>
      <c r="AS5" s="171">
        <v>292735.32</v>
      </c>
      <c r="AT5" s="171">
        <v>299695.62</v>
      </c>
      <c r="AU5" s="171">
        <v>298979.36</v>
      </c>
      <c r="AV5" s="171">
        <v>143498.87</v>
      </c>
      <c r="AW5" s="171">
        <v>43479.59</v>
      </c>
      <c r="AX5" s="171">
        <v>43645.0</v>
      </c>
      <c r="AY5" s="171">
        <v>44066.83</v>
      </c>
      <c r="AZ5" s="171">
        <v>44272.96</v>
      </c>
      <c r="BA5" s="171">
        <v>44455.41</v>
      </c>
      <c r="BB5" s="171">
        <v>45100.47</v>
      </c>
      <c r="BC5" s="171"/>
      <c r="BD5" s="171"/>
      <c r="BE5" s="171"/>
      <c r="BF5" s="171">
        <v>0.0</v>
      </c>
      <c r="BG5" s="171">
        <v>0.0</v>
      </c>
      <c r="BH5" s="171">
        <v>0.0</v>
      </c>
      <c r="BI5" s="171" t="s">
        <v>2566</v>
      </c>
      <c r="BJ5" s="171">
        <v>0.0</v>
      </c>
      <c r="BK5" s="171">
        <v>0.0</v>
      </c>
      <c r="BL5" s="171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  <c r="CI5" s="329"/>
    </row>
    <row r="6" ht="15.75" customHeight="1">
      <c r="A6" s="317" t="s">
        <v>2547</v>
      </c>
      <c r="B6" s="42" t="s">
        <v>2567</v>
      </c>
      <c r="C6" s="330" t="s">
        <v>2568</v>
      </c>
      <c r="D6" s="319" t="s">
        <v>18</v>
      </c>
      <c r="E6" s="319" t="s">
        <v>176</v>
      </c>
      <c r="F6" s="319" t="s">
        <v>197</v>
      </c>
      <c r="G6" s="44" t="str">
        <f t="shared" si="1"/>
        <v>Augusto</v>
      </c>
      <c r="H6" s="165" t="s">
        <v>147</v>
      </c>
      <c r="I6" s="51" t="s">
        <v>219</v>
      </c>
      <c r="J6" s="319" t="str">
        <f t="shared" si="2"/>
        <v>Não</v>
      </c>
      <c r="K6" s="320">
        <v>44321.0</v>
      </c>
      <c r="L6" s="95"/>
      <c r="M6" s="95" t="s">
        <v>79</v>
      </c>
      <c r="N6" s="117">
        <v>0.012</v>
      </c>
      <c r="O6" s="319" t="s">
        <v>2552</v>
      </c>
      <c r="P6" s="322">
        <v>0.0</v>
      </c>
      <c r="Q6" s="319" t="str">
        <f>IFERROR(VLOOKUP(F6,'Cadastro de assessores'!A:B,2,FALSE),"Não Cadastrado")</f>
        <v>28411</v>
      </c>
      <c r="R6" s="319" t="s">
        <v>107</v>
      </c>
      <c r="S6" s="320">
        <v>44321.0</v>
      </c>
      <c r="T6" s="63"/>
      <c r="U6" s="50" t="s">
        <v>2569</v>
      </c>
      <c r="V6" s="45" t="s">
        <v>108</v>
      </c>
      <c r="W6" s="5" t="s">
        <v>2570</v>
      </c>
      <c r="X6" s="164" t="s">
        <v>180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110</v>
      </c>
      <c r="AC6" s="95"/>
      <c r="AD6" s="95" t="s">
        <v>2559</v>
      </c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71"/>
      <c r="AS6" s="326"/>
      <c r="AT6" s="326"/>
      <c r="AU6" s="326"/>
      <c r="AV6" s="326"/>
      <c r="AW6" s="326">
        <v>2891541.71</v>
      </c>
      <c r="AX6" s="171">
        <v>2889339.52</v>
      </c>
      <c r="AY6" s="171">
        <v>2530492.36</v>
      </c>
      <c r="AZ6" s="171">
        <v>2205281.01</v>
      </c>
      <c r="BA6" s="171">
        <v>2191383.28</v>
      </c>
      <c r="BB6" s="171">
        <v>2062360.45</v>
      </c>
      <c r="BC6" s="171">
        <v>1956984.15</v>
      </c>
      <c r="BD6" s="171">
        <v>1753200.49</v>
      </c>
      <c r="BE6" s="171">
        <v>1675241.7</v>
      </c>
      <c r="BF6" s="171">
        <v>1539225.57</v>
      </c>
      <c r="BG6" s="171">
        <v>1590835.53</v>
      </c>
      <c r="BH6" s="171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  <c r="CI6" s="329"/>
    </row>
    <row r="7" ht="15.75" customHeight="1">
      <c r="A7" s="317" t="s">
        <v>2547</v>
      </c>
      <c r="B7" s="317" t="s">
        <v>2571</v>
      </c>
      <c r="C7" s="331" t="s">
        <v>2572</v>
      </c>
      <c r="D7" s="319" t="s">
        <v>2550</v>
      </c>
      <c r="E7" s="319" t="s">
        <v>29</v>
      </c>
      <c r="F7" s="319" t="s">
        <v>2562</v>
      </c>
      <c r="G7" s="44" t="str">
        <f t="shared" si="1"/>
        <v>Augusto</v>
      </c>
      <c r="H7" s="165" t="s">
        <v>147</v>
      </c>
      <c r="I7" s="46" t="s">
        <v>24</v>
      </c>
      <c r="J7" s="319" t="str">
        <f t="shared" si="2"/>
        <v>Não</v>
      </c>
      <c r="K7" s="335">
        <v>43780.0</v>
      </c>
      <c r="L7" s="95"/>
      <c r="M7" s="95" t="s">
        <v>79</v>
      </c>
      <c r="N7" s="334">
        <v>0.012</v>
      </c>
      <c r="O7" s="319" t="s">
        <v>2552</v>
      </c>
      <c r="P7" s="322">
        <v>0.0</v>
      </c>
      <c r="Q7" s="319" t="str">
        <f>IFERROR(VLOOKUP(F7,'Cadastro de assessores'!A:B,2,FALSE),"Não Cadastrado")</f>
        <v>2971</v>
      </c>
      <c r="R7" s="319" t="s">
        <v>107</v>
      </c>
      <c r="S7" s="335">
        <v>43775.0</v>
      </c>
      <c r="T7" s="74"/>
      <c r="U7" s="169" t="s">
        <v>2573</v>
      </c>
      <c r="V7" s="45" t="s">
        <v>108</v>
      </c>
      <c r="W7" s="324" t="s">
        <v>2574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119</v>
      </c>
      <c r="AC7" s="95"/>
      <c r="AD7" s="95" t="s">
        <v>2575</v>
      </c>
      <c r="AE7" s="171">
        <v>101253.6</v>
      </c>
      <c r="AF7" s="171">
        <v>99688.16</v>
      </c>
      <c r="AG7" s="171">
        <v>93768.21</v>
      </c>
      <c r="AH7" s="171">
        <v>95615.45</v>
      </c>
      <c r="AI7" s="171">
        <v>95766.75</v>
      </c>
      <c r="AJ7" s="171">
        <v>96629.85</v>
      </c>
      <c r="AK7" s="171">
        <v>98214.18</v>
      </c>
      <c r="AL7" s="171">
        <v>96572.31</v>
      </c>
      <c r="AM7" s="171">
        <v>95876.01</v>
      </c>
      <c r="AN7" s="171">
        <v>95925.29</v>
      </c>
      <c r="AO7" s="171">
        <v>98856.94</v>
      </c>
      <c r="AP7" s="171">
        <v>99917.39</v>
      </c>
      <c r="AQ7" s="171">
        <v>99343.7</v>
      </c>
      <c r="AR7" s="171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1">
        <v>98782.62</v>
      </c>
      <c r="AY7" s="171">
        <v>98443.64</v>
      </c>
      <c r="AZ7" s="171">
        <v>97602.23</v>
      </c>
      <c r="BA7" s="171">
        <v>76715.88</v>
      </c>
      <c r="BB7" s="171">
        <v>95224.21</v>
      </c>
      <c r="BC7" s="171">
        <v>95292.08</v>
      </c>
      <c r="BD7" s="171">
        <v>59688.47</v>
      </c>
      <c r="BE7" s="171">
        <v>60652.16</v>
      </c>
      <c r="BF7" s="171">
        <v>39028.18</v>
      </c>
      <c r="BG7" s="171">
        <v>39817.09</v>
      </c>
      <c r="BH7" s="171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  <c r="CI7" s="329"/>
    </row>
    <row r="8" ht="15.75" customHeight="1">
      <c r="A8" s="317" t="s">
        <v>2547</v>
      </c>
      <c r="B8" s="235" t="s">
        <v>2576</v>
      </c>
      <c r="C8" s="331" t="s">
        <v>2577</v>
      </c>
      <c r="D8" s="319" t="s">
        <v>18</v>
      </c>
      <c r="E8" s="319" t="s">
        <v>29</v>
      </c>
      <c r="F8" s="319" t="s">
        <v>78</v>
      </c>
      <c r="G8" s="44" t="str">
        <f t="shared" si="1"/>
        <v>Augusto</v>
      </c>
      <c r="H8" s="332" t="s">
        <v>107</v>
      </c>
      <c r="I8" s="46" t="s">
        <v>24</v>
      </c>
      <c r="J8" s="319" t="str">
        <f t="shared" si="2"/>
        <v>Não</v>
      </c>
      <c r="K8" s="335">
        <v>43816.0</v>
      </c>
      <c r="L8" s="95"/>
      <c r="M8" s="95" t="s">
        <v>79</v>
      </c>
      <c r="N8" s="334">
        <v>0.012</v>
      </c>
      <c r="O8" s="319" t="s">
        <v>2552</v>
      </c>
      <c r="P8" s="322">
        <v>0.0</v>
      </c>
      <c r="Q8" s="319" t="str">
        <f>IFERROR(VLOOKUP(F8,'Cadastro de assessores'!A:B,2,FALSE),"Não Cadastrado")</f>
        <v>Não Cadastrado</v>
      </c>
      <c r="R8" s="319" t="s">
        <v>107</v>
      </c>
      <c r="S8" s="335">
        <v>43805.0</v>
      </c>
      <c r="T8" s="169"/>
      <c r="U8" s="336" t="s">
        <v>2578</v>
      </c>
      <c r="V8" s="45" t="s">
        <v>108</v>
      </c>
      <c r="W8" s="13" t="s">
        <v>2579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119</v>
      </c>
      <c r="AC8" s="95"/>
      <c r="AD8" s="95" t="s">
        <v>2580</v>
      </c>
      <c r="AE8" s="171">
        <v>49089.19</v>
      </c>
      <c r="AF8" s="171">
        <v>48728.46</v>
      </c>
      <c r="AG8" s="171">
        <v>45945.67</v>
      </c>
      <c r="AH8" s="171">
        <v>46733.59</v>
      </c>
      <c r="AI8" s="171">
        <v>46657.45</v>
      </c>
      <c r="AJ8" s="171">
        <v>47100.22</v>
      </c>
      <c r="AK8" s="171">
        <v>47534.21</v>
      </c>
      <c r="AL8" s="171">
        <v>46543.29</v>
      </c>
      <c r="AM8" s="171">
        <v>46257.87</v>
      </c>
      <c r="AN8" s="171">
        <v>46215.1</v>
      </c>
      <c r="AO8" s="171">
        <v>47791.19</v>
      </c>
      <c r="AP8" s="171">
        <v>47840.2</v>
      </c>
      <c r="AQ8" s="171">
        <v>47524.72</v>
      </c>
      <c r="AR8" s="171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1">
        <v>46867.03</v>
      </c>
      <c r="AY8" s="171">
        <v>46700.58</v>
      </c>
      <c r="AZ8" s="171">
        <v>46280.12</v>
      </c>
      <c r="BA8" s="171">
        <v>45918.33</v>
      </c>
      <c r="BB8" s="171">
        <v>45068.8</v>
      </c>
      <c r="BC8" s="171">
        <v>45124.76</v>
      </c>
      <c r="BD8" s="171">
        <v>45506.57</v>
      </c>
      <c r="BE8" s="171">
        <v>45858.99</v>
      </c>
      <c r="BF8" s="171">
        <v>46225.53</v>
      </c>
      <c r="BG8" s="171">
        <v>47402.26</v>
      </c>
      <c r="BH8" s="171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  <c r="CI8" s="329"/>
    </row>
    <row r="9" ht="15.75" customHeight="1">
      <c r="A9" s="317" t="s">
        <v>2547</v>
      </c>
      <c r="B9" s="235" t="s">
        <v>141</v>
      </c>
      <c r="C9" s="331" t="s">
        <v>2581</v>
      </c>
      <c r="D9" s="319" t="s">
        <v>18</v>
      </c>
      <c r="E9" s="319" t="s">
        <v>29</v>
      </c>
      <c r="F9" s="95" t="s">
        <v>2213</v>
      </c>
      <c r="G9" s="44" t="str">
        <f t="shared" si="1"/>
        <v>Augusto</v>
      </c>
      <c r="H9" s="332" t="s">
        <v>186</v>
      </c>
      <c r="I9" s="46" t="s">
        <v>24</v>
      </c>
      <c r="J9" s="319" t="str">
        <f t="shared" si="2"/>
        <v>Não</v>
      </c>
      <c r="K9" s="333">
        <v>44006.0</v>
      </c>
      <c r="L9" s="333">
        <v>44309.0</v>
      </c>
      <c r="M9" s="95" t="s">
        <v>47</v>
      </c>
      <c r="N9" s="334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2563</v>
      </c>
      <c r="S9" s="333">
        <v>44006.0</v>
      </c>
      <c r="T9" s="74"/>
      <c r="U9" s="169" t="s">
        <v>2582</v>
      </c>
      <c r="V9" s="45" t="s">
        <v>108</v>
      </c>
      <c r="W9" s="13" t="s">
        <v>143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2565</v>
      </c>
      <c r="AE9" s="337"/>
      <c r="AF9" s="337"/>
      <c r="AG9" s="337"/>
      <c r="AH9" s="171"/>
      <c r="AI9" s="171">
        <v>0.0</v>
      </c>
      <c r="AJ9" s="171">
        <v>147203.24</v>
      </c>
      <c r="AK9" s="171">
        <v>243731.48</v>
      </c>
      <c r="AL9" s="171">
        <v>237082.99</v>
      </c>
      <c r="AM9" s="171">
        <v>231799.36</v>
      </c>
      <c r="AN9" s="171">
        <v>223307.59</v>
      </c>
      <c r="AO9" s="171">
        <v>247943.17</v>
      </c>
      <c r="AP9" s="171">
        <v>254677.31</v>
      </c>
      <c r="AQ9" s="171">
        <v>250734.52</v>
      </c>
      <c r="AR9" s="171">
        <v>5153.2</v>
      </c>
      <c r="AS9" s="171">
        <v>5399.43</v>
      </c>
      <c r="AT9" s="171">
        <v>219.76</v>
      </c>
      <c r="AU9" s="171">
        <v>219.76</v>
      </c>
      <c r="AV9" s="171">
        <v>219.76</v>
      </c>
      <c r="AW9" s="171"/>
      <c r="AX9" s="337"/>
      <c r="AY9" s="337"/>
      <c r="AZ9" s="337"/>
      <c r="BA9" s="171"/>
      <c r="BB9" s="171"/>
      <c r="BC9" s="171"/>
      <c r="BD9" s="171"/>
      <c r="BE9" s="171"/>
      <c r="BF9" s="171">
        <v>0.0</v>
      </c>
      <c r="BG9" s="171">
        <v>0.0</v>
      </c>
      <c r="BH9" s="171">
        <v>0.0</v>
      </c>
      <c r="BI9" s="171" t="s">
        <v>2566</v>
      </c>
      <c r="BJ9" s="171">
        <v>0.0</v>
      </c>
      <c r="BK9" s="171">
        <v>0.0</v>
      </c>
      <c r="BL9" s="171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  <c r="CI9" s="329"/>
    </row>
    <row r="10" ht="15.75" customHeight="1">
      <c r="A10" s="317" t="s">
        <v>2547</v>
      </c>
      <c r="B10" s="235" t="s">
        <v>2583</v>
      </c>
      <c r="C10" s="331" t="s">
        <v>2584</v>
      </c>
      <c r="D10" s="319" t="s">
        <v>2550</v>
      </c>
      <c r="E10" s="319" t="s">
        <v>29</v>
      </c>
      <c r="F10" s="95" t="s">
        <v>2551</v>
      </c>
      <c r="G10" s="44" t="str">
        <f t="shared" si="1"/>
        <v>Augusto</v>
      </c>
      <c r="H10" s="332" t="s">
        <v>186</v>
      </c>
      <c r="I10" s="46" t="s">
        <v>24</v>
      </c>
      <c r="J10" s="319" t="str">
        <f t="shared" si="2"/>
        <v>Não</v>
      </c>
      <c r="K10" s="338">
        <v>43753.0</v>
      </c>
      <c r="L10" s="333">
        <v>44363.0</v>
      </c>
      <c r="M10" s="95" t="s">
        <v>47</v>
      </c>
      <c r="N10" s="334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2563</v>
      </c>
      <c r="S10" s="338">
        <v>43753.0</v>
      </c>
      <c r="T10" s="74"/>
      <c r="U10" s="169" t="s">
        <v>2585</v>
      </c>
      <c r="V10" s="45" t="s">
        <v>108</v>
      </c>
      <c r="W10" s="13" t="s">
        <v>2586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119</v>
      </c>
      <c r="AC10" s="95"/>
      <c r="AD10" s="95" t="s">
        <v>2580</v>
      </c>
      <c r="AE10" s="171">
        <v>102912.41</v>
      </c>
      <c r="AF10" s="171">
        <v>102093.06</v>
      </c>
      <c r="AG10" s="171">
        <v>98566.6</v>
      </c>
      <c r="AH10" s="171">
        <v>99987.02</v>
      </c>
      <c r="AI10" s="171">
        <v>100785.78</v>
      </c>
      <c r="AJ10" s="171">
        <v>101820.86</v>
      </c>
      <c r="AK10" s="171">
        <v>104147.07</v>
      </c>
      <c r="AL10" s="171">
        <v>103569.45</v>
      </c>
      <c r="AM10" s="171">
        <v>104393.73</v>
      </c>
      <c r="AN10" s="171">
        <v>104946.6</v>
      </c>
      <c r="AO10" s="171">
        <v>108377.12</v>
      </c>
      <c r="AP10" s="171">
        <v>109877.66</v>
      </c>
      <c r="AQ10" s="171">
        <v>111168.97</v>
      </c>
      <c r="AR10" s="171">
        <v>111310.32</v>
      </c>
      <c r="AS10" s="171">
        <v>110628.54</v>
      </c>
      <c r="AT10" s="171">
        <v>111156.89</v>
      </c>
      <c r="AU10" s="171">
        <v>113047.02</v>
      </c>
      <c r="AV10" s="171">
        <v>113072.91</v>
      </c>
      <c r="AW10" s="171">
        <v>126158.5</v>
      </c>
      <c r="AX10" s="171">
        <v>94401.89</v>
      </c>
      <c r="AY10" s="171">
        <v>94208.68</v>
      </c>
      <c r="AZ10" s="171">
        <v>93234.31</v>
      </c>
      <c r="BA10" s="171">
        <v>92094.75</v>
      </c>
      <c r="BB10" s="171">
        <v>90330.36</v>
      </c>
      <c r="BC10" s="171">
        <v>44466.28</v>
      </c>
      <c r="BD10" s="171">
        <v>30677.56</v>
      </c>
      <c r="BE10" s="171">
        <v>32277.9</v>
      </c>
      <c r="BF10" s="171">
        <v>16775.85</v>
      </c>
      <c r="BG10" s="171">
        <v>0.0</v>
      </c>
      <c r="BH10" s="171">
        <v>5.79</v>
      </c>
      <c r="BI10" s="339" t="s">
        <v>2566</v>
      </c>
      <c r="BJ10" s="171">
        <v>19.42</v>
      </c>
      <c r="BK10" s="171">
        <v>0.0</v>
      </c>
      <c r="BL10" s="171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  <c r="CI10" s="329"/>
    </row>
    <row r="11" ht="15.75" customHeight="1">
      <c r="A11" s="317" t="s">
        <v>2547</v>
      </c>
      <c r="B11" s="317" t="s">
        <v>2587</v>
      </c>
      <c r="C11" s="331" t="s">
        <v>2588</v>
      </c>
      <c r="D11" s="319" t="s">
        <v>18</v>
      </c>
      <c r="E11" s="319" t="s">
        <v>29</v>
      </c>
      <c r="F11" s="319" t="s">
        <v>78</v>
      </c>
      <c r="G11" s="44" t="str">
        <f t="shared" si="1"/>
        <v>Augusto</v>
      </c>
      <c r="H11" s="165" t="s">
        <v>147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147</v>
      </c>
      <c r="S11" s="320">
        <v>43677.0</v>
      </c>
      <c r="T11" s="340" t="s">
        <v>2589</v>
      </c>
      <c r="U11" s="336" t="s">
        <v>2578</v>
      </c>
      <c r="V11" s="45" t="s">
        <v>108</v>
      </c>
      <c r="W11" s="324" t="s">
        <v>2590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119</v>
      </c>
      <c r="AC11" s="95"/>
      <c r="AD11" s="95" t="s">
        <v>2591</v>
      </c>
      <c r="AE11" s="171">
        <v>262229.28</v>
      </c>
      <c r="AF11" s="171">
        <v>260241.71</v>
      </c>
      <c r="AG11" s="171">
        <v>246956.93</v>
      </c>
      <c r="AH11" s="171">
        <v>251748.15</v>
      </c>
      <c r="AI11" s="171">
        <v>254282.76</v>
      </c>
      <c r="AJ11" s="171">
        <v>258419.79</v>
      </c>
      <c r="AK11" s="171">
        <v>263166.25</v>
      </c>
      <c r="AL11" s="171">
        <v>259335.68</v>
      </c>
      <c r="AM11" s="171">
        <v>255519.33</v>
      </c>
      <c r="AN11" s="171">
        <v>256043.88</v>
      </c>
      <c r="AO11" s="171">
        <v>262838.63</v>
      </c>
      <c r="AP11" s="171">
        <v>265781.59</v>
      </c>
      <c r="AQ11" s="171">
        <v>263616.95</v>
      </c>
      <c r="AR11" s="171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1">
        <v>57565.24</v>
      </c>
      <c r="AY11" s="171">
        <v>15764.62</v>
      </c>
      <c r="AZ11" s="171">
        <v>15871.58</v>
      </c>
      <c r="BA11" s="171">
        <v>15928.67</v>
      </c>
      <c r="BB11" s="171">
        <v>16169.29</v>
      </c>
      <c r="BC11" s="171">
        <v>16267.31</v>
      </c>
      <c r="BD11" s="171">
        <v>16548.47</v>
      </c>
      <c r="BE11" s="171">
        <v>16659.21</v>
      </c>
      <c r="BF11" s="171">
        <v>16766.27</v>
      </c>
      <c r="BG11" s="171">
        <v>16758.91</v>
      </c>
      <c r="BH11" s="171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  <c r="CI11" s="329"/>
    </row>
    <row r="12" ht="15.75" customHeight="1">
      <c r="A12" s="317" t="s">
        <v>2547</v>
      </c>
      <c r="B12" s="239" t="s">
        <v>2592</v>
      </c>
      <c r="C12" s="331" t="s">
        <v>2593</v>
      </c>
      <c r="D12" s="319" t="s">
        <v>2550</v>
      </c>
      <c r="E12" s="319" t="s">
        <v>29</v>
      </c>
      <c r="F12" s="95" t="s">
        <v>2562</v>
      </c>
      <c r="G12" s="44" t="str">
        <f t="shared" si="1"/>
        <v>Augusto</v>
      </c>
      <c r="H12" s="332" t="s">
        <v>186</v>
      </c>
      <c r="I12" s="46" t="s">
        <v>24</v>
      </c>
      <c r="J12" s="319" t="str">
        <f t="shared" si="2"/>
        <v>Não</v>
      </c>
      <c r="K12" s="333">
        <v>43633.0</v>
      </c>
      <c r="L12" s="333">
        <v>44509.0</v>
      </c>
      <c r="M12" s="95" t="s">
        <v>79</v>
      </c>
      <c r="N12" s="334">
        <v>0.012</v>
      </c>
      <c r="O12" s="319" t="s">
        <v>2552</v>
      </c>
      <c r="P12" s="322">
        <v>0.0</v>
      </c>
      <c r="Q12" s="95" t="str">
        <f>IFERROR(VLOOKUP(F12,'Cadastro de assessores'!A:B,2,FALSE),"Não Cadastrado")</f>
        <v>2971</v>
      </c>
      <c r="R12" s="95" t="s">
        <v>2563</v>
      </c>
      <c r="S12" s="333">
        <v>43633.0</v>
      </c>
      <c r="T12" s="74"/>
      <c r="U12" s="169" t="s">
        <v>2594</v>
      </c>
      <c r="V12" s="45" t="s">
        <v>108</v>
      </c>
      <c r="W12" s="13" t="s">
        <v>2595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2596</v>
      </c>
      <c r="AE12" s="171">
        <v>107522.64</v>
      </c>
      <c r="AF12" s="171">
        <v>105884.84</v>
      </c>
      <c r="AG12" s="171">
        <v>98819.54</v>
      </c>
      <c r="AH12" s="171">
        <v>101176.69</v>
      </c>
      <c r="AI12" s="171">
        <v>102806.59</v>
      </c>
      <c r="AJ12" s="171">
        <v>103635.18</v>
      </c>
      <c r="AK12" s="171">
        <v>105779.25</v>
      </c>
      <c r="AL12" s="171">
        <v>103824.56</v>
      </c>
      <c r="AM12" s="171">
        <v>104369.64</v>
      </c>
      <c r="AN12" s="337"/>
      <c r="AO12" s="337"/>
      <c r="AP12" s="337"/>
      <c r="AQ12" s="337"/>
      <c r="AR12" s="171"/>
      <c r="AS12" s="171">
        <v>103137.56</v>
      </c>
      <c r="AT12" s="171"/>
      <c r="AU12" s="171">
        <v>105545.31</v>
      </c>
      <c r="AV12" s="171">
        <v>105489.39</v>
      </c>
      <c r="AW12" s="171">
        <v>106362.27</v>
      </c>
      <c r="AX12" s="171">
        <v>106114.77</v>
      </c>
      <c r="AY12" s="171">
        <v>105943.53</v>
      </c>
      <c r="AZ12" s="171">
        <v>105102.2</v>
      </c>
      <c r="BA12" s="171">
        <v>104522.08</v>
      </c>
      <c r="BB12" s="171">
        <v>103216.61</v>
      </c>
      <c r="BC12" s="171"/>
      <c r="BD12" s="171"/>
      <c r="BE12" s="171"/>
      <c r="BF12" s="171">
        <v>0.0</v>
      </c>
      <c r="BG12" s="171">
        <v>0.0</v>
      </c>
      <c r="BH12" s="171">
        <v>0.0</v>
      </c>
      <c r="BI12" s="171" t="s">
        <v>2566</v>
      </c>
      <c r="BJ12" s="171">
        <v>0.0</v>
      </c>
      <c r="BK12" s="171">
        <v>0.0</v>
      </c>
      <c r="BL12" s="171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  <c r="CI12" s="329"/>
    </row>
    <row r="13" ht="15.75" customHeight="1">
      <c r="A13" s="317" t="s">
        <v>2547</v>
      </c>
      <c r="B13" s="235" t="s">
        <v>2597</v>
      </c>
      <c r="C13" s="331" t="s">
        <v>2598</v>
      </c>
      <c r="D13" s="319" t="s">
        <v>2550</v>
      </c>
      <c r="E13" s="319" t="s">
        <v>29</v>
      </c>
      <c r="F13" s="95" t="s">
        <v>2551</v>
      </c>
      <c r="G13" s="44" t="str">
        <f t="shared" si="1"/>
        <v>Augusto</v>
      </c>
      <c r="H13" s="332" t="s">
        <v>186</v>
      </c>
      <c r="I13" s="46" t="s">
        <v>24</v>
      </c>
      <c r="J13" s="319" t="str">
        <f t="shared" si="2"/>
        <v>Não</v>
      </c>
      <c r="K13" s="95" t="s">
        <v>2599</v>
      </c>
      <c r="L13" s="338">
        <v>44482.0</v>
      </c>
      <c r="M13" s="95" t="s">
        <v>47</v>
      </c>
      <c r="N13" s="334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2563</v>
      </c>
      <c r="S13" s="95" t="s">
        <v>2600</v>
      </c>
      <c r="T13" s="74"/>
      <c r="U13" s="169"/>
      <c r="V13" s="45" t="s">
        <v>108</v>
      </c>
      <c r="W13" s="13" t="s">
        <v>2601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2602</v>
      </c>
      <c r="AE13" s="337"/>
      <c r="AF13" s="337"/>
      <c r="AG13" s="337"/>
      <c r="AH13" s="171"/>
      <c r="AI13" s="171"/>
      <c r="AJ13" s="337"/>
      <c r="AK13" s="337"/>
      <c r="AL13" s="337"/>
      <c r="AM13" s="337"/>
      <c r="AN13" s="171">
        <v>102675.48</v>
      </c>
      <c r="AO13" s="171">
        <v>106536.55</v>
      </c>
      <c r="AP13" s="171">
        <v>107774.74</v>
      </c>
      <c r="AQ13" s="171">
        <v>106354.7</v>
      </c>
      <c r="AR13" s="171"/>
      <c r="AS13" s="171"/>
      <c r="AT13" s="171"/>
      <c r="AU13" s="171"/>
      <c r="AV13" s="171"/>
      <c r="AW13" s="171"/>
      <c r="AX13" s="337"/>
      <c r="AY13" s="337"/>
      <c r="AZ13" s="337"/>
      <c r="BA13" s="171"/>
      <c r="BB13" s="171"/>
      <c r="BC13" s="171"/>
      <c r="BD13" s="171"/>
      <c r="BE13" s="171"/>
      <c r="BF13" s="171">
        <v>0.0</v>
      </c>
      <c r="BG13" s="171">
        <v>0.0</v>
      </c>
      <c r="BH13" s="171">
        <v>0.0</v>
      </c>
      <c r="BI13" s="171" t="s">
        <v>2566</v>
      </c>
      <c r="BJ13" s="171">
        <v>0.0</v>
      </c>
      <c r="BK13" s="171">
        <v>0.0</v>
      </c>
      <c r="BL13" s="171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  <c r="CI13" s="329"/>
    </row>
    <row r="14" ht="15.75" customHeight="1">
      <c r="A14" s="317" t="s">
        <v>2547</v>
      </c>
      <c r="B14" s="55" t="s">
        <v>2603</v>
      </c>
      <c r="C14" s="331" t="s">
        <v>2604</v>
      </c>
      <c r="D14" s="319" t="s">
        <v>18</v>
      </c>
      <c r="E14" s="319" t="s">
        <v>29</v>
      </c>
      <c r="F14" s="319" t="s">
        <v>2605</v>
      </c>
      <c r="G14" s="44" t="str">
        <f t="shared" si="1"/>
        <v>Breno</v>
      </c>
      <c r="H14" s="165" t="s">
        <v>107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55</v>
      </c>
      <c r="N14" s="334">
        <v>0.01</v>
      </c>
      <c r="O14" s="319" t="s">
        <v>2552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108</v>
      </c>
      <c r="W14" s="5" t="s">
        <v>2606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119</v>
      </c>
      <c r="AC14" s="95"/>
      <c r="AD14" s="95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71"/>
      <c r="AS14" s="326"/>
      <c r="AT14" s="326"/>
      <c r="AU14" s="326"/>
      <c r="AV14" s="326"/>
      <c r="AW14" s="326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  <c r="CI14" s="329"/>
    </row>
    <row r="15" ht="15.75" customHeight="1">
      <c r="A15" s="317" t="s">
        <v>2547</v>
      </c>
      <c r="B15" s="55" t="s">
        <v>2603</v>
      </c>
      <c r="C15" s="331" t="s">
        <v>2607</v>
      </c>
      <c r="D15" s="319" t="s">
        <v>18</v>
      </c>
      <c r="E15" s="319" t="s">
        <v>29</v>
      </c>
      <c r="F15" s="319" t="s">
        <v>2605</v>
      </c>
      <c r="G15" s="44" t="str">
        <f t="shared" si="1"/>
        <v>Breno</v>
      </c>
      <c r="H15" s="165" t="s">
        <v>107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190</v>
      </c>
      <c r="N15" s="334">
        <v>0.025</v>
      </c>
      <c r="O15" s="319" t="s">
        <v>191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108</v>
      </c>
      <c r="W15" s="341" t="s">
        <v>2606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119</v>
      </c>
      <c r="AC15" s="95"/>
      <c r="AD15" s="95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71"/>
      <c r="AS15" s="326"/>
      <c r="AT15" s="326"/>
      <c r="AU15" s="326"/>
      <c r="AV15" s="326"/>
      <c r="AW15" s="326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1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  <c r="CI15" s="329"/>
    </row>
    <row r="16" ht="15.75" customHeight="1">
      <c r="A16" s="317" t="s">
        <v>2547</v>
      </c>
      <c r="B16" s="42" t="s">
        <v>174</v>
      </c>
      <c r="C16" s="330" t="s">
        <v>2608</v>
      </c>
      <c r="D16" s="319" t="s">
        <v>18</v>
      </c>
      <c r="E16" s="319" t="s">
        <v>176</v>
      </c>
      <c r="F16" s="319" t="s">
        <v>177</v>
      </c>
      <c r="G16" s="44" t="str">
        <f t="shared" si="1"/>
        <v>Augusto</v>
      </c>
      <c r="H16" s="165" t="s">
        <v>107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4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107</v>
      </c>
      <c r="S16" s="320">
        <v>44321.0</v>
      </c>
      <c r="T16" s="50"/>
      <c r="U16" s="50"/>
      <c r="V16" s="45" t="s">
        <v>108</v>
      </c>
      <c r="W16" s="5" t="s">
        <v>179</v>
      </c>
      <c r="X16" s="164" t="s">
        <v>180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119</v>
      </c>
      <c r="AC16" s="95"/>
      <c r="AD16" s="95" t="s">
        <v>2609</v>
      </c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71"/>
      <c r="AS16" s="326"/>
      <c r="AT16" s="326"/>
      <c r="AU16" s="326"/>
      <c r="AV16" s="326"/>
      <c r="AW16" s="326">
        <v>176525.77</v>
      </c>
      <c r="AX16" s="171">
        <v>177328.31</v>
      </c>
      <c r="AY16" s="171">
        <v>176460.92</v>
      </c>
      <c r="AZ16" s="171">
        <v>174148.58</v>
      </c>
      <c r="BA16" s="171">
        <v>149350.3</v>
      </c>
      <c r="BB16" s="171">
        <v>167367.68</v>
      </c>
      <c r="BC16" s="171">
        <v>165710.39</v>
      </c>
      <c r="BD16" s="171">
        <v>165717.75</v>
      </c>
      <c r="BE16" s="171">
        <v>167379.83</v>
      </c>
      <c r="BF16" s="171">
        <v>168457.79</v>
      </c>
      <c r="BG16" s="171">
        <v>175571.34</v>
      </c>
      <c r="BH16" s="171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  <c r="CI16" s="329"/>
    </row>
    <row r="17" ht="15.75" customHeight="1">
      <c r="A17" s="317" t="s">
        <v>2547</v>
      </c>
      <c r="B17" s="42" t="s">
        <v>2610</v>
      </c>
      <c r="C17" s="330" t="s">
        <v>2611</v>
      </c>
      <c r="D17" s="319" t="s">
        <v>2550</v>
      </c>
      <c r="E17" s="319" t="s">
        <v>29</v>
      </c>
      <c r="F17" s="319" t="s">
        <v>2562</v>
      </c>
      <c r="G17" s="44" t="str">
        <f t="shared" si="1"/>
        <v>Augusto</v>
      </c>
      <c r="H17" s="165" t="s">
        <v>147</v>
      </c>
      <c r="I17" s="51" t="s">
        <v>219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4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107</v>
      </c>
      <c r="S17" s="320">
        <v>44182.0</v>
      </c>
      <c r="T17" s="50"/>
      <c r="U17" s="50" t="s">
        <v>2612</v>
      </c>
      <c r="V17" s="45" t="s">
        <v>108</v>
      </c>
      <c r="W17" s="5" t="s">
        <v>2613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119</v>
      </c>
      <c r="AC17" s="95"/>
      <c r="AD17" s="95" t="s">
        <v>2614</v>
      </c>
      <c r="AE17" s="171">
        <v>0.0</v>
      </c>
      <c r="AF17" s="171">
        <v>0.0</v>
      </c>
      <c r="AG17" s="171">
        <v>0.0</v>
      </c>
      <c r="AH17" s="171">
        <v>0.0</v>
      </c>
      <c r="AI17" s="171">
        <v>0.0</v>
      </c>
      <c r="AJ17" s="171">
        <v>0.0</v>
      </c>
      <c r="AK17" s="171">
        <v>0.0</v>
      </c>
      <c r="AL17" s="171">
        <v>0.0</v>
      </c>
      <c r="AM17" s="171">
        <v>0.0</v>
      </c>
      <c r="AN17" s="171">
        <v>0.0</v>
      </c>
      <c r="AO17" s="171">
        <v>0.0</v>
      </c>
      <c r="AP17" s="171">
        <v>240350.16</v>
      </c>
      <c r="AQ17" s="171">
        <v>238175.41</v>
      </c>
      <c r="AR17" s="171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1">
        <v>240359.58</v>
      </c>
      <c r="AY17" s="171">
        <v>237887.35</v>
      </c>
      <c r="AZ17" s="171">
        <v>239355.09</v>
      </c>
      <c r="BA17" s="171">
        <v>202433.96</v>
      </c>
      <c r="BB17" s="171">
        <v>223634.53</v>
      </c>
      <c r="BC17" s="171">
        <v>221832.49</v>
      </c>
      <c r="BD17" s="171">
        <v>223902.18</v>
      </c>
      <c r="BE17" s="171">
        <v>229616.1</v>
      </c>
      <c r="BF17" s="171">
        <v>230847.23</v>
      </c>
      <c r="BG17" s="171">
        <v>74052.76</v>
      </c>
      <c r="BH17" s="171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  <c r="CI17" s="329"/>
    </row>
    <row r="18" ht="15.75" customHeight="1">
      <c r="A18" s="317" t="s">
        <v>2547</v>
      </c>
      <c r="B18" s="156" t="s">
        <v>73</v>
      </c>
      <c r="C18" s="342">
        <v>498190.0</v>
      </c>
      <c r="D18" s="319" t="s">
        <v>18</v>
      </c>
      <c r="E18" s="319" t="s">
        <v>176</v>
      </c>
      <c r="F18" s="95" t="s">
        <v>197</v>
      </c>
      <c r="G18" s="44" t="str">
        <f t="shared" si="1"/>
        <v>Augusto</v>
      </c>
      <c r="H18" s="332" t="s">
        <v>147</v>
      </c>
      <c r="I18" s="51" t="s">
        <v>219</v>
      </c>
      <c r="J18" s="319" t="str">
        <f t="shared" si="2"/>
        <v>Não</v>
      </c>
      <c r="K18" s="72">
        <v>44698.0</v>
      </c>
      <c r="L18" s="144"/>
      <c r="M18" s="95" t="s">
        <v>79</v>
      </c>
      <c r="N18" s="321">
        <v>0.012</v>
      </c>
      <c r="O18" s="319" t="s">
        <v>2552</v>
      </c>
      <c r="P18" s="322">
        <v>0.0</v>
      </c>
      <c r="Q18" s="319" t="str">
        <f>IFERROR(VLOOKUP(F18,'Cadastro de assessores'!A:B,2,FALSE),"Não Cadastrado")</f>
        <v>28411</v>
      </c>
      <c r="R18" s="319" t="s">
        <v>107</v>
      </c>
      <c r="S18" s="72">
        <v>44698.0</v>
      </c>
      <c r="T18" s="50"/>
      <c r="U18" s="50"/>
      <c r="V18" s="45" t="s">
        <v>108</v>
      </c>
      <c r="W18" s="11" t="s">
        <v>200</v>
      </c>
      <c r="X18" s="24" t="s">
        <v>180</v>
      </c>
      <c r="Y18" s="51" t="str">
        <f t="shared" si="3"/>
        <v>Ativo</v>
      </c>
      <c r="Z18" s="325"/>
      <c r="AA18" s="95" t="str">
        <f t="shared" si="4"/>
        <v/>
      </c>
      <c r="AB18" s="13" t="s">
        <v>110</v>
      </c>
      <c r="AC18" s="95"/>
      <c r="AD18" s="45" t="s">
        <v>2615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1"/>
      <c r="AP18" s="171"/>
      <c r="AQ18" s="171"/>
      <c r="AR18" s="171"/>
      <c r="AS18" s="171"/>
      <c r="AT18" s="171"/>
      <c r="AU18" s="171"/>
      <c r="AV18" s="171"/>
      <c r="AW18" s="337"/>
      <c r="AX18" s="171"/>
      <c r="AY18" s="171"/>
      <c r="AZ18" s="41"/>
      <c r="BA18" s="171"/>
      <c r="BB18" s="171"/>
      <c r="BC18" s="171"/>
      <c r="BD18" s="171"/>
      <c r="BE18" s="171"/>
      <c r="BF18" s="171"/>
      <c r="BG18" s="171"/>
      <c r="BH18" s="171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  <c r="CI18" s="329"/>
    </row>
    <row r="19" ht="15.75" customHeight="1">
      <c r="A19" s="317" t="s">
        <v>2547</v>
      </c>
      <c r="B19" s="156" t="s">
        <v>2616</v>
      </c>
      <c r="C19" s="342">
        <v>6274118.0</v>
      </c>
      <c r="D19" s="319" t="s">
        <v>18</v>
      </c>
      <c r="E19" s="319" t="s">
        <v>29</v>
      </c>
      <c r="F19" s="45" t="s">
        <v>60</v>
      </c>
      <c r="G19" s="44" t="str">
        <f t="shared" si="1"/>
        <v>Augusto</v>
      </c>
      <c r="H19" s="332" t="s">
        <v>186</v>
      </c>
      <c r="I19" s="46" t="s">
        <v>24</v>
      </c>
      <c r="J19" s="319" t="str">
        <f t="shared" si="2"/>
        <v>Não</v>
      </c>
      <c r="K19" s="72">
        <v>44469.0</v>
      </c>
      <c r="L19" s="343">
        <v>44907.0</v>
      </c>
      <c r="M19" s="95" t="s">
        <v>79</v>
      </c>
      <c r="N19" s="321">
        <v>0.012</v>
      </c>
      <c r="O19" s="319" t="s">
        <v>2552</v>
      </c>
      <c r="P19" s="322">
        <v>0.0</v>
      </c>
      <c r="Q19" s="319">
        <f>IFERROR(VLOOKUP(F19,'Cadastro de assessores'!A:B,2,FALSE),"Não Cadastrado")</f>
        <v>12332</v>
      </c>
      <c r="R19" s="319" t="s">
        <v>107</v>
      </c>
      <c r="S19" s="72">
        <v>44433.0</v>
      </c>
      <c r="T19" s="50"/>
      <c r="U19" s="323" t="s">
        <v>2617</v>
      </c>
      <c r="V19" s="45" t="s">
        <v>108</v>
      </c>
      <c r="W19" s="11" t="s">
        <v>2618</v>
      </c>
      <c r="X19" s="45" t="s">
        <v>152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119</v>
      </c>
      <c r="AC19" s="95"/>
      <c r="AD19" s="45" t="s">
        <v>2619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1"/>
      <c r="AP19" s="171"/>
      <c r="AQ19" s="171"/>
      <c r="AR19" s="171"/>
      <c r="AS19" s="171"/>
      <c r="AT19" s="171"/>
      <c r="AU19" s="171"/>
      <c r="AV19" s="171"/>
      <c r="AW19" s="337"/>
      <c r="AX19" s="171"/>
      <c r="AY19" s="171"/>
      <c r="AZ19" s="41"/>
      <c r="BA19" s="171">
        <v>1000.0</v>
      </c>
      <c r="BB19" s="171">
        <v>590780.42</v>
      </c>
      <c r="BC19" s="171">
        <v>592755.68</v>
      </c>
      <c r="BD19" s="171">
        <v>599392.87</v>
      </c>
      <c r="BE19" s="171">
        <v>606265.6</v>
      </c>
      <c r="BF19" s="171">
        <v>610674.77</v>
      </c>
      <c r="BG19" s="171">
        <v>626694.72</v>
      </c>
      <c r="BH19" s="171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  <c r="CI19" s="329"/>
    </row>
    <row r="20" ht="15.75" customHeight="1">
      <c r="A20" s="317" t="s">
        <v>2547</v>
      </c>
      <c r="B20" s="239" t="s">
        <v>2620</v>
      </c>
      <c r="C20" s="331" t="s">
        <v>2621</v>
      </c>
      <c r="D20" s="319" t="s">
        <v>2550</v>
      </c>
      <c r="E20" s="319" t="s">
        <v>29</v>
      </c>
      <c r="F20" s="95" t="s">
        <v>2551</v>
      </c>
      <c r="G20" s="44" t="str">
        <f t="shared" si="1"/>
        <v>Augusto</v>
      </c>
      <c r="H20" s="332" t="s">
        <v>186</v>
      </c>
      <c r="I20" s="46" t="s">
        <v>24</v>
      </c>
      <c r="J20" s="319" t="str">
        <f t="shared" si="2"/>
        <v>Não</v>
      </c>
      <c r="K20" s="333">
        <v>43745.0</v>
      </c>
      <c r="L20" s="333">
        <v>44035.0</v>
      </c>
      <c r="M20" s="95" t="s">
        <v>47</v>
      </c>
      <c r="N20" s="334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2563</v>
      </c>
      <c r="S20" s="333">
        <v>43745.0</v>
      </c>
      <c r="T20" s="74"/>
      <c r="U20" s="169"/>
      <c r="V20" s="45" t="s">
        <v>108</v>
      </c>
      <c r="W20" s="13" t="s">
        <v>2622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119</v>
      </c>
      <c r="AC20" s="95"/>
      <c r="AD20" s="95" t="s">
        <v>2623</v>
      </c>
      <c r="AE20" s="171">
        <v>1035342.41</v>
      </c>
      <c r="AF20" s="171">
        <v>1027142.78</v>
      </c>
      <c r="AG20" s="171">
        <v>968338.56</v>
      </c>
      <c r="AH20" s="171">
        <v>971958.06</v>
      </c>
      <c r="AI20" s="171">
        <v>973440.75</v>
      </c>
      <c r="AJ20" s="171">
        <v>556008.9</v>
      </c>
      <c r="AK20" s="171">
        <v>0.0</v>
      </c>
      <c r="AL20" s="171"/>
      <c r="AM20" s="171"/>
      <c r="AN20" s="171">
        <v>237.78</v>
      </c>
      <c r="AO20" s="171">
        <v>237.78</v>
      </c>
      <c r="AP20" s="171">
        <v>147.88</v>
      </c>
      <c r="AQ20" s="171">
        <v>147.88</v>
      </c>
      <c r="AR20" s="171">
        <v>147.88</v>
      </c>
      <c r="AS20" s="171">
        <v>147.88</v>
      </c>
      <c r="AT20" s="171">
        <v>147.88</v>
      </c>
      <c r="AU20" s="171">
        <v>147.88</v>
      </c>
      <c r="AV20" s="171">
        <v>147.88</v>
      </c>
      <c r="AW20" s="171"/>
      <c r="AX20" s="337"/>
      <c r="AY20" s="171">
        <v>42.06</v>
      </c>
      <c r="AZ20" s="171">
        <v>42.06</v>
      </c>
      <c r="BA20" s="171">
        <v>42.06</v>
      </c>
      <c r="BB20" s="171">
        <v>42.06</v>
      </c>
      <c r="BC20" s="171">
        <v>42.06</v>
      </c>
      <c r="BD20" s="171">
        <v>42.06</v>
      </c>
      <c r="BE20" s="171">
        <v>42.06</v>
      </c>
      <c r="BF20" s="171">
        <v>42.06</v>
      </c>
      <c r="BG20" s="171">
        <v>42.06</v>
      </c>
      <c r="BH20" s="171">
        <v>42.06</v>
      </c>
      <c r="BI20" s="339" t="s">
        <v>2566</v>
      </c>
      <c r="BJ20" s="171">
        <v>0.0</v>
      </c>
      <c r="BK20" s="171">
        <v>0.0</v>
      </c>
      <c r="BL20" s="171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  <c r="CI20" s="329"/>
    </row>
    <row r="21" ht="15.75" customHeight="1">
      <c r="A21" s="317" t="s">
        <v>2547</v>
      </c>
      <c r="B21" s="239" t="s">
        <v>2624</v>
      </c>
      <c r="C21" s="330">
        <v>3791512.0</v>
      </c>
      <c r="D21" s="319" t="s">
        <v>18</v>
      </c>
      <c r="E21" s="319" t="s">
        <v>29</v>
      </c>
      <c r="F21" s="95" t="s">
        <v>60</v>
      </c>
      <c r="G21" s="44" t="str">
        <f t="shared" si="1"/>
        <v>Breno</v>
      </c>
      <c r="H21" s="165" t="s">
        <v>107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55</v>
      </c>
      <c r="N21" s="334">
        <v>0.007</v>
      </c>
      <c r="O21" s="319" t="s">
        <v>2552</v>
      </c>
      <c r="P21" s="322">
        <v>0.0</v>
      </c>
      <c r="Q21" s="319"/>
      <c r="R21" s="319"/>
      <c r="S21" s="335"/>
      <c r="T21" s="50"/>
      <c r="U21" s="50"/>
      <c r="V21" s="45" t="s">
        <v>108</v>
      </c>
      <c r="W21" s="13" t="s">
        <v>2625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119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7"/>
      <c r="AP21" s="337"/>
      <c r="AQ21" s="171"/>
      <c r="AR21" s="326"/>
      <c r="AS21" s="326"/>
      <c r="AT21" s="326"/>
      <c r="AU21" s="326"/>
      <c r="AV21" s="326"/>
      <c r="AW21" s="171"/>
      <c r="AX21" s="171"/>
      <c r="AY21" s="171"/>
      <c r="AZ21" s="171"/>
      <c r="BA21" s="171"/>
      <c r="BB21" s="41"/>
      <c r="BC21" s="191"/>
      <c r="BD21" s="191"/>
      <c r="BE21" s="171"/>
      <c r="BF21" s="171"/>
      <c r="BG21" s="171"/>
      <c r="BH21" s="171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  <c r="CI21" s="329"/>
    </row>
    <row r="22" ht="15.75" customHeight="1">
      <c r="A22" s="317" t="s">
        <v>2547</v>
      </c>
      <c r="B22" s="61" t="s">
        <v>2626</v>
      </c>
      <c r="C22" s="144">
        <v>2538527.0</v>
      </c>
      <c r="D22" s="319" t="s">
        <v>18</v>
      </c>
      <c r="E22" s="319" t="s">
        <v>176</v>
      </c>
      <c r="F22" s="95" t="s">
        <v>177</v>
      </c>
      <c r="G22" s="44" t="str">
        <f t="shared" si="1"/>
        <v>Augusto</v>
      </c>
      <c r="H22" s="332" t="s">
        <v>147</v>
      </c>
      <c r="I22" s="51" t="s">
        <v>219</v>
      </c>
      <c r="J22" s="319" t="str">
        <f t="shared" si="2"/>
        <v>Não</v>
      </c>
      <c r="K22" s="335">
        <v>44512.0</v>
      </c>
      <c r="L22" s="45"/>
      <c r="M22" s="95" t="s">
        <v>55</v>
      </c>
      <c r="N22" s="334">
        <v>0.007</v>
      </c>
      <c r="O22" s="319" t="s">
        <v>2552</v>
      </c>
      <c r="P22" s="322">
        <v>0.0</v>
      </c>
      <c r="Q22" s="319" t="str">
        <f>IFERROR(VLOOKUP(F22,'Cadastro de assessores'!A:B,2,FALSE),"Não Cadastrado")</f>
        <v>250</v>
      </c>
      <c r="R22" s="319" t="s">
        <v>107</v>
      </c>
      <c r="S22" s="335">
        <v>44512.0</v>
      </c>
      <c r="T22" s="50"/>
      <c r="U22" s="50"/>
      <c r="V22" s="45" t="s">
        <v>108</v>
      </c>
      <c r="W22" s="5" t="s">
        <v>244</v>
      </c>
      <c r="X22" s="164" t="s">
        <v>180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119</v>
      </c>
      <c r="AC22" s="95"/>
      <c r="AD22" s="95" t="s">
        <v>2609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7"/>
      <c r="AP22" s="337"/>
      <c r="AQ22" s="171"/>
      <c r="AR22" s="326"/>
      <c r="AS22" s="326"/>
      <c r="AT22" s="326"/>
      <c r="AU22" s="326"/>
      <c r="AV22" s="326"/>
      <c r="AW22" s="171"/>
      <c r="AX22" s="171"/>
      <c r="AY22" s="171"/>
      <c r="AZ22" s="171"/>
      <c r="BA22" s="171"/>
      <c r="BB22" s="41"/>
      <c r="BC22" s="191">
        <v>136654.94</v>
      </c>
      <c r="BD22" s="191">
        <v>138554.52</v>
      </c>
      <c r="BE22" s="171">
        <v>138760.3</v>
      </c>
      <c r="BF22" s="171">
        <v>139588.04</v>
      </c>
      <c r="BG22" s="171">
        <v>142204.77</v>
      </c>
      <c r="BH22" s="171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  <c r="CI22" s="329"/>
    </row>
    <row r="23" ht="15.75" customHeight="1">
      <c r="A23" s="317" t="s">
        <v>2547</v>
      </c>
      <c r="B23" s="344" t="s">
        <v>245</v>
      </c>
      <c r="C23" s="331" t="s">
        <v>2627</v>
      </c>
      <c r="D23" s="319" t="s">
        <v>18</v>
      </c>
      <c r="E23" s="319" t="s">
        <v>176</v>
      </c>
      <c r="F23" s="319" t="s">
        <v>177</v>
      </c>
      <c r="G23" s="44" t="str">
        <f t="shared" si="1"/>
        <v>Augusto</v>
      </c>
      <c r="H23" s="165" t="s">
        <v>147</v>
      </c>
      <c r="I23" s="51" t="s">
        <v>219</v>
      </c>
      <c r="J23" s="319" t="str">
        <f t="shared" si="2"/>
        <v>Não</v>
      </c>
      <c r="K23" s="333">
        <v>44266.0</v>
      </c>
      <c r="L23" s="95"/>
      <c r="M23" s="95" t="s">
        <v>269</v>
      </c>
      <c r="N23" s="334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107</v>
      </c>
      <c r="S23" s="333">
        <v>44266.0</v>
      </c>
      <c r="T23" s="74"/>
      <c r="U23" s="169" t="s">
        <v>2628</v>
      </c>
      <c r="V23" s="45" t="s">
        <v>108</v>
      </c>
      <c r="W23" s="324" t="s">
        <v>248</v>
      </c>
      <c r="X23" s="164" t="s">
        <v>180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110</v>
      </c>
      <c r="AC23" s="95"/>
      <c r="AD23" s="95" t="s">
        <v>2629</v>
      </c>
      <c r="AE23" s="337"/>
      <c r="AF23" s="337"/>
      <c r="AG23" s="337"/>
      <c r="AH23" s="337"/>
      <c r="AI23" s="337"/>
      <c r="AJ23" s="337"/>
      <c r="AK23" s="337"/>
      <c r="AL23" s="337"/>
      <c r="AM23" s="337"/>
      <c r="AN23" s="337"/>
      <c r="AO23" s="337"/>
      <c r="AP23" s="337"/>
      <c r="AQ23" s="337"/>
      <c r="AR23" s="171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1">
        <v>1774359.68</v>
      </c>
      <c r="AY23" s="171">
        <v>2595356.17</v>
      </c>
      <c r="AZ23" s="171">
        <v>2502500.1</v>
      </c>
      <c r="BA23" s="171">
        <v>2138438.3</v>
      </c>
      <c r="BB23" s="171">
        <v>1768948.13</v>
      </c>
      <c r="BC23" s="171">
        <v>1276825.42</v>
      </c>
      <c r="BD23" s="171">
        <v>1174513.69</v>
      </c>
      <c r="BE23" s="171">
        <v>1250748.79</v>
      </c>
      <c r="BF23" s="171">
        <v>1263287.03</v>
      </c>
      <c r="BG23" s="171">
        <v>1374879.65</v>
      </c>
      <c r="BH23" s="171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  <c r="CI23" s="329"/>
    </row>
    <row r="24" ht="15.75" customHeight="1">
      <c r="A24" s="317" t="s">
        <v>2547</v>
      </c>
      <c r="B24" s="55" t="s">
        <v>2630</v>
      </c>
      <c r="C24" s="330" t="s">
        <v>2631</v>
      </c>
      <c r="D24" s="319" t="s">
        <v>18</v>
      </c>
      <c r="E24" s="319" t="s">
        <v>176</v>
      </c>
      <c r="F24" s="319" t="s">
        <v>177</v>
      </c>
      <c r="G24" s="44" t="str">
        <f t="shared" si="1"/>
        <v>Augusto</v>
      </c>
      <c r="H24" s="165" t="s">
        <v>147</v>
      </c>
      <c r="I24" s="51" t="s">
        <v>219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4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107</v>
      </c>
      <c r="S24" s="320">
        <v>44319.0</v>
      </c>
      <c r="T24" s="74"/>
      <c r="U24" s="50" t="s">
        <v>2632</v>
      </c>
      <c r="V24" s="45" t="s">
        <v>108</v>
      </c>
      <c r="W24" s="5" t="s">
        <v>253</v>
      </c>
      <c r="X24" s="164" t="s">
        <v>180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119</v>
      </c>
      <c r="AC24" s="95"/>
      <c r="AD24" s="95" t="s">
        <v>2609</v>
      </c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71"/>
      <c r="AS24" s="326"/>
      <c r="AT24" s="326"/>
      <c r="AU24" s="326"/>
      <c r="AV24" s="326"/>
      <c r="AW24" s="326">
        <v>167600.48</v>
      </c>
      <c r="AX24" s="171">
        <v>166400.34</v>
      </c>
      <c r="AY24" s="171">
        <v>164751.16</v>
      </c>
      <c r="AZ24" s="171">
        <v>161807.32</v>
      </c>
      <c r="BA24" s="171">
        <v>159519.38</v>
      </c>
      <c r="BB24" s="171">
        <v>156047.33</v>
      </c>
      <c r="BC24" s="171">
        <v>154441.82</v>
      </c>
      <c r="BD24" s="171">
        <v>153698.24</v>
      </c>
      <c r="BE24" s="171">
        <v>157826.11</v>
      </c>
      <c r="BF24" s="171">
        <v>158653.22</v>
      </c>
      <c r="BG24" s="171">
        <v>165764.4</v>
      </c>
      <c r="BH24" s="171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  <c r="CI24" s="329"/>
    </row>
    <row r="25" ht="15.75" customHeight="1">
      <c r="A25" s="317" t="s">
        <v>2547</v>
      </c>
      <c r="B25" s="344" t="s">
        <v>263</v>
      </c>
      <c r="C25" s="331" t="s">
        <v>2633</v>
      </c>
      <c r="D25" s="319" t="s">
        <v>18</v>
      </c>
      <c r="E25" s="319" t="s">
        <v>176</v>
      </c>
      <c r="F25" s="319" t="s">
        <v>2634</v>
      </c>
      <c r="G25" s="44" t="str">
        <f t="shared" si="1"/>
        <v>Augusto</v>
      </c>
      <c r="H25" s="332" t="s">
        <v>147</v>
      </c>
      <c r="I25" s="51" t="s">
        <v>148</v>
      </c>
      <c r="J25" s="319" t="str">
        <f t="shared" si="2"/>
        <v>Sim</v>
      </c>
      <c r="K25" s="320">
        <v>44263.0</v>
      </c>
      <c r="L25" s="95"/>
      <c r="M25" s="95" t="s">
        <v>79</v>
      </c>
      <c r="N25" s="334">
        <v>0.012</v>
      </c>
      <c r="O25" s="319" t="s">
        <v>2552</v>
      </c>
      <c r="P25" s="322">
        <v>0.0</v>
      </c>
      <c r="Q25" s="319" t="str">
        <f>IFERROR(VLOOKUP(F25,'Cadastro de assessores'!A:B,2,FALSE),"Não Cadastrado")</f>
        <v>22066</v>
      </c>
      <c r="R25" s="319" t="s">
        <v>107</v>
      </c>
      <c r="S25" s="320">
        <v>44263.0</v>
      </c>
      <c r="T25" s="345" t="s">
        <v>2635</v>
      </c>
      <c r="U25" s="323"/>
      <c r="V25" s="45" t="s">
        <v>108</v>
      </c>
      <c r="W25" s="324" t="s">
        <v>266</v>
      </c>
      <c r="X25" s="164" t="s">
        <v>180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119</v>
      </c>
      <c r="AC25" s="95"/>
      <c r="AD25" s="95" t="s">
        <v>2609</v>
      </c>
      <c r="AE25" s="337"/>
      <c r="AF25" s="337"/>
      <c r="AG25" s="337"/>
      <c r="AH25" s="337"/>
      <c r="AI25" s="337"/>
      <c r="AJ25" s="337"/>
      <c r="AK25" s="337"/>
      <c r="AL25" s="337"/>
      <c r="AM25" s="337"/>
      <c r="AN25" s="337"/>
      <c r="AO25" s="337"/>
      <c r="AP25" s="337"/>
      <c r="AQ25" s="337"/>
      <c r="AR25" s="171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1">
        <v>469764.14</v>
      </c>
      <c r="AY25" s="171">
        <v>465189.44</v>
      </c>
      <c r="AZ25" s="171">
        <v>457279.75</v>
      </c>
      <c r="BA25" s="171">
        <v>412484.09</v>
      </c>
      <c r="BB25" s="171">
        <v>437541.9</v>
      </c>
      <c r="BC25" s="171">
        <v>432527.98</v>
      </c>
      <c r="BD25" s="171">
        <v>434212.15</v>
      </c>
      <c r="BE25" s="171">
        <v>443105.66</v>
      </c>
      <c r="BF25" s="171">
        <v>446263.22</v>
      </c>
      <c r="BG25" s="171">
        <v>465702.25</v>
      </c>
      <c r="BH25" s="171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  <c r="CI25" s="329"/>
    </row>
    <row r="26" ht="15.75" customHeight="1">
      <c r="A26" s="317" t="s">
        <v>2547</v>
      </c>
      <c r="B26" s="42" t="s">
        <v>2636</v>
      </c>
      <c r="C26" s="346">
        <v>369447.0</v>
      </c>
      <c r="D26" s="347" t="s">
        <v>18</v>
      </c>
      <c r="E26" s="347" t="s">
        <v>176</v>
      </c>
      <c r="F26" s="346" t="s">
        <v>177</v>
      </c>
      <c r="G26" s="44" t="str">
        <f t="shared" si="1"/>
        <v>Augusto</v>
      </c>
      <c r="H26" s="348" t="s">
        <v>107</v>
      </c>
      <c r="I26" s="46" t="s">
        <v>24</v>
      </c>
      <c r="J26" s="319" t="str">
        <f t="shared" si="2"/>
        <v>Não</v>
      </c>
      <c r="K26" s="349">
        <v>44623.0</v>
      </c>
      <c r="L26" s="350"/>
      <c r="M26" s="350" t="s">
        <v>190</v>
      </c>
      <c r="N26" s="351">
        <v>0.025</v>
      </c>
      <c r="O26" s="347"/>
      <c r="P26" s="352"/>
      <c r="Q26" s="319" t="str">
        <f>IFERROR(VLOOKUP(F26,'Cadastro de assessores'!A:B,2,FALSE),"Não Cadastrado")</f>
        <v>250</v>
      </c>
      <c r="R26" s="319" t="s">
        <v>107</v>
      </c>
      <c r="S26" s="320">
        <v>44623.0</v>
      </c>
      <c r="T26" s="169"/>
      <c r="U26" s="169"/>
      <c r="V26" s="45" t="s">
        <v>108</v>
      </c>
      <c r="W26" s="5" t="s">
        <v>2637</v>
      </c>
      <c r="X26" s="164" t="s">
        <v>180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119</v>
      </c>
      <c r="AC26" s="95"/>
      <c r="AD26" s="95" t="s">
        <v>2609</v>
      </c>
      <c r="AE26" s="337"/>
      <c r="AF26" s="337"/>
      <c r="AG26" s="337"/>
      <c r="AH26" s="337"/>
      <c r="AI26" s="337"/>
      <c r="AJ26" s="337"/>
      <c r="AK26" s="337"/>
      <c r="AL26" s="337"/>
      <c r="AM26" s="337"/>
      <c r="AN26" s="337"/>
      <c r="AO26" s="337"/>
      <c r="AP26" s="337"/>
      <c r="AQ26" s="337"/>
      <c r="AR26" s="171"/>
      <c r="AS26" s="326"/>
      <c r="AT26" s="326"/>
      <c r="AU26" s="326"/>
      <c r="AV26" s="326"/>
      <c r="AW26" s="326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>
        <v>97100.02</v>
      </c>
      <c r="BH26" s="171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  <c r="CI26" s="329"/>
    </row>
    <row r="27" ht="15.75" customHeight="1">
      <c r="A27" s="317" t="s">
        <v>2547</v>
      </c>
      <c r="B27" s="61" t="s">
        <v>2638</v>
      </c>
      <c r="C27" s="144">
        <v>4466499.0</v>
      </c>
      <c r="D27" s="319" t="s">
        <v>18</v>
      </c>
      <c r="E27" s="319" t="s">
        <v>176</v>
      </c>
      <c r="F27" s="93" t="s">
        <v>197</v>
      </c>
      <c r="G27" s="44" t="str">
        <f t="shared" si="1"/>
        <v>Augusto</v>
      </c>
      <c r="H27" s="165" t="s">
        <v>147</v>
      </c>
      <c r="I27" s="51" t="s">
        <v>219</v>
      </c>
      <c r="J27" s="319" t="str">
        <f t="shared" si="2"/>
        <v>Não</v>
      </c>
      <c r="K27" s="320">
        <v>44670.0</v>
      </c>
      <c r="L27" s="95"/>
      <c r="M27" s="95" t="s">
        <v>79</v>
      </c>
      <c r="N27" s="334">
        <v>0.012</v>
      </c>
      <c r="O27" s="319" t="s">
        <v>2552</v>
      </c>
      <c r="P27" s="322">
        <v>0.0</v>
      </c>
      <c r="Q27" s="319" t="str">
        <f>IFERROR(VLOOKUP(F27,'Cadastro de assessores'!A:B,2,FALSE),"Não Cadastrado")</f>
        <v>28411</v>
      </c>
      <c r="R27" s="319" t="s">
        <v>107</v>
      </c>
      <c r="S27" s="320">
        <v>44670.0</v>
      </c>
      <c r="T27" s="169"/>
      <c r="U27" s="63"/>
      <c r="V27" s="45" t="s">
        <v>108</v>
      </c>
      <c r="W27" s="5" t="s">
        <v>262</v>
      </c>
      <c r="X27" s="164" t="s">
        <v>180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119</v>
      </c>
      <c r="AC27" s="95"/>
      <c r="AD27" s="95" t="s">
        <v>2609</v>
      </c>
      <c r="AE27" s="337"/>
      <c r="AF27" s="337"/>
      <c r="AG27" s="337"/>
      <c r="AH27" s="337"/>
      <c r="AI27" s="337"/>
      <c r="AJ27" s="337"/>
      <c r="AK27" s="337"/>
      <c r="AL27" s="337"/>
      <c r="AM27" s="337"/>
      <c r="AN27" s="337"/>
      <c r="AO27" s="337"/>
      <c r="AP27" s="337"/>
      <c r="AQ27" s="337"/>
      <c r="AR27" s="171"/>
      <c r="AS27" s="326"/>
      <c r="AT27" s="326"/>
      <c r="AU27" s="326"/>
      <c r="AV27" s="326"/>
      <c r="AW27" s="326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  <c r="CI27" s="329"/>
    </row>
    <row r="28" ht="15.75" customHeight="1">
      <c r="A28" s="317" t="s">
        <v>2547</v>
      </c>
      <c r="B28" s="61" t="s">
        <v>2639</v>
      </c>
      <c r="C28" s="45">
        <v>3525740.0</v>
      </c>
      <c r="D28" s="319" t="s">
        <v>18</v>
      </c>
      <c r="E28" s="319" t="s">
        <v>176</v>
      </c>
      <c r="F28" s="93" t="s">
        <v>177</v>
      </c>
      <c r="G28" s="44" t="str">
        <f t="shared" si="1"/>
        <v>Augusto</v>
      </c>
      <c r="H28" s="165" t="s">
        <v>147</v>
      </c>
      <c r="I28" s="51" t="s">
        <v>219</v>
      </c>
      <c r="J28" s="319" t="str">
        <f t="shared" si="2"/>
        <v>Não</v>
      </c>
      <c r="K28" s="320">
        <v>44769.0</v>
      </c>
      <c r="L28" s="95"/>
      <c r="M28" s="95" t="s">
        <v>55</v>
      </c>
      <c r="N28" s="334">
        <v>0.007</v>
      </c>
      <c r="O28" s="319" t="s">
        <v>2552</v>
      </c>
      <c r="P28" s="322">
        <v>0.0</v>
      </c>
      <c r="Q28" s="319" t="str">
        <f>IFERROR(VLOOKUP(F28,'Cadastro de assessores'!A:B,2,FALSE),"Não Cadastrado")</f>
        <v>250</v>
      </c>
      <c r="R28" s="319" t="s">
        <v>107</v>
      </c>
      <c r="S28" s="320">
        <v>44767.0</v>
      </c>
      <c r="T28" s="63"/>
      <c r="U28" s="336" t="s">
        <v>2640</v>
      </c>
      <c r="V28" s="45" t="s">
        <v>108</v>
      </c>
      <c r="W28" s="5" t="s">
        <v>288</v>
      </c>
      <c r="X28" s="5" t="s">
        <v>180</v>
      </c>
      <c r="Y28" s="51" t="str">
        <f t="shared" si="3"/>
        <v>Ativo</v>
      </c>
      <c r="Z28" s="325"/>
      <c r="AA28" s="95" t="str">
        <f t="shared" si="4"/>
        <v/>
      </c>
      <c r="AB28" s="13" t="s">
        <v>119</v>
      </c>
      <c r="AC28" s="95"/>
      <c r="AD28" s="95"/>
      <c r="AE28" s="337"/>
      <c r="AF28" s="337"/>
      <c r="AG28" s="337"/>
      <c r="AH28" s="337"/>
      <c r="AI28" s="337"/>
      <c r="AJ28" s="337"/>
      <c r="AK28" s="337"/>
      <c r="AL28" s="337"/>
      <c r="AM28" s="337"/>
      <c r="AN28" s="337"/>
      <c r="AO28" s="337"/>
      <c r="AP28" s="337"/>
      <c r="AQ28" s="337"/>
      <c r="AR28" s="171"/>
      <c r="AS28" s="326"/>
      <c r="AT28" s="326"/>
      <c r="AU28" s="326"/>
      <c r="AV28" s="326"/>
      <c r="AW28" s="326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  <c r="CI28" s="329"/>
    </row>
    <row r="29" ht="15.75" customHeight="1">
      <c r="A29" s="317" t="s">
        <v>2547</v>
      </c>
      <c r="B29" s="42" t="s">
        <v>2641</v>
      </c>
      <c r="C29" s="144">
        <v>344673.0</v>
      </c>
      <c r="D29" s="319" t="s">
        <v>18</v>
      </c>
      <c r="E29" s="319" t="s">
        <v>176</v>
      </c>
      <c r="F29" s="93" t="s">
        <v>197</v>
      </c>
      <c r="G29" s="44" t="str">
        <f t="shared" si="1"/>
        <v>Augusto</v>
      </c>
      <c r="H29" s="165" t="s">
        <v>147</v>
      </c>
      <c r="I29" s="51" t="s">
        <v>219</v>
      </c>
      <c r="J29" s="319" t="str">
        <f t="shared" si="2"/>
        <v>Não</v>
      </c>
      <c r="K29" s="320">
        <v>44754.0</v>
      </c>
      <c r="L29" s="95"/>
      <c r="M29" s="95" t="s">
        <v>55</v>
      </c>
      <c r="N29" s="334">
        <v>0.007</v>
      </c>
      <c r="O29" s="319" t="s">
        <v>2552</v>
      </c>
      <c r="P29" s="322">
        <v>0.0</v>
      </c>
      <c r="Q29" s="319" t="str">
        <f>IFERROR(VLOOKUP(F29,'Cadastro de assessores'!A:B,2,FALSE),"Não Cadastrado")</f>
        <v>28411</v>
      </c>
      <c r="R29" s="319" t="s">
        <v>107</v>
      </c>
      <c r="S29" s="320">
        <v>44754.0</v>
      </c>
      <c r="T29" s="169"/>
      <c r="U29" s="63"/>
      <c r="V29" s="45" t="s">
        <v>108</v>
      </c>
      <c r="W29" s="5" t="s">
        <v>300</v>
      </c>
      <c r="X29" s="164" t="s">
        <v>180</v>
      </c>
      <c r="Y29" s="51" t="str">
        <f t="shared" si="3"/>
        <v>Ativo</v>
      </c>
      <c r="Z29" s="325"/>
      <c r="AA29" s="95" t="str">
        <f t="shared" si="4"/>
        <v/>
      </c>
      <c r="AB29" s="13" t="s">
        <v>110</v>
      </c>
      <c r="AC29" s="95"/>
      <c r="AD29" s="95" t="s">
        <v>2559</v>
      </c>
      <c r="AE29" s="337"/>
      <c r="AF29" s="337"/>
      <c r="AG29" s="337"/>
      <c r="AH29" s="337"/>
      <c r="AI29" s="337"/>
      <c r="AJ29" s="337"/>
      <c r="AK29" s="337"/>
      <c r="AL29" s="337"/>
      <c r="AM29" s="337"/>
      <c r="AN29" s="337"/>
      <c r="AO29" s="337"/>
      <c r="AP29" s="337"/>
      <c r="AQ29" s="337"/>
      <c r="AR29" s="171"/>
      <c r="AS29" s="326"/>
      <c r="AT29" s="326"/>
      <c r="AU29" s="326"/>
      <c r="AV29" s="326"/>
      <c r="AW29" s="326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  <c r="CI29" s="329"/>
    </row>
    <row r="30" ht="15.75" customHeight="1">
      <c r="A30" s="317" t="s">
        <v>2547</v>
      </c>
      <c r="B30" s="239" t="s">
        <v>312</v>
      </c>
      <c r="C30" s="331" t="s">
        <v>2642</v>
      </c>
      <c r="D30" s="319" t="s">
        <v>18</v>
      </c>
      <c r="E30" s="319" t="s">
        <v>29</v>
      </c>
      <c r="F30" s="95" t="s">
        <v>373</v>
      </c>
      <c r="G30" s="44" t="str">
        <f t="shared" si="1"/>
        <v>Augusto</v>
      </c>
      <c r="H30" s="332" t="s">
        <v>186</v>
      </c>
      <c r="I30" s="46" t="s">
        <v>24</v>
      </c>
      <c r="J30" s="319" t="str">
        <f t="shared" si="2"/>
        <v>Não</v>
      </c>
      <c r="K30" s="333">
        <v>43355.0</v>
      </c>
      <c r="L30" s="333">
        <v>44322.0</v>
      </c>
      <c r="M30" s="95" t="s">
        <v>190</v>
      </c>
      <c r="N30" s="334">
        <v>1.0E-4</v>
      </c>
      <c r="O30" s="319" t="s">
        <v>191</v>
      </c>
      <c r="P30" s="322">
        <v>0.2</v>
      </c>
      <c r="Q30" s="95" t="str">
        <f>IFERROR(VLOOKUP(F30,'Cadastro de assessores'!A:B,2,FALSE),"Não Cadastrado")</f>
        <v>18993</v>
      </c>
      <c r="R30" s="95" t="s">
        <v>2563</v>
      </c>
      <c r="S30" s="333">
        <v>43355.0</v>
      </c>
      <c r="T30" s="74"/>
      <c r="U30" s="169" t="s">
        <v>2643</v>
      </c>
      <c r="V30" s="45" t="s">
        <v>108</v>
      </c>
      <c r="W30" s="13" t="s">
        <v>314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2591</v>
      </c>
      <c r="AE30" s="171">
        <v>991080.27</v>
      </c>
      <c r="AF30" s="171">
        <v>971581.66</v>
      </c>
      <c r="AG30" s="171">
        <v>860540.64</v>
      </c>
      <c r="AH30" s="171">
        <v>885715.17</v>
      </c>
      <c r="AI30" s="171">
        <v>901497.64</v>
      </c>
      <c r="AJ30" s="171">
        <v>933347.65</v>
      </c>
      <c r="AK30" s="171">
        <v>976445.55</v>
      </c>
      <c r="AL30" s="171">
        <v>950723.64</v>
      </c>
      <c r="AM30" s="171">
        <v>931891.19</v>
      </c>
      <c r="AN30" s="171">
        <v>933844.65</v>
      </c>
      <c r="AO30" s="171">
        <v>983808.8</v>
      </c>
      <c r="AP30" s="171">
        <v>1004743.92</v>
      </c>
      <c r="AQ30" s="171">
        <v>989367.31</v>
      </c>
      <c r="AR30" s="171">
        <v>916258.88</v>
      </c>
      <c r="AS30" s="171">
        <v>903374.98</v>
      </c>
      <c r="AT30" s="171">
        <v>383555.94</v>
      </c>
      <c r="AU30" s="171">
        <v>276960.08</v>
      </c>
      <c r="AV30" s="171">
        <v>277064.2</v>
      </c>
      <c r="AW30" s="171"/>
      <c r="AX30" s="337"/>
      <c r="AY30" s="337"/>
      <c r="AZ30" s="337"/>
      <c r="BA30" s="171"/>
      <c r="BB30" s="171"/>
      <c r="BC30" s="171"/>
      <c r="BD30" s="171"/>
      <c r="BE30" s="171"/>
      <c r="BF30" s="171">
        <v>0.0</v>
      </c>
      <c r="BG30" s="171">
        <v>0.0</v>
      </c>
      <c r="BH30" s="171">
        <v>0.0</v>
      </c>
      <c r="BI30" s="171" t="s">
        <v>2566</v>
      </c>
      <c r="BJ30" s="171">
        <v>0.0</v>
      </c>
      <c r="BK30" s="171">
        <v>0.0</v>
      </c>
      <c r="BL30" s="171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  <c r="CI30" s="329"/>
    </row>
    <row r="31" ht="15.75" customHeight="1">
      <c r="A31" s="317" t="s">
        <v>2547</v>
      </c>
      <c r="B31" s="239" t="s">
        <v>2644</v>
      </c>
      <c r="C31" s="331" t="s">
        <v>2645</v>
      </c>
      <c r="D31" s="319" t="s">
        <v>18</v>
      </c>
      <c r="E31" s="319" t="s">
        <v>29</v>
      </c>
      <c r="F31" s="95" t="s">
        <v>373</v>
      </c>
      <c r="G31" s="44" t="str">
        <f t="shared" si="1"/>
        <v>Augusto</v>
      </c>
      <c r="H31" s="332" t="s">
        <v>186</v>
      </c>
      <c r="I31" s="46" t="s">
        <v>24</v>
      </c>
      <c r="J31" s="319" t="str">
        <f t="shared" si="2"/>
        <v>Não</v>
      </c>
      <c r="K31" s="333">
        <v>43355.0</v>
      </c>
      <c r="L31" s="333">
        <v>44310.0</v>
      </c>
      <c r="M31" s="95" t="s">
        <v>190</v>
      </c>
      <c r="N31" s="334">
        <v>1.0E-4</v>
      </c>
      <c r="O31" s="319" t="s">
        <v>191</v>
      </c>
      <c r="P31" s="322">
        <v>0.2</v>
      </c>
      <c r="Q31" s="95" t="str">
        <f>IFERROR(VLOOKUP(F31,'Cadastro de assessores'!A:B,2,FALSE),"Não Cadastrado")</f>
        <v>18993</v>
      </c>
      <c r="R31" s="95" t="s">
        <v>2563</v>
      </c>
      <c r="S31" s="333">
        <v>43355.0</v>
      </c>
      <c r="T31" s="74"/>
      <c r="U31" s="169" t="s">
        <v>2643</v>
      </c>
      <c r="V31" s="45" t="s">
        <v>108</v>
      </c>
      <c r="W31" s="13" t="s">
        <v>314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2591</v>
      </c>
      <c r="AE31" s="171">
        <v>0.0</v>
      </c>
      <c r="AF31" s="171">
        <v>0.0</v>
      </c>
      <c r="AG31" s="171">
        <v>0.0</v>
      </c>
      <c r="AH31" s="171">
        <v>0.0</v>
      </c>
      <c r="AI31" s="171">
        <v>0.0</v>
      </c>
      <c r="AJ31" s="171">
        <v>0.0</v>
      </c>
      <c r="AK31" s="171">
        <v>0.0</v>
      </c>
      <c r="AL31" s="171"/>
      <c r="AM31" s="171"/>
      <c r="AN31" s="171"/>
      <c r="AO31" s="171"/>
      <c r="AP31" s="171"/>
      <c r="AQ31" s="171"/>
      <c r="AR31" s="171"/>
      <c r="AS31" s="171"/>
      <c r="AT31" s="171"/>
      <c r="AU31" s="171"/>
      <c r="AV31" s="171"/>
      <c r="AW31" s="171"/>
      <c r="AX31" s="337"/>
      <c r="AY31" s="337"/>
      <c r="AZ31" s="337"/>
      <c r="BA31" s="171"/>
      <c r="BB31" s="171"/>
      <c r="BC31" s="171"/>
      <c r="BD31" s="171"/>
      <c r="BE31" s="171"/>
      <c r="BF31" s="171">
        <v>0.0</v>
      </c>
      <c r="BG31" s="171">
        <v>0.0</v>
      </c>
      <c r="BH31" s="171">
        <v>0.0</v>
      </c>
      <c r="BI31" s="171" t="s">
        <v>2566</v>
      </c>
      <c r="BJ31" s="171">
        <v>0.0</v>
      </c>
      <c r="BK31" s="171">
        <v>0.0</v>
      </c>
      <c r="BL31" s="171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  <c r="CI31" s="329"/>
    </row>
    <row r="32" ht="15.75" customHeight="1">
      <c r="A32" s="317" t="s">
        <v>2547</v>
      </c>
      <c r="B32" s="239" t="s">
        <v>2646</v>
      </c>
      <c r="C32" s="331" t="s">
        <v>2647</v>
      </c>
      <c r="D32" s="319" t="s">
        <v>2550</v>
      </c>
      <c r="E32" s="319" t="s">
        <v>29</v>
      </c>
      <c r="F32" s="95" t="s">
        <v>2562</v>
      </c>
      <c r="G32" s="44" t="str">
        <f t="shared" si="1"/>
        <v>Augusto</v>
      </c>
      <c r="H32" s="332" t="s">
        <v>186</v>
      </c>
      <c r="I32" s="46" t="s">
        <v>24</v>
      </c>
      <c r="J32" s="319" t="str">
        <f t="shared" si="2"/>
        <v>Não</v>
      </c>
      <c r="K32" s="333">
        <v>43685.0</v>
      </c>
      <c r="L32" s="333">
        <v>44309.0</v>
      </c>
      <c r="M32" s="95" t="s">
        <v>47</v>
      </c>
      <c r="N32" s="334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2563</v>
      </c>
      <c r="S32" s="333">
        <v>43685.0</v>
      </c>
      <c r="T32" s="169"/>
      <c r="U32" s="74"/>
      <c r="V32" s="45" t="s">
        <v>108</v>
      </c>
      <c r="W32" s="13" t="s">
        <v>2648</v>
      </c>
      <c r="X32" s="164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2602</v>
      </c>
      <c r="AE32" s="171">
        <v>512597.8</v>
      </c>
      <c r="AF32" s="171">
        <v>507834.73</v>
      </c>
      <c r="AG32" s="171">
        <v>485581.59</v>
      </c>
      <c r="AH32" s="171">
        <v>493916.78</v>
      </c>
      <c r="AI32" s="171">
        <v>497124.09</v>
      </c>
      <c r="AJ32" s="171">
        <v>499455.0</v>
      </c>
      <c r="AK32" s="171">
        <v>505291.68</v>
      </c>
      <c r="AL32" s="171">
        <v>534365.47</v>
      </c>
      <c r="AM32" s="171">
        <v>529957.68</v>
      </c>
      <c r="AN32" s="171">
        <v>529960.67</v>
      </c>
      <c r="AO32" s="171">
        <v>542346.41</v>
      </c>
      <c r="AP32" s="171">
        <v>513488.74</v>
      </c>
      <c r="AQ32" s="171">
        <v>1254.95</v>
      </c>
      <c r="AR32" s="171"/>
      <c r="AS32" s="171">
        <v>2.93</v>
      </c>
      <c r="AT32" s="171">
        <v>72.06</v>
      </c>
      <c r="AU32" s="171">
        <v>72.06</v>
      </c>
      <c r="AV32" s="171">
        <v>72.06</v>
      </c>
      <c r="AW32" s="171"/>
      <c r="AX32" s="337"/>
      <c r="AY32" s="337"/>
      <c r="AZ32" s="337"/>
      <c r="BA32" s="171"/>
      <c r="BB32" s="171"/>
      <c r="BC32" s="171"/>
      <c r="BD32" s="171"/>
      <c r="BE32" s="171"/>
      <c r="BF32" s="171">
        <v>0.0</v>
      </c>
      <c r="BG32" s="171">
        <v>0.0</v>
      </c>
      <c r="BH32" s="171">
        <v>0.0</v>
      </c>
      <c r="BI32" s="171" t="s">
        <v>2566</v>
      </c>
      <c r="BJ32" s="171">
        <v>0.0</v>
      </c>
      <c r="BK32" s="171">
        <v>0.0</v>
      </c>
      <c r="BL32" s="171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  <c r="CI32" s="329"/>
    </row>
    <row r="33" ht="15.75" customHeight="1">
      <c r="A33" s="317" t="s">
        <v>2547</v>
      </c>
      <c r="B33" s="61" t="s">
        <v>2649</v>
      </c>
      <c r="C33" s="45">
        <v>4694181.0</v>
      </c>
      <c r="D33" s="319" t="s">
        <v>18</v>
      </c>
      <c r="E33" s="319" t="s">
        <v>19</v>
      </c>
      <c r="F33" s="45" t="s">
        <v>256</v>
      </c>
      <c r="G33" s="44" t="str">
        <f t="shared" si="1"/>
        <v>Augusto</v>
      </c>
      <c r="H33" s="332" t="s">
        <v>186</v>
      </c>
      <c r="I33" s="46" t="s">
        <v>24</v>
      </c>
      <c r="J33" s="319" t="str">
        <f t="shared" si="2"/>
        <v>Não</v>
      </c>
      <c r="K33" s="333">
        <v>44705.0</v>
      </c>
      <c r="L33" s="333">
        <v>44936.0</v>
      </c>
      <c r="M33" s="95" t="s">
        <v>47</v>
      </c>
      <c r="N33" s="334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107</v>
      </c>
      <c r="S33" s="333">
        <v>44705.0</v>
      </c>
      <c r="T33" s="74"/>
      <c r="U33" s="169" t="s">
        <v>2650</v>
      </c>
      <c r="V33" s="45" t="s">
        <v>108</v>
      </c>
      <c r="W33" s="5" t="s">
        <v>2651</v>
      </c>
      <c r="X33" s="164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2652</v>
      </c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337"/>
      <c r="AY33" s="337"/>
      <c r="AZ33" s="337"/>
      <c r="BA33" s="171"/>
      <c r="BB33" s="171"/>
      <c r="BC33" s="171"/>
      <c r="BD33" s="171"/>
      <c r="BE33" s="171"/>
      <c r="BF33" s="171"/>
      <c r="BG33" s="171"/>
      <c r="BH33" s="171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  <c r="CI33" s="329"/>
    </row>
    <row r="34" ht="15.75" customHeight="1">
      <c r="A34" s="317" t="s">
        <v>2547</v>
      </c>
      <c r="B34" s="235" t="s">
        <v>2653</v>
      </c>
      <c r="C34" s="331" t="s">
        <v>2654</v>
      </c>
      <c r="D34" s="319" t="s">
        <v>2550</v>
      </c>
      <c r="E34" s="319" t="s">
        <v>29</v>
      </c>
      <c r="F34" s="95" t="s">
        <v>2551</v>
      </c>
      <c r="G34" s="44" t="str">
        <f t="shared" si="1"/>
        <v>Augusto</v>
      </c>
      <c r="H34" s="332" t="s">
        <v>186</v>
      </c>
      <c r="I34" s="46" t="s">
        <v>24</v>
      </c>
      <c r="J34" s="319" t="str">
        <f t="shared" si="2"/>
        <v>Não</v>
      </c>
      <c r="K34" s="333">
        <v>43867.0</v>
      </c>
      <c r="L34" s="338">
        <v>44551.0</v>
      </c>
      <c r="M34" s="95" t="s">
        <v>47</v>
      </c>
      <c r="N34" s="334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2563</v>
      </c>
      <c r="S34" s="333">
        <v>43867.0</v>
      </c>
      <c r="T34" s="74"/>
      <c r="U34" s="169"/>
      <c r="V34" s="45" t="s">
        <v>108</v>
      </c>
      <c r="W34" s="13" t="s">
        <v>2655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119</v>
      </c>
      <c r="AC34" s="95"/>
      <c r="AD34" s="95" t="s">
        <v>2656</v>
      </c>
      <c r="AE34" s="171">
        <v>0.0</v>
      </c>
      <c r="AF34" s="171">
        <v>273308.35</v>
      </c>
      <c r="AG34" s="171">
        <v>296867.55</v>
      </c>
      <c r="AH34" s="171">
        <v>422823.6</v>
      </c>
      <c r="AI34" s="171">
        <v>401999.94</v>
      </c>
      <c r="AJ34" s="171">
        <v>410491.35</v>
      </c>
      <c r="AK34" s="171">
        <v>419299.22</v>
      </c>
      <c r="AL34" s="171">
        <v>457087.84</v>
      </c>
      <c r="AM34" s="171">
        <v>447201.75</v>
      </c>
      <c r="AN34" s="171">
        <v>390358.02</v>
      </c>
      <c r="AO34" s="171">
        <v>583219.66</v>
      </c>
      <c r="AP34" s="171">
        <v>596529.14</v>
      </c>
      <c r="AQ34" s="171">
        <v>438570.62</v>
      </c>
      <c r="AR34" s="171">
        <v>531858.1</v>
      </c>
      <c r="AS34" s="171">
        <v>526325.75</v>
      </c>
      <c r="AT34" s="171">
        <v>544264.06</v>
      </c>
      <c r="AU34" s="171">
        <v>594482.46</v>
      </c>
      <c r="AV34" s="171">
        <v>594440.45</v>
      </c>
      <c r="AW34" s="171">
        <v>717518.14</v>
      </c>
      <c r="AX34" s="171">
        <v>788533.8</v>
      </c>
      <c r="AY34" s="171">
        <v>780890.69</v>
      </c>
      <c r="AZ34" s="171">
        <v>766164.66</v>
      </c>
      <c r="BA34" s="171">
        <v>753202.54</v>
      </c>
      <c r="BB34" s="171">
        <v>728939.58</v>
      </c>
      <c r="BC34" s="171">
        <v>720567.26</v>
      </c>
      <c r="BD34" s="171">
        <v>803251.3</v>
      </c>
      <c r="BE34" s="171">
        <v>594150.53</v>
      </c>
      <c r="BF34" s="171">
        <v>605300.42</v>
      </c>
      <c r="BG34" s="171">
        <v>527143.78</v>
      </c>
      <c r="BH34" s="171">
        <v>501314.86</v>
      </c>
      <c r="BI34" s="339" t="s">
        <v>2566</v>
      </c>
      <c r="BJ34" s="171">
        <v>0.0</v>
      </c>
      <c r="BK34" s="171">
        <v>0.0</v>
      </c>
      <c r="BL34" s="171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  <c r="CI34" s="329"/>
    </row>
    <row r="35" ht="15.75" customHeight="1">
      <c r="A35" s="317" t="s">
        <v>2547</v>
      </c>
      <c r="B35" s="239" t="s">
        <v>2657</v>
      </c>
      <c r="C35" s="331" t="s">
        <v>2658</v>
      </c>
      <c r="D35" s="319" t="s">
        <v>2659</v>
      </c>
      <c r="E35" s="319" t="s">
        <v>29</v>
      </c>
      <c r="F35" s="95" t="s">
        <v>2659</v>
      </c>
      <c r="G35" s="44" t="str">
        <f t="shared" si="1"/>
        <v>Augusto</v>
      </c>
      <c r="H35" s="332" t="s">
        <v>186</v>
      </c>
      <c r="I35" s="46" t="s">
        <v>24</v>
      </c>
      <c r="J35" s="319" t="str">
        <f t="shared" si="2"/>
        <v>Não</v>
      </c>
      <c r="K35" s="333">
        <v>43563.0</v>
      </c>
      <c r="L35" s="338">
        <v>44181.0</v>
      </c>
      <c r="M35" s="95" t="s">
        <v>190</v>
      </c>
      <c r="N35" s="334">
        <v>0.01</v>
      </c>
      <c r="O35" s="319" t="s">
        <v>191</v>
      </c>
      <c r="P35" s="322">
        <v>0.2</v>
      </c>
      <c r="Q35" s="95" t="str">
        <f>IFERROR(VLOOKUP(F35,'Cadastro de assessores'!A:B,2,FALSE),"Não Cadastrado")</f>
        <v>22400</v>
      </c>
      <c r="R35" s="95" t="s">
        <v>2563</v>
      </c>
      <c r="S35" s="333">
        <v>43563.0</v>
      </c>
      <c r="T35" s="74"/>
      <c r="U35" s="169"/>
      <c r="V35" s="45" t="s">
        <v>108</v>
      </c>
      <c r="W35" s="13" t="s">
        <v>2660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1">
        <v>182194.13</v>
      </c>
      <c r="AF35" s="171">
        <v>171388.13</v>
      </c>
      <c r="AG35" s="171">
        <v>153054.4</v>
      </c>
      <c r="AH35" s="171">
        <v>164686.06</v>
      </c>
      <c r="AI35" s="171">
        <v>171943.78</v>
      </c>
      <c r="AJ35" s="171">
        <v>200454.86</v>
      </c>
      <c r="AK35" s="171">
        <v>261117.59</v>
      </c>
      <c r="AL35" s="171">
        <v>245768.35</v>
      </c>
      <c r="AM35" s="171">
        <v>234093.82</v>
      </c>
      <c r="AN35" s="171">
        <v>238934.86</v>
      </c>
      <c r="AO35" s="171">
        <v>268845.87</v>
      </c>
      <c r="AP35" s="337"/>
      <c r="AQ35" s="353"/>
      <c r="AR35" s="353"/>
      <c r="AS35" s="337"/>
      <c r="AT35" s="337"/>
      <c r="AU35" s="337"/>
      <c r="AV35" s="337"/>
      <c r="AW35" s="337"/>
      <c r="AX35" s="337"/>
      <c r="AY35" s="337"/>
      <c r="AZ35" s="337"/>
      <c r="BA35" s="171"/>
      <c r="BB35" s="171"/>
      <c r="BC35" s="171"/>
      <c r="BD35" s="171"/>
      <c r="BE35" s="171"/>
      <c r="BF35" s="171">
        <v>0.0</v>
      </c>
      <c r="BG35" s="171">
        <v>0.0</v>
      </c>
      <c r="BH35" s="171">
        <v>0.0</v>
      </c>
      <c r="BI35" s="171" t="s">
        <v>2566</v>
      </c>
      <c r="BJ35" s="171">
        <v>0.0</v>
      </c>
      <c r="BK35" s="171">
        <v>0.0</v>
      </c>
      <c r="BL35" s="171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  <c r="CI35" s="329"/>
    </row>
    <row r="36" ht="15.75" customHeight="1">
      <c r="A36" s="317" t="s">
        <v>2547</v>
      </c>
      <c r="B36" s="239" t="s">
        <v>2661</v>
      </c>
      <c r="C36" s="331" t="s">
        <v>2662</v>
      </c>
      <c r="D36" s="319" t="s">
        <v>18</v>
      </c>
      <c r="E36" s="319" t="s">
        <v>29</v>
      </c>
      <c r="F36" s="95" t="s">
        <v>373</v>
      </c>
      <c r="G36" s="44" t="str">
        <f t="shared" si="1"/>
        <v>Augusto</v>
      </c>
      <c r="H36" s="332" t="s">
        <v>186</v>
      </c>
      <c r="I36" s="46" t="s">
        <v>24</v>
      </c>
      <c r="J36" s="319" t="str">
        <f t="shared" si="2"/>
        <v>Não</v>
      </c>
      <c r="K36" s="333">
        <v>43382.0</v>
      </c>
      <c r="L36" s="333">
        <v>44309.0</v>
      </c>
      <c r="M36" s="95" t="s">
        <v>190</v>
      </c>
      <c r="N36" s="334">
        <v>0.02</v>
      </c>
      <c r="O36" s="319" t="s">
        <v>191</v>
      </c>
      <c r="P36" s="322">
        <v>0.2</v>
      </c>
      <c r="Q36" s="95" t="str">
        <f>IFERROR(VLOOKUP(F36,'Cadastro de assessores'!A:B,2,FALSE),"Não Cadastrado")</f>
        <v>18993</v>
      </c>
      <c r="R36" s="95" t="s">
        <v>2563</v>
      </c>
      <c r="S36" s="333">
        <v>43382.0</v>
      </c>
      <c r="T36" s="74"/>
      <c r="U36" s="169"/>
      <c r="V36" s="45" t="s">
        <v>108</v>
      </c>
      <c r="W36" s="13" t="s">
        <v>2663</v>
      </c>
      <c r="X36" s="164" t="s">
        <v>791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2664</v>
      </c>
      <c r="AE36" s="171">
        <v>159327.75</v>
      </c>
      <c r="AF36" s="171">
        <v>150771.79</v>
      </c>
      <c r="AG36" s="171">
        <v>113934.18</v>
      </c>
      <c r="AH36" s="171">
        <v>120338.82</v>
      </c>
      <c r="AI36" s="171">
        <v>124285.77</v>
      </c>
      <c r="AJ36" s="171">
        <v>129988.04</v>
      </c>
      <c r="AK36" s="171">
        <v>141892.05</v>
      </c>
      <c r="AL36" s="171">
        <v>134841.5</v>
      </c>
      <c r="AM36" s="171">
        <v>128139.81</v>
      </c>
      <c r="AN36" s="171">
        <v>133559.14</v>
      </c>
      <c r="AO36" s="171">
        <v>365.46</v>
      </c>
      <c r="AP36" s="171">
        <v>130.76</v>
      </c>
      <c r="AQ36" s="171">
        <v>379.93</v>
      </c>
      <c r="AR36" s="171">
        <v>379.93</v>
      </c>
      <c r="AS36" s="171">
        <v>289.36</v>
      </c>
      <c r="AT36" s="171">
        <v>295.22</v>
      </c>
      <c r="AU36" s="171">
        <v>295.22</v>
      </c>
      <c r="AV36" s="171">
        <v>295.22</v>
      </c>
      <c r="AW36" s="171"/>
      <c r="AX36" s="337"/>
      <c r="AY36" s="337"/>
      <c r="AZ36" s="337"/>
      <c r="BA36" s="171"/>
      <c r="BB36" s="171"/>
      <c r="BC36" s="171"/>
      <c r="BD36" s="171"/>
      <c r="BE36" s="171"/>
      <c r="BF36" s="171">
        <v>0.0</v>
      </c>
      <c r="BG36" s="171">
        <v>0.0</v>
      </c>
      <c r="BH36" s="171">
        <v>0.0</v>
      </c>
      <c r="BI36" s="171" t="s">
        <v>2566</v>
      </c>
      <c r="BJ36" s="171">
        <v>0.0</v>
      </c>
      <c r="BK36" s="171">
        <v>0.0</v>
      </c>
      <c r="BL36" s="171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  <c r="CI36" s="329"/>
    </row>
    <row r="37" ht="15.75" customHeight="1">
      <c r="A37" s="317" t="s">
        <v>2547</v>
      </c>
      <c r="B37" s="239" t="s">
        <v>2665</v>
      </c>
      <c r="C37" s="331" t="s">
        <v>2666</v>
      </c>
      <c r="D37" s="319" t="s">
        <v>18</v>
      </c>
      <c r="E37" s="319" t="s">
        <v>176</v>
      </c>
      <c r="F37" s="95" t="s">
        <v>197</v>
      </c>
      <c r="G37" s="44" t="str">
        <f t="shared" si="1"/>
        <v>Augusto</v>
      </c>
      <c r="H37" s="332" t="s">
        <v>186</v>
      </c>
      <c r="I37" s="46" t="s">
        <v>24</v>
      </c>
      <c r="J37" s="319" t="str">
        <f t="shared" si="2"/>
        <v>Não</v>
      </c>
      <c r="K37" s="333">
        <v>44295.0</v>
      </c>
      <c r="L37" s="333">
        <v>44592.0</v>
      </c>
      <c r="M37" s="95" t="s">
        <v>269</v>
      </c>
      <c r="N37" s="334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2563</v>
      </c>
      <c r="S37" s="333">
        <v>44295.0</v>
      </c>
      <c r="T37" s="74"/>
      <c r="U37" s="50"/>
      <c r="V37" s="45" t="s">
        <v>108</v>
      </c>
      <c r="W37" s="13" t="s">
        <v>2667</v>
      </c>
      <c r="X37" s="164" t="s">
        <v>180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119</v>
      </c>
      <c r="AC37" s="95"/>
      <c r="AD37" s="95" t="s">
        <v>2609</v>
      </c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71"/>
      <c r="AS37" s="171"/>
      <c r="AT37" s="171"/>
      <c r="AU37" s="171"/>
      <c r="AV37" s="171">
        <v>578905.96</v>
      </c>
      <c r="AW37" s="171">
        <v>588610.94</v>
      </c>
      <c r="AX37" s="171">
        <v>516768.15</v>
      </c>
      <c r="AY37" s="171">
        <v>573634.41</v>
      </c>
      <c r="AZ37" s="171">
        <v>557250.98</v>
      </c>
      <c r="BA37" s="171">
        <v>539017.65</v>
      </c>
      <c r="BB37" s="171">
        <v>554171.4</v>
      </c>
      <c r="BC37" s="171">
        <v>366980.0</v>
      </c>
      <c r="BD37" s="171">
        <v>120288.82</v>
      </c>
      <c r="BE37" s="171">
        <v>94157.01</v>
      </c>
      <c r="BF37" s="171">
        <v>16455.08</v>
      </c>
      <c r="BG37" s="171">
        <v>13446.42</v>
      </c>
      <c r="BH37" s="171">
        <v>13459.83</v>
      </c>
      <c r="BI37" s="339" t="s">
        <v>2566</v>
      </c>
      <c r="BJ37" s="171">
        <v>0.0</v>
      </c>
      <c r="BK37" s="171">
        <v>0.0</v>
      </c>
      <c r="BL37" s="171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  <c r="CI37" s="329"/>
    </row>
    <row r="38" ht="15.75" customHeight="1">
      <c r="A38" s="317" t="s">
        <v>2547</v>
      </c>
      <c r="B38" s="235" t="s">
        <v>343</v>
      </c>
      <c r="C38" s="354" t="s">
        <v>2668</v>
      </c>
      <c r="D38" s="347" t="s">
        <v>18</v>
      </c>
      <c r="E38" s="347" t="s">
        <v>176</v>
      </c>
      <c r="F38" s="347" t="s">
        <v>177</v>
      </c>
      <c r="G38" s="44" t="str">
        <f t="shared" si="1"/>
        <v>Augusto</v>
      </c>
      <c r="H38" s="348" t="s">
        <v>147</v>
      </c>
      <c r="I38" s="51" t="s">
        <v>219</v>
      </c>
      <c r="J38" s="319" t="str">
        <f t="shared" si="2"/>
        <v>Não</v>
      </c>
      <c r="K38" s="349">
        <v>44267.0</v>
      </c>
      <c r="L38" s="350"/>
      <c r="M38" s="350" t="s">
        <v>47</v>
      </c>
      <c r="N38" s="351">
        <v>0.015</v>
      </c>
      <c r="O38" s="347"/>
      <c r="P38" s="352"/>
      <c r="Q38" s="319" t="str">
        <f>IFERROR(VLOOKUP(F38,'Cadastro de assessores'!A:B,2,FALSE),"Não Cadastrado")</f>
        <v>250</v>
      </c>
      <c r="R38" s="319" t="s">
        <v>107</v>
      </c>
      <c r="S38" s="320">
        <v>44267.0</v>
      </c>
      <c r="T38" s="169"/>
      <c r="U38" s="345" t="s">
        <v>2669</v>
      </c>
      <c r="V38" s="45" t="s">
        <v>108</v>
      </c>
      <c r="W38" s="13" t="s">
        <v>346</v>
      </c>
      <c r="X38" s="164" t="s">
        <v>152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110</v>
      </c>
      <c r="AC38" s="95"/>
      <c r="AD38" s="95" t="s">
        <v>2670</v>
      </c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171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1">
        <v>6250864.09</v>
      </c>
      <c r="AY38" s="171">
        <v>6170945.08</v>
      </c>
      <c r="AZ38" s="171">
        <v>6008214.85</v>
      </c>
      <c r="BA38" s="171">
        <v>5899942.41</v>
      </c>
      <c r="BB38" s="171">
        <v>5686958.4</v>
      </c>
      <c r="BC38" s="171">
        <v>5636475.3</v>
      </c>
      <c r="BD38" s="171">
        <v>5690825.91</v>
      </c>
      <c r="BE38" s="171">
        <v>5805155.95</v>
      </c>
      <c r="BF38" s="171">
        <v>5845867.09</v>
      </c>
      <c r="BG38" s="171">
        <v>6120616.31</v>
      </c>
      <c r="BH38" s="171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  <c r="CI38" s="329"/>
    </row>
    <row r="39" ht="15.75" customHeight="1">
      <c r="A39" s="317" t="s">
        <v>2547</v>
      </c>
      <c r="B39" s="239" t="s">
        <v>2671</v>
      </c>
      <c r="C39" s="331" t="s">
        <v>2672</v>
      </c>
      <c r="D39" s="319" t="s">
        <v>2550</v>
      </c>
      <c r="E39" s="319" t="s">
        <v>29</v>
      </c>
      <c r="F39" s="95" t="s">
        <v>2551</v>
      </c>
      <c r="G39" s="44" t="str">
        <f t="shared" si="1"/>
        <v>Augusto</v>
      </c>
      <c r="H39" s="332" t="s">
        <v>186</v>
      </c>
      <c r="I39" s="46" t="s">
        <v>24</v>
      </c>
      <c r="J39" s="319" t="str">
        <f t="shared" si="2"/>
        <v>Não</v>
      </c>
      <c r="K39" s="333">
        <v>43620.0</v>
      </c>
      <c r="L39" s="333">
        <v>44314.0</v>
      </c>
      <c r="M39" s="95" t="s">
        <v>79</v>
      </c>
      <c r="N39" s="334">
        <v>0.005</v>
      </c>
      <c r="O39" s="319" t="s">
        <v>2552</v>
      </c>
      <c r="P39" s="322">
        <v>0.0</v>
      </c>
      <c r="Q39" s="95" t="str">
        <f>IFERROR(VLOOKUP(F39,'Cadastro de assessores'!A:B,2,FALSE),"Não Cadastrado")</f>
        <v>17573</v>
      </c>
      <c r="R39" s="95" t="s">
        <v>2563</v>
      </c>
      <c r="S39" s="333">
        <v>43620.0</v>
      </c>
      <c r="T39" s="74"/>
      <c r="U39" s="169" t="s">
        <v>2673</v>
      </c>
      <c r="V39" s="45" t="s">
        <v>108</v>
      </c>
      <c r="W39" s="13" t="s">
        <v>2674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2675</v>
      </c>
      <c r="AE39" s="171">
        <v>31068.04</v>
      </c>
      <c r="AF39" s="171">
        <v>30852.34</v>
      </c>
      <c r="AG39" s="171">
        <v>30847.92</v>
      </c>
      <c r="AH39" s="171">
        <v>30699.44</v>
      </c>
      <c r="AI39" s="171">
        <v>30564.46</v>
      </c>
      <c r="AJ39" s="171">
        <v>30440.91</v>
      </c>
      <c r="AK39" s="171">
        <v>30471.1</v>
      </c>
      <c r="AL39" s="171">
        <v>30331.78</v>
      </c>
      <c r="AM39" s="171">
        <v>30256.2</v>
      </c>
      <c r="AN39" s="171">
        <v>30141.41</v>
      </c>
      <c r="AO39" s="171">
        <v>30053.1</v>
      </c>
      <c r="AP39" s="171">
        <v>29981.89</v>
      </c>
      <c r="AQ39" s="171">
        <v>30030.51</v>
      </c>
      <c r="AR39" s="171">
        <v>29937.45</v>
      </c>
      <c r="AS39" s="171">
        <v>29848.93</v>
      </c>
      <c r="AT39" s="171">
        <v>29853.44</v>
      </c>
      <c r="AU39" s="171">
        <v>29730.6</v>
      </c>
      <c r="AV39" s="171">
        <v>29616.53</v>
      </c>
      <c r="AW39" s="171"/>
      <c r="AX39" s="337"/>
      <c r="AY39" s="337"/>
      <c r="AZ39" s="337"/>
      <c r="BA39" s="171"/>
      <c r="BB39" s="171"/>
      <c r="BC39" s="171"/>
      <c r="BD39" s="171"/>
      <c r="BE39" s="171"/>
      <c r="BF39" s="171">
        <v>0.0</v>
      </c>
      <c r="BG39" s="171">
        <v>0.0</v>
      </c>
      <c r="BH39" s="171">
        <v>0.0</v>
      </c>
      <c r="BI39" s="171" t="s">
        <v>2566</v>
      </c>
      <c r="BJ39" s="171">
        <v>0.0</v>
      </c>
      <c r="BK39" s="171">
        <v>0.0</v>
      </c>
      <c r="BL39" s="171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  <c r="CI39" s="329"/>
    </row>
    <row r="40" ht="15.75" customHeight="1">
      <c r="A40" s="317" t="s">
        <v>2547</v>
      </c>
      <c r="B40" s="42" t="s">
        <v>2676</v>
      </c>
      <c r="C40" s="330">
        <v>4299371.0</v>
      </c>
      <c r="D40" s="319" t="s">
        <v>18</v>
      </c>
      <c r="E40" s="319" t="s">
        <v>176</v>
      </c>
      <c r="F40" s="95" t="s">
        <v>197</v>
      </c>
      <c r="G40" s="44" t="str">
        <f t="shared" si="1"/>
        <v>Augusto</v>
      </c>
      <c r="H40" s="332" t="s">
        <v>186</v>
      </c>
      <c r="I40" s="46" t="s">
        <v>24</v>
      </c>
      <c r="J40" s="319" t="str">
        <f t="shared" si="2"/>
        <v>Não</v>
      </c>
      <c r="K40" s="320">
        <v>44789.0</v>
      </c>
      <c r="L40" s="355">
        <v>44988.0</v>
      </c>
      <c r="M40" s="95" t="s">
        <v>55</v>
      </c>
      <c r="N40" s="334">
        <v>0.007</v>
      </c>
      <c r="O40" s="319" t="s">
        <v>2552</v>
      </c>
      <c r="P40" s="322">
        <v>0.0</v>
      </c>
      <c r="Q40" s="319" t="str">
        <f>IFERROR(VLOOKUP(F40,'Cadastro de assessores'!A:B,2,FALSE),"Não Cadastrado")</f>
        <v>28411</v>
      </c>
      <c r="R40" s="319" t="s">
        <v>107</v>
      </c>
      <c r="S40" s="320">
        <v>44789.0</v>
      </c>
      <c r="T40" s="50"/>
      <c r="U40" s="50"/>
      <c r="V40" s="45" t="s">
        <v>108</v>
      </c>
      <c r="W40" s="5" t="s">
        <v>2677</v>
      </c>
      <c r="X40" s="164" t="s">
        <v>180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2678</v>
      </c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71"/>
      <c r="AS40" s="326"/>
      <c r="AT40" s="326"/>
      <c r="AU40" s="326"/>
      <c r="AV40" s="326"/>
      <c r="AW40" s="326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  <c r="CI40" s="329"/>
    </row>
    <row r="41" ht="15.75" customHeight="1">
      <c r="A41" s="317" t="s">
        <v>2547</v>
      </c>
      <c r="B41" s="42" t="s">
        <v>351</v>
      </c>
      <c r="C41" s="330" t="s">
        <v>2679</v>
      </c>
      <c r="D41" s="319" t="s">
        <v>18</v>
      </c>
      <c r="E41" s="319" t="s">
        <v>176</v>
      </c>
      <c r="F41" s="319" t="s">
        <v>197</v>
      </c>
      <c r="G41" s="44" t="str">
        <f t="shared" si="1"/>
        <v>Augusto</v>
      </c>
      <c r="H41" s="165" t="s">
        <v>147</v>
      </c>
      <c r="I41" s="51" t="s">
        <v>219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4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107</v>
      </c>
      <c r="S41" s="320">
        <v>44323.0</v>
      </c>
      <c r="T41" s="50"/>
      <c r="U41" s="50"/>
      <c r="V41" s="45" t="s">
        <v>108</v>
      </c>
      <c r="W41" s="5" t="s">
        <v>353</v>
      </c>
      <c r="X41" s="164" t="s">
        <v>180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110</v>
      </c>
      <c r="AC41" s="95"/>
      <c r="AD41" s="95" t="s">
        <v>2609</v>
      </c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71"/>
      <c r="AS41" s="326"/>
      <c r="AT41" s="326"/>
      <c r="AU41" s="326"/>
      <c r="AV41" s="326"/>
      <c r="AW41" s="326">
        <v>1784500.76</v>
      </c>
      <c r="AX41" s="171">
        <v>1776092.69</v>
      </c>
      <c r="AY41" s="171">
        <v>1759116.65</v>
      </c>
      <c r="AZ41" s="171">
        <v>1726485.95</v>
      </c>
      <c r="BA41" s="171">
        <v>1702469.86</v>
      </c>
      <c r="BB41" s="171">
        <v>1665475.68</v>
      </c>
      <c r="BC41" s="171">
        <v>1645457.18</v>
      </c>
      <c r="BD41" s="171">
        <v>1648785.82</v>
      </c>
      <c r="BE41" s="171">
        <v>1684277.02</v>
      </c>
      <c r="BF41" s="171">
        <v>1694879.55</v>
      </c>
      <c r="BG41" s="171">
        <v>1772638.46</v>
      </c>
      <c r="BH41" s="171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  <c r="CI41" s="329"/>
    </row>
    <row r="42" ht="15.75" customHeight="1">
      <c r="A42" s="317" t="s">
        <v>2547</v>
      </c>
      <c r="B42" s="235" t="s">
        <v>2680</v>
      </c>
      <c r="C42" s="356" t="s">
        <v>2681</v>
      </c>
      <c r="D42" s="319" t="s">
        <v>18</v>
      </c>
      <c r="E42" s="319" t="s">
        <v>176</v>
      </c>
      <c r="F42" s="95" t="s">
        <v>2634</v>
      </c>
      <c r="G42" s="44" t="str">
        <f t="shared" si="1"/>
        <v>Augusto</v>
      </c>
      <c r="H42" s="332" t="s">
        <v>186</v>
      </c>
      <c r="I42" s="46" t="s">
        <v>24</v>
      </c>
      <c r="J42" s="319" t="str">
        <f t="shared" si="2"/>
        <v>Não</v>
      </c>
      <c r="K42" s="333">
        <v>44263.0</v>
      </c>
      <c r="L42" s="333">
        <v>44812.0</v>
      </c>
      <c r="M42" s="95" t="s">
        <v>55</v>
      </c>
      <c r="N42" s="334">
        <v>0.007</v>
      </c>
      <c r="O42" s="319" t="s">
        <v>2552</v>
      </c>
      <c r="P42" s="322">
        <v>0.0</v>
      </c>
      <c r="Q42" s="95" t="str">
        <f>IFERROR(VLOOKUP(F42,'Cadastro de assessores'!A:B,2,FALSE),"Não Cadastrado")</f>
        <v>22066</v>
      </c>
      <c r="R42" s="95" t="s">
        <v>2563</v>
      </c>
      <c r="S42" s="333">
        <v>44263.0</v>
      </c>
      <c r="T42" s="74"/>
      <c r="U42" s="169" t="s">
        <v>2682</v>
      </c>
      <c r="V42" s="45" t="s">
        <v>108</v>
      </c>
      <c r="W42" s="13" t="s">
        <v>2683</v>
      </c>
      <c r="X42" s="164" t="s">
        <v>180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119</v>
      </c>
      <c r="AC42" s="95"/>
      <c r="AD42" s="95" t="s">
        <v>2609</v>
      </c>
      <c r="AE42" s="337"/>
      <c r="AF42" s="337"/>
      <c r="AG42" s="337"/>
      <c r="AH42" s="337"/>
      <c r="AI42" s="337"/>
      <c r="AJ42" s="337"/>
      <c r="AK42" s="337"/>
      <c r="AL42" s="337"/>
      <c r="AM42" s="337"/>
      <c r="AN42" s="337"/>
      <c r="AO42" s="337"/>
      <c r="AP42" s="171"/>
      <c r="AQ42" s="171"/>
      <c r="AR42" s="171"/>
      <c r="AS42" s="171">
        <v>789188.79</v>
      </c>
      <c r="AT42" s="171">
        <v>801732.79</v>
      </c>
      <c r="AU42" s="171"/>
      <c r="AV42" s="171">
        <v>802406.84</v>
      </c>
      <c r="AW42" s="171">
        <v>835576.89</v>
      </c>
      <c r="AX42" s="171">
        <v>851405.78</v>
      </c>
      <c r="AY42" s="171">
        <v>843866.44</v>
      </c>
      <c r="AZ42" s="171">
        <v>846439.45</v>
      </c>
      <c r="BA42" s="171">
        <v>838704.69</v>
      </c>
      <c r="BB42" s="171">
        <v>823843.9</v>
      </c>
      <c r="BC42" s="171">
        <v>816938.38</v>
      </c>
      <c r="BD42" s="171">
        <v>827580.86</v>
      </c>
      <c r="BE42" s="171">
        <v>869286.91</v>
      </c>
      <c r="BF42" s="171">
        <v>874553.46</v>
      </c>
      <c r="BG42" s="171">
        <v>921095.16</v>
      </c>
      <c r="BH42" s="171">
        <v>906532.39</v>
      </c>
      <c r="BI42" s="171">
        <v>905644.71</v>
      </c>
      <c r="BJ42" s="171">
        <v>853989.39</v>
      </c>
      <c r="BK42" s="171">
        <v>861333.4</v>
      </c>
      <c r="BL42" s="171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  <c r="CI42" s="329"/>
    </row>
    <row r="43" ht="15.75" customHeight="1">
      <c r="A43" s="317" t="s">
        <v>2547</v>
      </c>
      <c r="B43" s="344" t="s">
        <v>359</v>
      </c>
      <c r="C43" s="331" t="s">
        <v>2684</v>
      </c>
      <c r="D43" s="319" t="s">
        <v>18</v>
      </c>
      <c r="E43" s="319" t="s">
        <v>176</v>
      </c>
      <c r="F43" s="319" t="s">
        <v>177</v>
      </c>
      <c r="G43" s="44" t="str">
        <f t="shared" si="1"/>
        <v>Augusto</v>
      </c>
      <c r="H43" s="165" t="s">
        <v>147</v>
      </c>
      <c r="I43" s="51" t="s">
        <v>219</v>
      </c>
      <c r="J43" s="319" t="str">
        <f t="shared" si="2"/>
        <v>Sim</v>
      </c>
      <c r="K43" s="333">
        <v>44263.0</v>
      </c>
      <c r="L43" s="95"/>
      <c r="M43" s="95" t="s">
        <v>47</v>
      </c>
      <c r="N43" s="334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107</v>
      </c>
      <c r="S43" s="333">
        <v>44263.0</v>
      </c>
      <c r="T43" s="169" t="s">
        <v>2685</v>
      </c>
      <c r="U43" s="323"/>
      <c r="V43" s="45" t="s">
        <v>108</v>
      </c>
      <c r="W43" s="324" t="s">
        <v>361</v>
      </c>
      <c r="X43" s="164" t="s">
        <v>180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110</v>
      </c>
      <c r="AC43" s="95"/>
      <c r="AD43" s="95" t="s">
        <v>2609</v>
      </c>
      <c r="AE43" s="337"/>
      <c r="AF43" s="337"/>
      <c r="AG43" s="337"/>
      <c r="AH43" s="337"/>
      <c r="AI43" s="337"/>
      <c r="AJ43" s="337"/>
      <c r="AK43" s="337"/>
      <c r="AL43" s="337"/>
      <c r="AM43" s="337"/>
      <c r="AN43" s="337"/>
      <c r="AO43" s="337"/>
      <c r="AP43" s="171"/>
      <c r="AQ43" s="171"/>
      <c r="AR43" s="171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1">
        <v>7536661.61</v>
      </c>
      <c r="AY43" s="171">
        <v>7912549.15</v>
      </c>
      <c r="AZ43" s="171">
        <v>7768232.63</v>
      </c>
      <c r="BA43" s="171">
        <v>7647384.02</v>
      </c>
      <c r="BB43" s="171">
        <v>7214068.02</v>
      </c>
      <c r="BC43" s="171">
        <v>7358684.21</v>
      </c>
      <c r="BD43" s="171">
        <v>7448285.13</v>
      </c>
      <c r="BE43" s="171">
        <v>7624660.98</v>
      </c>
      <c r="BF43" s="171">
        <v>7677957.67</v>
      </c>
      <c r="BG43" s="171">
        <v>8017181.95</v>
      </c>
      <c r="BH43" s="171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  <c r="CI43" s="329"/>
    </row>
    <row r="44" ht="15.75" customHeight="1">
      <c r="A44" s="317" t="s">
        <v>2547</v>
      </c>
      <c r="B44" s="235" t="s">
        <v>2686</v>
      </c>
      <c r="C44" s="331" t="s">
        <v>2687</v>
      </c>
      <c r="D44" s="319" t="s">
        <v>18</v>
      </c>
      <c r="E44" s="319" t="s">
        <v>176</v>
      </c>
      <c r="F44" s="95" t="s">
        <v>177</v>
      </c>
      <c r="G44" s="44" t="str">
        <f t="shared" si="1"/>
        <v>Augusto</v>
      </c>
      <c r="H44" s="332" t="s">
        <v>186</v>
      </c>
      <c r="I44" s="46" t="s">
        <v>24</v>
      </c>
      <c r="J44" s="319" t="str">
        <f t="shared" si="2"/>
        <v>Não</v>
      </c>
      <c r="K44" s="333">
        <v>44280.0</v>
      </c>
      <c r="L44" s="338">
        <v>44512.0</v>
      </c>
      <c r="M44" s="95" t="s">
        <v>190</v>
      </c>
      <c r="N44" s="334">
        <v>0.025</v>
      </c>
      <c r="O44" s="319" t="s">
        <v>191</v>
      </c>
      <c r="P44" s="322">
        <v>0.2</v>
      </c>
      <c r="Q44" s="95" t="str">
        <f>IFERROR(VLOOKUP(F44,'Cadastro de assessores'!A:B,2,FALSE),"Não Cadastrado")</f>
        <v>250</v>
      </c>
      <c r="R44" s="95" t="s">
        <v>2563</v>
      </c>
      <c r="S44" s="333">
        <v>44280.0</v>
      </c>
      <c r="T44" s="74"/>
      <c r="U44" s="169"/>
      <c r="V44" s="45" t="s">
        <v>369</v>
      </c>
      <c r="W44" s="13" t="s">
        <v>2688</v>
      </c>
      <c r="X44" s="164" t="s">
        <v>180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2609</v>
      </c>
      <c r="AE44" s="337"/>
      <c r="AF44" s="337"/>
      <c r="AG44" s="337"/>
      <c r="AH44" s="337"/>
      <c r="AI44" s="337"/>
      <c r="AJ44" s="337"/>
      <c r="AK44" s="337"/>
      <c r="AL44" s="337"/>
      <c r="AM44" s="337"/>
      <c r="AN44" s="337"/>
      <c r="AO44" s="337"/>
      <c r="AP44" s="171"/>
      <c r="AQ44" s="171"/>
      <c r="AR44" s="171"/>
      <c r="AS44" s="171">
        <v>754702.02</v>
      </c>
      <c r="AT44" s="171">
        <v>758147.1</v>
      </c>
      <c r="AU44" s="171">
        <v>1607331.5</v>
      </c>
      <c r="AV44" s="171">
        <v>1622459.6</v>
      </c>
      <c r="AW44" s="171">
        <v>1693737.37</v>
      </c>
      <c r="AX44" s="171">
        <v>1670571.53</v>
      </c>
      <c r="AY44" s="171">
        <v>1635681.63</v>
      </c>
      <c r="AZ44" s="171">
        <v>1558503.26</v>
      </c>
      <c r="BA44" s="171">
        <v>60486.36</v>
      </c>
      <c r="BB44" s="171">
        <v>63054.73</v>
      </c>
      <c r="BC44" s="171"/>
      <c r="BD44" s="171"/>
      <c r="BE44" s="171"/>
      <c r="BF44" s="171">
        <v>0.0</v>
      </c>
      <c r="BG44" s="171">
        <v>0.0</v>
      </c>
      <c r="BH44" s="171">
        <v>0.0</v>
      </c>
      <c r="BI44" s="171" t="s">
        <v>2566</v>
      </c>
      <c r="BJ44" s="171">
        <v>0.0</v>
      </c>
      <c r="BK44" s="171">
        <v>0.0</v>
      </c>
      <c r="BL44" s="171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  <c r="CI44" s="329"/>
    </row>
    <row r="45" ht="15.75" customHeight="1">
      <c r="A45" s="317" t="s">
        <v>2547</v>
      </c>
      <c r="B45" s="156" t="s">
        <v>2689</v>
      </c>
      <c r="C45" s="342">
        <v>6274088.0</v>
      </c>
      <c r="D45" s="319" t="s">
        <v>18</v>
      </c>
      <c r="E45" s="319" t="s">
        <v>1818</v>
      </c>
      <c r="F45" s="45" t="s">
        <v>2690</v>
      </c>
      <c r="G45" s="44" t="str">
        <f t="shared" si="1"/>
        <v>Augusto</v>
      </c>
      <c r="H45" s="165" t="s">
        <v>147</v>
      </c>
      <c r="I45" s="46" t="s">
        <v>24</v>
      </c>
      <c r="J45" s="319" t="str">
        <f t="shared" si="2"/>
        <v>Não</v>
      </c>
      <c r="K45" s="335">
        <v>44512.0</v>
      </c>
      <c r="L45" s="95"/>
      <c r="M45" s="95" t="s">
        <v>79</v>
      </c>
      <c r="N45" s="334">
        <v>0.012</v>
      </c>
      <c r="O45" s="319" t="s">
        <v>2552</v>
      </c>
      <c r="P45" s="322">
        <v>0.0</v>
      </c>
      <c r="Q45" s="319">
        <f>IFERROR(VLOOKUP(F45,'Cadastro de assessores'!A:B,2,FALSE),"Não Cadastrado")</f>
        <v>26542</v>
      </c>
      <c r="R45" s="357" t="s">
        <v>107</v>
      </c>
      <c r="S45" s="335">
        <v>44510.0</v>
      </c>
      <c r="T45" s="50"/>
      <c r="U45" s="50"/>
      <c r="V45" s="45" t="s">
        <v>108</v>
      </c>
      <c r="W45" s="11" t="s">
        <v>2691</v>
      </c>
      <c r="X45" s="45" t="s">
        <v>152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119</v>
      </c>
      <c r="AC45" s="95"/>
      <c r="AD45" s="45" t="s">
        <v>2619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1"/>
      <c r="AP45" s="171"/>
      <c r="AQ45" s="171"/>
      <c r="AR45" s="171"/>
      <c r="AS45" s="171"/>
      <c r="AT45" s="171"/>
      <c r="AU45" s="171"/>
      <c r="AV45" s="171"/>
      <c r="AW45" s="337"/>
      <c r="AX45" s="337"/>
      <c r="AY45" s="337"/>
      <c r="AZ45" s="41"/>
      <c r="BA45" s="171"/>
      <c r="BB45" s="171"/>
      <c r="BC45" s="171">
        <v>5012.74</v>
      </c>
      <c r="BD45" s="171">
        <v>5049.73</v>
      </c>
      <c r="BE45" s="171">
        <v>5087.71</v>
      </c>
      <c r="BF45" s="171">
        <v>5125.07</v>
      </c>
      <c r="BG45" s="171">
        <v>5173.9</v>
      </c>
      <c r="BH45" s="171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  <c r="CI45" s="329"/>
    </row>
    <row r="46" ht="15.75" customHeight="1">
      <c r="A46" s="317" t="s">
        <v>2547</v>
      </c>
      <c r="B46" s="239" t="s">
        <v>2692</v>
      </c>
      <c r="C46" s="331" t="s">
        <v>2693</v>
      </c>
      <c r="D46" s="319" t="s">
        <v>2550</v>
      </c>
      <c r="E46" s="319" t="s">
        <v>29</v>
      </c>
      <c r="F46" s="95" t="s">
        <v>2551</v>
      </c>
      <c r="G46" s="44" t="str">
        <f t="shared" si="1"/>
        <v>Augusto</v>
      </c>
      <c r="H46" s="332" t="s">
        <v>186</v>
      </c>
      <c r="I46" s="46" t="s">
        <v>24</v>
      </c>
      <c r="J46" s="319" t="str">
        <f t="shared" si="2"/>
        <v>Não</v>
      </c>
      <c r="K46" s="333">
        <v>43567.0</v>
      </c>
      <c r="L46" s="338">
        <v>43768.0</v>
      </c>
      <c r="M46" s="95" t="s">
        <v>190</v>
      </c>
      <c r="N46" s="334">
        <v>0.025</v>
      </c>
      <c r="O46" s="319" t="s">
        <v>191</v>
      </c>
      <c r="P46" s="322">
        <v>0.2</v>
      </c>
      <c r="Q46" s="95" t="str">
        <f>IFERROR(VLOOKUP(F46,'Cadastro de assessores'!A:B,2,FALSE),"Não Cadastrado")</f>
        <v>17573</v>
      </c>
      <c r="R46" s="95" t="s">
        <v>2563</v>
      </c>
      <c r="S46" s="333">
        <v>43567.0</v>
      </c>
      <c r="T46" s="74"/>
      <c r="U46" s="169"/>
      <c r="V46" s="45" t="s">
        <v>108</v>
      </c>
      <c r="W46" s="13" t="s">
        <v>2694</v>
      </c>
      <c r="X46" s="95" t="s">
        <v>152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2695</v>
      </c>
      <c r="AE46" s="171">
        <v>0.0</v>
      </c>
      <c r="AF46" s="171">
        <v>0.0</v>
      </c>
      <c r="AG46" s="171">
        <v>0.0</v>
      </c>
      <c r="AH46" s="171">
        <v>0.0</v>
      </c>
      <c r="AI46" s="171">
        <v>0.0</v>
      </c>
      <c r="AJ46" s="171">
        <v>0.0</v>
      </c>
      <c r="AK46" s="171">
        <v>0.0</v>
      </c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337"/>
      <c r="AY46" s="337"/>
      <c r="AZ46" s="337"/>
      <c r="BA46" s="171"/>
      <c r="BB46" s="171"/>
      <c r="BC46" s="171"/>
      <c r="BD46" s="171"/>
      <c r="BE46" s="171"/>
      <c r="BF46" s="171">
        <v>0.0</v>
      </c>
      <c r="BG46" s="171">
        <v>0.0</v>
      </c>
      <c r="BH46" s="171">
        <v>0.0</v>
      </c>
      <c r="BI46" s="171" t="s">
        <v>2566</v>
      </c>
      <c r="BJ46" s="171">
        <v>0.0</v>
      </c>
      <c r="BK46" s="171">
        <v>0.0</v>
      </c>
      <c r="BL46" s="171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  <c r="CI46" s="329"/>
    </row>
    <row r="47" ht="15.75" customHeight="1">
      <c r="A47" s="317" t="s">
        <v>2547</v>
      </c>
      <c r="B47" s="235" t="s">
        <v>2696</v>
      </c>
      <c r="C47" s="331" t="s">
        <v>2697</v>
      </c>
      <c r="D47" s="319" t="s">
        <v>2550</v>
      </c>
      <c r="E47" s="319" t="s">
        <v>29</v>
      </c>
      <c r="F47" s="95" t="s">
        <v>2551</v>
      </c>
      <c r="G47" s="44" t="str">
        <f t="shared" si="1"/>
        <v>Augusto</v>
      </c>
      <c r="H47" s="332" t="s">
        <v>186</v>
      </c>
      <c r="I47" s="46" t="s">
        <v>24</v>
      </c>
      <c r="J47" s="319" t="str">
        <f t="shared" si="2"/>
        <v>Não</v>
      </c>
      <c r="K47" s="333">
        <v>43725.0</v>
      </c>
      <c r="L47" s="338">
        <v>44490.0</v>
      </c>
      <c r="M47" s="95" t="s">
        <v>47</v>
      </c>
      <c r="N47" s="334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2563</v>
      </c>
      <c r="S47" s="333">
        <v>43725.0</v>
      </c>
      <c r="T47" s="169"/>
      <c r="U47" s="74"/>
      <c r="V47" s="45" t="s">
        <v>108</v>
      </c>
      <c r="W47" s="13" t="s">
        <v>2698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2591</v>
      </c>
      <c r="AE47" s="171">
        <v>101588.43</v>
      </c>
      <c r="AF47" s="171">
        <v>100105.88</v>
      </c>
      <c r="AG47" s="171">
        <v>96648.78</v>
      </c>
      <c r="AH47" s="171">
        <v>97081.62</v>
      </c>
      <c r="AI47" s="171">
        <v>97860.73</v>
      </c>
      <c r="AJ47" s="171">
        <v>98350.86</v>
      </c>
      <c r="AK47" s="171">
        <v>99488.49</v>
      </c>
      <c r="AL47" s="171">
        <v>98603.43</v>
      </c>
      <c r="AM47" s="171">
        <v>97138.93</v>
      </c>
      <c r="AN47" s="171">
        <v>97260.01</v>
      </c>
      <c r="AO47" s="171">
        <v>99637.29</v>
      </c>
      <c r="AP47" s="171">
        <v>100638.85</v>
      </c>
      <c r="AQ47" s="171">
        <v>34143.79</v>
      </c>
      <c r="AR47" s="171">
        <v>34012.55</v>
      </c>
      <c r="AS47" s="171">
        <v>34030.3</v>
      </c>
      <c r="AT47" s="171">
        <v>33952.38</v>
      </c>
      <c r="AU47" s="171">
        <v>33889.99</v>
      </c>
      <c r="AV47" s="171">
        <v>33786.11</v>
      </c>
      <c r="AW47" s="171">
        <v>33873.85</v>
      </c>
      <c r="AX47" s="171">
        <v>33850.81</v>
      </c>
      <c r="AY47" s="171">
        <v>34102.19</v>
      </c>
      <c r="AZ47" s="171">
        <v>34240.54</v>
      </c>
      <c r="BA47" s="171">
        <v>1902.11</v>
      </c>
      <c r="BB47" s="171"/>
      <c r="BC47" s="171"/>
      <c r="BD47" s="171"/>
      <c r="BE47" s="171"/>
      <c r="BF47" s="171">
        <v>0.0</v>
      </c>
      <c r="BG47" s="171">
        <v>0.0</v>
      </c>
      <c r="BH47" s="171">
        <v>0.0</v>
      </c>
      <c r="BI47" s="171" t="s">
        <v>2566</v>
      </c>
      <c r="BJ47" s="171">
        <v>0.0</v>
      </c>
      <c r="BK47" s="171">
        <v>0.0</v>
      </c>
      <c r="BL47" s="171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  <c r="CI47" s="329"/>
    </row>
    <row r="48" ht="15.75" customHeight="1">
      <c r="A48" s="317" t="s">
        <v>2547</v>
      </c>
      <c r="B48" s="61" t="s">
        <v>403</v>
      </c>
      <c r="C48" s="71" t="s">
        <v>2699</v>
      </c>
      <c r="D48" s="319" t="s">
        <v>18</v>
      </c>
      <c r="E48" s="319" t="s">
        <v>176</v>
      </c>
      <c r="F48" s="93" t="s">
        <v>177</v>
      </c>
      <c r="G48" s="44" t="str">
        <f t="shared" si="1"/>
        <v>Augusto</v>
      </c>
      <c r="H48" s="332" t="s">
        <v>147</v>
      </c>
      <c r="I48" s="51" t="s">
        <v>219</v>
      </c>
      <c r="J48" s="319" t="str">
        <f t="shared" si="2"/>
        <v>Não</v>
      </c>
      <c r="K48" s="72">
        <v>44421.0</v>
      </c>
      <c r="L48" s="95"/>
      <c r="M48" s="95" t="s">
        <v>47</v>
      </c>
      <c r="N48" s="334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107</v>
      </c>
      <c r="S48" s="72">
        <v>44420.0</v>
      </c>
      <c r="T48" s="50"/>
      <c r="U48" s="50"/>
      <c r="V48" s="45" t="s">
        <v>108</v>
      </c>
      <c r="W48" s="5" t="s">
        <v>405</v>
      </c>
      <c r="X48" s="164" t="s">
        <v>180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119</v>
      </c>
      <c r="AC48" s="95"/>
      <c r="AD48" s="45" t="s">
        <v>2700</v>
      </c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171"/>
      <c r="AQ48" s="171"/>
      <c r="AR48" s="326"/>
      <c r="AS48" s="326"/>
      <c r="AT48" s="326"/>
      <c r="AU48" s="326"/>
      <c r="AV48" s="326"/>
      <c r="AW48" s="171"/>
      <c r="AX48" s="171"/>
      <c r="AY48" s="191"/>
      <c r="AZ48" s="191">
        <v>47648.88</v>
      </c>
      <c r="BA48" s="171">
        <v>46993.27</v>
      </c>
      <c r="BB48" s="171">
        <v>35270.98</v>
      </c>
      <c r="BC48" s="171">
        <v>27919.29</v>
      </c>
      <c r="BD48" s="171">
        <v>27979.75</v>
      </c>
      <c r="BE48" s="171">
        <v>28655.09</v>
      </c>
      <c r="BF48" s="171">
        <v>21216.49</v>
      </c>
      <c r="BG48" s="171">
        <v>17209.95</v>
      </c>
      <c r="BH48" s="171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  <c r="CI48" s="329"/>
    </row>
    <row r="49" ht="15.75" customHeight="1">
      <c r="A49" s="317" t="s">
        <v>2547</v>
      </c>
      <c r="B49" s="235" t="s">
        <v>2701</v>
      </c>
      <c r="C49" s="331" t="s">
        <v>2702</v>
      </c>
      <c r="D49" s="319" t="s">
        <v>18</v>
      </c>
      <c r="E49" s="319" t="s">
        <v>29</v>
      </c>
      <c r="F49" s="319" t="s">
        <v>168</v>
      </c>
      <c r="G49" s="44" t="str">
        <f t="shared" si="1"/>
        <v>Augusto</v>
      </c>
      <c r="H49" s="165" t="s">
        <v>107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4">
        <v>0.015</v>
      </c>
      <c r="O49" s="319" t="s">
        <v>2552</v>
      </c>
      <c r="P49" s="322">
        <v>0.0</v>
      </c>
      <c r="Q49" s="319">
        <f>IFERROR(VLOOKUP(F49,'Cadastro de assessores'!A:B,2,FALSE),"Não Cadastrado")</f>
        <v>12344</v>
      </c>
      <c r="R49" s="319" t="s">
        <v>107</v>
      </c>
      <c r="S49" s="320">
        <v>43899.0</v>
      </c>
      <c r="T49" s="169"/>
      <c r="U49" s="336" t="s">
        <v>2703</v>
      </c>
      <c r="V49" s="45" t="s">
        <v>108</v>
      </c>
      <c r="W49" s="13" t="s">
        <v>2704</v>
      </c>
      <c r="X49" s="95" t="s">
        <v>791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119</v>
      </c>
      <c r="AC49" s="95"/>
      <c r="AD49" s="95" t="s">
        <v>2664</v>
      </c>
      <c r="AE49" s="171">
        <v>145642.82</v>
      </c>
      <c r="AF49" s="171">
        <v>142959.05</v>
      </c>
      <c r="AG49" s="171">
        <v>268847.47</v>
      </c>
      <c r="AH49" s="171">
        <v>274057.68</v>
      </c>
      <c r="AI49" s="171">
        <v>279141.8</v>
      </c>
      <c r="AJ49" s="171">
        <v>282221.55</v>
      </c>
      <c r="AK49" s="171">
        <v>349858.74</v>
      </c>
      <c r="AL49" s="171">
        <v>320881.21</v>
      </c>
      <c r="AM49" s="171">
        <v>242299.17</v>
      </c>
      <c r="AN49" s="171">
        <v>166385.34</v>
      </c>
      <c r="AO49" s="171">
        <v>175521.76</v>
      </c>
      <c r="AP49" s="171">
        <v>179019.45</v>
      </c>
      <c r="AQ49" s="171">
        <v>175665.52</v>
      </c>
      <c r="AR49" s="171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1">
        <v>175857.66</v>
      </c>
      <c r="AY49" s="171">
        <v>174298.27</v>
      </c>
      <c r="AZ49" s="171">
        <v>171587.07</v>
      </c>
      <c r="BA49" s="171">
        <v>151271.37</v>
      </c>
      <c r="BB49" s="171">
        <v>164679.13</v>
      </c>
      <c r="BC49" s="171">
        <v>163317.99</v>
      </c>
      <c r="BD49" s="171">
        <v>163918.73</v>
      </c>
      <c r="BE49" s="171">
        <v>167848.8</v>
      </c>
      <c r="BF49" s="171">
        <v>168842.99</v>
      </c>
      <c r="BG49" s="171">
        <v>175863.39</v>
      </c>
      <c r="BH49" s="171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  <c r="CI49" s="329"/>
    </row>
    <row r="50" ht="15.75" customHeight="1">
      <c r="A50" s="317" t="s">
        <v>2547</v>
      </c>
      <c r="B50" s="235" t="s">
        <v>425</v>
      </c>
      <c r="C50" s="358" t="s">
        <v>2705</v>
      </c>
      <c r="D50" s="347" t="s">
        <v>18</v>
      </c>
      <c r="E50" s="347" t="s">
        <v>29</v>
      </c>
      <c r="F50" s="347" t="s">
        <v>294</v>
      </c>
      <c r="G50" s="44" t="str">
        <f t="shared" si="1"/>
        <v>Augusto</v>
      </c>
      <c r="H50" s="359" t="s">
        <v>147</v>
      </c>
      <c r="I50" s="51" t="s">
        <v>219</v>
      </c>
      <c r="J50" s="319" t="str">
        <f t="shared" si="2"/>
        <v>Sim</v>
      </c>
      <c r="K50" s="349">
        <v>43928.0</v>
      </c>
      <c r="L50" s="350"/>
      <c r="M50" s="350" t="s">
        <v>47</v>
      </c>
      <c r="N50" s="360">
        <v>0.015</v>
      </c>
      <c r="O50" s="361" t="s">
        <v>48</v>
      </c>
      <c r="P50" s="362">
        <v>0.2</v>
      </c>
      <c r="Q50" s="319">
        <f>IFERROR(VLOOKUP(F50,'Cadastro de assessores'!A:B,2,FALSE),"Não Cadastrado")</f>
        <v>12359</v>
      </c>
      <c r="R50" s="319" t="s">
        <v>107</v>
      </c>
      <c r="S50" s="320">
        <v>43923.0</v>
      </c>
      <c r="T50" s="169" t="s">
        <v>2706</v>
      </c>
      <c r="U50" s="336" t="s">
        <v>2707</v>
      </c>
      <c r="V50" s="45" t="s">
        <v>108</v>
      </c>
      <c r="W50" s="13" t="s">
        <v>429</v>
      </c>
      <c r="X50" s="95" t="s">
        <v>455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119</v>
      </c>
      <c r="AC50" s="95"/>
      <c r="AD50" s="95" t="s">
        <v>2708</v>
      </c>
      <c r="AE50" s="171">
        <v>0.0</v>
      </c>
      <c r="AF50" s="171">
        <v>0.0</v>
      </c>
      <c r="AG50" s="171">
        <v>0.0</v>
      </c>
      <c r="AH50" s="171">
        <v>99148.64</v>
      </c>
      <c r="AI50" s="171">
        <v>102256.5</v>
      </c>
      <c r="AJ50" s="171">
        <v>115566.32</v>
      </c>
      <c r="AK50" s="171">
        <v>118888.46</v>
      </c>
      <c r="AL50" s="171">
        <v>114751.44</v>
      </c>
      <c r="AM50" s="171">
        <v>111616.76</v>
      </c>
      <c r="AN50" s="171">
        <v>111285.19</v>
      </c>
      <c r="AO50" s="171">
        <v>119550.43</v>
      </c>
      <c r="AP50" s="171">
        <v>224188.61</v>
      </c>
      <c r="AQ50" s="171">
        <v>220752.93</v>
      </c>
      <c r="AR50" s="171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1">
        <v>242501.45</v>
      </c>
      <c r="AY50" s="171">
        <v>239384.26</v>
      </c>
      <c r="AZ50" s="171">
        <v>233845.45</v>
      </c>
      <c r="BA50" s="171">
        <v>210304.02</v>
      </c>
      <c r="BB50" s="171">
        <v>221045.88</v>
      </c>
      <c r="BC50" s="171">
        <v>218069.03</v>
      </c>
      <c r="BD50" s="171">
        <v>219743.75</v>
      </c>
      <c r="BE50" s="171">
        <v>275461.61</v>
      </c>
      <c r="BF50" s="171">
        <v>277705.89</v>
      </c>
      <c r="BG50" s="171">
        <v>289723.8</v>
      </c>
      <c r="BH50" s="171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  <c r="CI50" s="329"/>
    </row>
    <row r="51" ht="15.75" customHeight="1">
      <c r="A51" s="317" t="s">
        <v>2547</v>
      </c>
      <c r="B51" s="239" t="s">
        <v>2709</v>
      </c>
      <c r="C51" s="331" t="s">
        <v>2710</v>
      </c>
      <c r="D51" s="319" t="s">
        <v>2550</v>
      </c>
      <c r="E51" s="319" t="s">
        <v>29</v>
      </c>
      <c r="F51" s="95" t="s">
        <v>2551</v>
      </c>
      <c r="G51" s="44" t="str">
        <f t="shared" si="1"/>
        <v>Augusto</v>
      </c>
      <c r="H51" s="332" t="s">
        <v>186</v>
      </c>
      <c r="I51" s="46" t="s">
        <v>24</v>
      </c>
      <c r="J51" s="319" t="str">
        <f t="shared" si="2"/>
        <v>Não</v>
      </c>
      <c r="K51" s="338">
        <v>43769.0</v>
      </c>
      <c r="L51" s="333">
        <v>44637.0</v>
      </c>
      <c r="M51" s="95" t="s">
        <v>79</v>
      </c>
      <c r="N51" s="334">
        <v>0.01</v>
      </c>
      <c r="O51" s="319" t="s">
        <v>2552</v>
      </c>
      <c r="P51" s="322">
        <v>0.0</v>
      </c>
      <c r="Q51" s="95" t="str">
        <f>IFERROR(VLOOKUP(F51,'Cadastro de assessores'!A:B,2,FALSE),"Não Cadastrado")</f>
        <v>17573</v>
      </c>
      <c r="R51" s="95" t="s">
        <v>2563</v>
      </c>
      <c r="S51" s="338">
        <v>43769.0</v>
      </c>
      <c r="T51" s="74"/>
      <c r="U51" s="169" t="s">
        <v>2711</v>
      </c>
      <c r="V51" s="45" t="s">
        <v>108</v>
      </c>
      <c r="W51" s="13" t="s">
        <v>2712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2580</v>
      </c>
      <c r="AE51" s="171">
        <v>35970.59</v>
      </c>
      <c r="AF51" s="171">
        <v>35338.24</v>
      </c>
      <c r="AG51" s="171">
        <v>33967.45</v>
      </c>
      <c r="AH51" s="171">
        <v>34255.51</v>
      </c>
      <c r="AI51" s="171">
        <v>34473.06</v>
      </c>
      <c r="AJ51" s="171">
        <v>34599.53</v>
      </c>
      <c r="AK51" s="171">
        <v>35123.17</v>
      </c>
      <c r="AL51" s="171">
        <v>34532.19</v>
      </c>
      <c r="AM51" s="171">
        <v>34373.05</v>
      </c>
      <c r="AN51" s="171">
        <v>34383.29</v>
      </c>
      <c r="AO51" s="171">
        <v>35598.34</v>
      </c>
      <c r="AP51" s="171">
        <v>35806.58</v>
      </c>
      <c r="AQ51" s="171">
        <v>35478.48</v>
      </c>
      <c r="AR51" s="171">
        <v>34506.11</v>
      </c>
      <c r="AS51" s="171">
        <v>34058.5</v>
      </c>
      <c r="AT51" s="171">
        <v>31881.22</v>
      </c>
      <c r="AU51" s="171">
        <v>34619.83</v>
      </c>
      <c r="AV51" s="171">
        <v>34644.56</v>
      </c>
      <c r="AW51" s="171">
        <v>34920.5</v>
      </c>
      <c r="AX51" s="171">
        <v>34813.48</v>
      </c>
      <c r="AY51" s="171">
        <v>34679.86</v>
      </c>
      <c r="AZ51" s="171">
        <v>34417.37</v>
      </c>
      <c r="BA51" s="171">
        <v>34144.28</v>
      </c>
      <c r="BB51" s="171">
        <v>33637.23</v>
      </c>
      <c r="BC51" s="171">
        <v>12620.37</v>
      </c>
      <c r="BD51" s="171">
        <v>12645.41</v>
      </c>
      <c r="BE51" s="171">
        <v>3897.83</v>
      </c>
      <c r="BF51" s="171">
        <v>3918.4</v>
      </c>
      <c r="BG51" s="171">
        <v>3985.03</v>
      </c>
      <c r="BH51" s="171">
        <v>0.0</v>
      </c>
      <c r="BI51" s="339" t="s">
        <v>2566</v>
      </c>
      <c r="BJ51" s="171">
        <v>0.0</v>
      </c>
      <c r="BK51" s="171">
        <v>0.0</v>
      </c>
      <c r="BL51" s="171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  <c r="CI51" s="329"/>
    </row>
    <row r="52" ht="15.75" customHeight="1">
      <c r="A52" s="317" t="s">
        <v>2547</v>
      </c>
      <c r="B52" s="239" t="s">
        <v>2713</v>
      </c>
      <c r="C52" s="331" t="s">
        <v>2714</v>
      </c>
      <c r="D52" s="319" t="s">
        <v>2550</v>
      </c>
      <c r="E52" s="319" t="s">
        <v>29</v>
      </c>
      <c r="F52" s="95" t="s">
        <v>2551</v>
      </c>
      <c r="G52" s="44" t="str">
        <f t="shared" si="1"/>
        <v>Augusto</v>
      </c>
      <c r="H52" s="332" t="s">
        <v>186</v>
      </c>
      <c r="I52" s="46" t="s">
        <v>24</v>
      </c>
      <c r="J52" s="319" t="str">
        <f t="shared" si="2"/>
        <v>Não</v>
      </c>
      <c r="K52" s="333">
        <v>43665.0</v>
      </c>
      <c r="L52" s="333">
        <v>44309.0</v>
      </c>
      <c r="M52" s="95" t="s">
        <v>47</v>
      </c>
      <c r="N52" s="334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2563</v>
      </c>
      <c r="S52" s="333">
        <v>43665.0</v>
      </c>
      <c r="T52" s="169"/>
      <c r="U52" s="74"/>
      <c r="V52" s="45" t="s">
        <v>108</v>
      </c>
      <c r="W52" s="13" t="s">
        <v>2715</v>
      </c>
      <c r="X52" s="164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2602</v>
      </c>
      <c r="AE52" s="171">
        <v>255555.68</v>
      </c>
      <c r="AF52" s="171">
        <v>253417.99</v>
      </c>
      <c r="AG52" s="171">
        <v>241072.78</v>
      </c>
      <c r="AH52" s="171">
        <v>245330.8</v>
      </c>
      <c r="AI52" s="171">
        <v>247365.38</v>
      </c>
      <c r="AJ52" s="171">
        <v>249142.84</v>
      </c>
      <c r="AK52" s="171">
        <v>254177.08</v>
      </c>
      <c r="AL52" s="171">
        <v>280059.2</v>
      </c>
      <c r="AM52" s="171">
        <v>277113.49</v>
      </c>
      <c r="AN52" s="171">
        <v>278526.07</v>
      </c>
      <c r="AO52" s="171">
        <v>306021.71</v>
      </c>
      <c r="AP52" s="171">
        <v>337713.16</v>
      </c>
      <c r="AQ52" s="363">
        <v>1176.94</v>
      </c>
      <c r="AR52" s="363"/>
      <c r="AS52" s="171">
        <v>2.93</v>
      </c>
      <c r="AT52" s="171">
        <v>47.86</v>
      </c>
      <c r="AU52" s="171">
        <v>47.86</v>
      </c>
      <c r="AV52" s="171">
        <v>47.86</v>
      </c>
      <c r="AW52" s="171"/>
      <c r="AX52" s="337"/>
      <c r="AY52" s="337"/>
      <c r="AZ52" s="337"/>
      <c r="BA52" s="171"/>
      <c r="BB52" s="171"/>
      <c r="BC52" s="171"/>
      <c r="BD52" s="171"/>
      <c r="BE52" s="171"/>
      <c r="BF52" s="171">
        <v>0.0</v>
      </c>
      <c r="BG52" s="171">
        <v>0.0</v>
      </c>
      <c r="BH52" s="171">
        <v>0.0</v>
      </c>
      <c r="BI52" s="171" t="s">
        <v>2566</v>
      </c>
      <c r="BJ52" s="171">
        <v>0.0</v>
      </c>
      <c r="BK52" s="171">
        <v>0.0</v>
      </c>
      <c r="BL52" s="171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  <c r="CI52" s="329"/>
    </row>
    <row r="53" ht="15.75" customHeight="1">
      <c r="A53" s="317" t="s">
        <v>2547</v>
      </c>
      <c r="B53" s="239" t="s">
        <v>2716</v>
      </c>
      <c r="C53" s="331" t="s">
        <v>2717</v>
      </c>
      <c r="D53" s="319" t="s">
        <v>18</v>
      </c>
      <c r="E53" s="319" t="s">
        <v>29</v>
      </c>
      <c r="F53" s="95" t="s">
        <v>373</v>
      </c>
      <c r="G53" s="44" t="str">
        <f t="shared" si="1"/>
        <v>Augusto</v>
      </c>
      <c r="H53" s="332" t="s">
        <v>186</v>
      </c>
      <c r="I53" s="46" t="s">
        <v>24</v>
      </c>
      <c r="J53" s="319" t="str">
        <f t="shared" si="2"/>
        <v>Não</v>
      </c>
      <c r="K53" s="333">
        <v>43509.0</v>
      </c>
      <c r="L53" s="333">
        <v>44309.0</v>
      </c>
      <c r="M53" s="95" t="s">
        <v>269</v>
      </c>
      <c r="N53" s="334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2563</v>
      </c>
      <c r="S53" s="333">
        <v>43509.0</v>
      </c>
      <c r="T53" s="323"/>
      <c r="U53" s="169" t="s">
        <v>2718</v>
      </c>
      <c r="V53" s="45" t="s">
        <v>108</v>
      </c>
      <c r="W53" s="13" t="s">
        <v>2719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2656</v>
      </c>
      <c r="AE53" s="171">
        <v>552688.85</v>
      </c>
      <c r="AF53" s="171">
        <v>517429.23</v>
      </c>
      <c r="AG53" s="171">
        <v>524081.55</v>
      </c>
      <c r="AH53" s="171">
        <v>544963.13</v>
      </c>
      <c r="AI53" s="171">
        <v>559620.29</v>
      </c>
      <c r="AJ53" s="171">
        <v>606331.66</v>
      </c>
      <c r="AK53" s="171">
        <v>640320.64</v>
      </c>
      <c r="AL53" s="171">
        <v>612044.24</v>
      </c>
      <c r="AM53" s="171">
        <v>642652.54</v>
      </c>
      <c r="AN53" s="171">
        <v>650187.21</v>
      </c>
      <c r="AO53" s="171">
        <v>707349.78</v>
      </c>
      <c r="AP53" s="171">
        <v>736361.46</v>
      </c>
      <c r="AQ53" s="171">
        <v>720769.75</v>
      </c>
      <c r="AR53" s="171">
        <v>689726.59</v>
      </c>
      <c r="AS53" s="171">
        <v>674863.11</v>
      </c>
      <c r="AT53" s="171">
        <v>772839.24</v>
      </c>
      <c r="AU53" s="171">
        <v>35060.09</v>
      </c>
      <c r="AV53" s="171">
        <v>35060.09</v>
      </c>
      <c r="AW53" s="171"/>
      <c r="AX53" s="337"/>
      <c r="AY53" s="337"/>
      <c r="AZ53" s="337"/>
      <c r="BA53" s="171"/>
      <c r="BB53" s="171"/>
      <c r="BC53" s="171"/>
      <c r="BD53" s="171"/>
      <c r="BE53" s="171"/>
      <c r="BF53" s="171">
        <v>0.0</v>
      </c>
      <c r="BG53" s="171">
        <v>0.0</v>
      </c>
      <c r="BH53" s="171">
        <v>0.0</v>
      </c>
      <c r="BI53" s="171" t="s">
        <v>2566</v>
      </c>
      <c r="BJ53" s="171">
        <v>0.0</v>
      </c>
      <c r="BK53" s="171">
        <v>0.0</v>
      </c>
      <c r="BL53" s="171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  <c r="CI53" s="329"/>
    </row>
    <row r="54" ht="15.75" customHeight="1">
      <c r="A54" s="317" t="s">
        <v>2547</v>
      </c>
      <c r="B54" s="239" t="s">
        <v>2716</v>
      </c>
      <c r="C54" s="331" t="s">
        <v>2720</v>
      </c>
      <c r="D54" s="319" t="s">
        <v>18</v>
      </c>
      <c r="E54" s="319" t="s">
        <v>29</v>
      </c>
      <c r="F54" s="95" t="s">
        <v>373</v>
      </c>
      <c r="G54" s="44" t="str">
        <f t="shared" si="1"/>
        <v>Augusto</v>
      </c>
      <c r="H54" s="332" t="s">
        <v>186</v>
      </c>
      <c r="I54" s="46" t="s">
        <v>24</v>
      </c>
      <c r="J54" s="319" t="str">
        <f t="shared" si="2"/>
        <v>Não</v>
      </c>
      <c r="K54" s="333">
        <v>43517.0</v>
      </c>
      <c r="L54" s="333">
        <v>44309.0</v>
      </c>
      <c r="M54" s="95" t="s">
        <v>190</v>
      </c>
      <c r="N54" s="334">
        <v>0.0125</v>
      </c>
      <c r="O54" s="319" t="s">
        <v>191</v>
      </c>
      <c r="P54" s="322">
        <v>0.2</v>
      </c>
      <c r="Q54" s="95" t="str">
        <f>IFERROR(VLOOKUP(F54,'Cadastro de assessores'!A:B,2,FALSE),"Não Cadastrado")</f>
        <v>18993</v>
      </c>
      <c r="R54" s="95" t="s">
        <v>2563</v>
      </c>
      <c r="S54" s="333">
        <v>43517.0</v>
      </c>
      <c r="T54" s="74"/>
      <c r="U54" s="169" t="s">
        <v>2721</v>
      </c>
      <c r="V54" s="45" t="s">
        <v>108</v>
      </c>
      <c r="W54" s="13" t="s">
        <v>2719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2656</v>
      </c>
      <c r="AE54" s="171">
        <v>0.0</v>
      </c>
      <c r="AF54" s="171">
        <v>0.0</v>
      </c>
      <c r="AG54" s="171">
        <v>0.0</v>
      </c>
      <c r="AH54" s="171">
        <v>0.0</v>
      </c>
      <c r="AI54" s="171">
        <v>0.0</v>
      </c>
      <c r="AJ54" s="171">
        <v>0.0</v>
      </c>
      <c r="AK54" s="171">
        <v>0.0</v>
      </c>
      <c r="AL54" s="171"/>
      <c r="AM54" s="171"/>
      <c r="AN54" s="171"/>
      <c r="AO54" s="171"/>
      <c r="AP54" s="171"/>
      <c r="AQ54" s="171"/>
      <c r="AR54" s="171"/>
      <c r="AS54" s="171"/>
      <c r="AT54" s="171"/>
      <c r="AU54" s="171"/>
      <c r="AV54" s="171"/>
      <c r="AW54" s="171"/>
      <c r="AX54" s="337"/>
      <c r="AY54" s="337"/>
      <c r="AZ54" s="337"/>
      <c r="BA54" s="171"/>
      <c r="BB54" s="171"/>
      <c r="BC54" s="171"/>
      <c r="BD54" s="171"/>
      <c r="BE54" s="171"/>
      <c r="BF54" s="171">
        <v>0.0</v>
      </c>
      <c r="BG54" s="171">
        <v>0.0</v>
      </c>
      <c r="BH54" s="171">
        <v>0.0</v>
      </c>
      <c r="BI54" s="171" t="s">
        <v>2566</v>
      </c>
      <c r="BJ54" s="171">
        <v>0.0</v>
      </c>
      <c r="BK54" s="171">
        <v>0.0</v>
      </c>
      <c r="BL54" s="171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  <c r="CI54" s="329"/>
    </row>
    <row r="55" ht="15.75" customHeight="1">
      <c r="A55" s="317" t="s">
        <v>2547</v>
      </c>
      <c r="B55" s="61" t="s">
        <v>452</v>
      </c>
      <c r="C55" s="330" t="s">
        <v>2722</v>
      </c>
      <c r="D55" s="319" t="s">
        <v>18</v>
      </c>
      <c r="E55" s="319" t="s">
        <v>176</v>
      </c>
      <c r="F55" s="93" t="s">
        <v>177</v>
      </c>
      <c r="G55" s="44" t="str">
        <f t="shared" si="1"/>
        <v>Augusto</v>
      </c>
      <c r="H55" s="165" t="s">
        <v>147</v>
      </c>
      <c r="I55" s="51" t="s">
        <v>219</v>
      </c>
      <c r="J55" s="319" t="str">
        <f t="shared" si="2"/>
        <v>Não</v>
      </c>
      <c r="K55" s="72">
        <v>44420.0</v>
      </c>
      <c r="L55" s="45"/>
      <c r="M55" s="95" t="s">
        <v>269</v>
      </c>
      <c r="N55" s="334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107</v>
      </c>
      <c r="S55" s="72">
        <v>44419.0</v>
      </c>
      <c r="T55" s="63"/>
      <c r="U55" s="60" t="s">
        <v>2723</v>
      </c>
      <c r="V55" s="45" t="s">
        <v>108</v>
      </c>
      <c r="W55" s="5" t="s">
        <v>454</v>
      </c>
      <c r="X55" s="45" t="s">
        <v>455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119</v>
      </c>
      <c r="AC55" s="95"/>
      <c r="AD55" s="45" t="s">
        <v>2708</v>
      </c>
      <c r="AE55" s="234"/>
      <c r="AF55" s="234"/>
      <c r="AG55" s="234"/>
      <c r="AH55" s="234"/>
      <c r="AI55" s="234"/>
      <c r="AJ55" s="234"/>
      <c r="AK55" s="234"/>
      <c r="AL55" s="234"/>
      <c r="AM55" s="234"/>
      <c r="AN55" s="234"/>
      <c r="AO55" s="234"/>
      <c r="AP55" s="171"/>
      <c r="AQ55" s="171"/>
      <c r="AR55" s="326"/>
      <c r="AS55" s="326"/>
      <c r="AT55" s="326"/>
      <c r="AU55" s="326"/>
      <c r="AV55" s="326"/>
      <c r="AW55" s="337"/>
      <c r="AX55" s="337"/>
      <c r="AY55" s="191"/>
      <c r="AZ55" s="191">
        <v>102500.57</v>
      </c>
      <c r="BA55" s="171">
        <v>101670.58</v>
      </c>
      <c r="BB55" s="171">
        <v>99262.13</v>
      </c>
      <c r="BC55" s="171">
        <v>99306.38</v>
      </c>
      <c r="BD55" s="171">
        <v>101696.74</v>
      </c>
      <c r="BE55" s="171">
        <v>107022.82</v>
      </c>
      <c r="BF55" s="171">
        <v>107623.65</v>
      </c>
      <c r="BG55" s="171">
        <v>115465.47</v>
      </c>
      <c r="BH55" s="171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  <c r="CI55" s="329"/>
    </row>
    <row r="56" ht="15.75" customHeight="1">
      <c r="A56" s="317" t="s">
        <v>2547</v>
      </c>
      <c r="B56" s="317" t="s">
        <v>2724</v>
      </c>
      <c r="C56" s="331" t="s">
        <v>2725</v>
      </c>
      <c r="D56" s="319" t="s">
        <v>2550</v>
      </c>
      <c r="E56" s="319" t="s">
        <v>29</v>
      </c>
      <c r="F56" s="319" t="s">
        <v>2551</v>
      </c>
      <c r="G56" s="44" t="str">
        <f t="shared" si="1"/>
        <v>Augusto</v>
      </c>
      <c r="H56" s="332" t="s">
        <v>186</v>
      </c>
      <c r="I56" s="46" t="s">
        <v>24</v>
      </c>
      <c r="J56" s="319" t="str">
        <f t="shared" si="2"/>
        <v>Não</v>
      </c>
      <c r="K56" s="320">
        <v>43713.0</v>
      </c>
      <c r="L56" s="333">
        <v>45154.0</v>
      </c>
      <c r="M56" s="95" t="s">
        <v>79</v>
      </c>
      <c r="N56" s="321">
        <v>0.01</v>
      </c>
      <c r="O56" s="319" t="s">
        <v>2552</v>
      </c>
      <c r="P56" s="322">
        <v>0.0</v>
      </c>
      <c r="Q56" s="319" t="str">
        <f>IFERROR(VLOOKUP(F56,'Cadastro de assessores'!A:B,2,FALSE),"Não Cadastrado")</f>
        <v>17573</v>
      </c>
      <c r="R56" s="319" t="s">
        <v>107</v>
      </c>
      <c r="S56" s="320">
        <v>43711.0</v>
      </c>
      <c r="T56" s="169"/>
      <c r="U56" s="169"/>
      <c r="V56" s="45" t="s">
        <v>108</v>
      </c>
      <c r="W56" s="324" t="s">
        <v>2726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119</v>
      </c>
      <c r="AC56" s="95"/>
      <c r="AD56" s="95" t="s">
        <v>2591</v>
      </c>
      <c r="AE56" s="171">
        <v>223949.92</v>
      </c>
      <c r="AF56" s="171">
        <v>236385.79</v>
      </c>
      <c r="AG56" s="171">
        <v>235105.65</v>
      </c>
      <c r="AH56" s="171">
        <v>270640.93</v>
      </c>
      <c r="AI56" s="171">
        <v>278443.9</v>
      </c>
      <c r="AJ56" s="171">
        <v>282128.9</v>
      </c>
      <c r="AK56" s="171">
        <v>325668.9</v>
      </c>
      <c r="AL56" s="171">
        <v>321274.0</v>
      </c>
      <c r="AM56" s="171">
        <v>317554.88</v>
      </c>
      <c r="AN56" s="171">
        <v>316405.06</v>
      </c>
      <c r="AO56" s="171">
        <v>578123.92</v>
      </c>
      <c r="AP56" s="171">
        <v>605462.32</v>
      </c>
      <c r="AQ56" s="171">
        <v>618369.07</v>
      </c>
      <c r="AR56" s="171">
        <v>609600.0</v>
      </c>
      <c r="AS56" s="171">
        <v>615339.32</v>
      </c>
      <c r="AT56" s="171">
        <v>626691.81</v>
      </c>
      <c r="AU56" s="171">
        <v>637297.31</v>
      </c>
      <c r="AV56" s="171">
        <v>637907.21</v>
      </c>
      <c r="AW56" s="171">
        <v>653592.42</v>
      </c>
      <c r="AX56" s="171">
        <v>671207.65</v>
      </c>
      <c r="AY56" s="171">
        <v>686039.67</v>
      </c>
      <c r="AZ56" s="171">
        <v>680618.94</v>
      </c>
      <c r="BA56" s="171">
        <v>645631.95</v>
      </c>
      <c r="BB56" s="171">
        <v>676018.55</v>
      </c>
      <c r="BC56" s="171">
        <v>689591.32</v>
      </c>
      <c r="BD56" s="171">
        <v>715982.3</v>
      </c>
      <c r="BE56" s="171">
        <v>737576.52</v>
      </c>
      <c r="BF56" s="171">
        <v>741955.33</v>
      </c>
      <c r="BG56" s="171">
        <v>770256.48</v>
      </c>
      <c r="BH56" s="171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  <c r="CI56" s="329"/>
    </row>
    <row r="57" ht="15.75" customHeight="1">
      <c r="A57" s="317" t="s">
        <v>2547</v>
      </c>
      <c r="B57" s="235" t="s">
        <v>462</v>
      </c>
      <c r="C57" s="219" t="s">
        <v>2727</v>
      </c>
      <c r="D57" s="319" t="s">
        <v>18</v>
      </c>
      <c r="E57" s="319" t="s">
        <v>176</v>
      </c>
      <c r="F57" s="319" t="s">
        <v>197</v>
      </c>
      <c r="G57" s="44" t="str">
        <f t="shared" si="1"/>
        <v>Augusto</v>
      </c>
      <c r="H57" s="165" t="s">
        <v>147</v>
      </c>
      <c r="I57" s="51" t="s">
        <v>219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107</v>
      </c>
      <c r="S57" s="320">
        <v>44291.0</v>
      </c>
      <c r="T57" s="169"/>
      <c r="U57" s="169"/>
      <c r="V57" s="45" t="s">
        <v>108</v>
      </c>
      <c r="W57" s="13" t="s">
        <v>464</v>
      </c>
      <c r="X57" s="164" t="s">
        <v>180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119</v>
      </c>
      <c r="AC57" s="95"/>
      <c r="AD57" s="95" t="s">
        <v>2609</v>
      </c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337"/>
      <c r="AP57" s="337"/>
      <c r="AQ57" s="337"/>
      <c r="AR57" s="171"/>
      <c r="AS57" s="326"/>
      <c r="AT57" s="326">
        <v>554162.88</v>
      </c>
      <c r="AU57" s="326"/>
      <c r="AV57" s="326">
        <v>557827.93</v>
      </c>
      <c r="AW57" s="326">
        <v>566049.39</v>
      </c>
      <c r="AX57" s="171">
        <v>565315.32</v>
      </c>
      <c r="AY57" s="171">
        <v>560305.21</v>
      </c>
      <c r="AZ57" s="171">
        <v>549161.58</v>
      </c>
      <c r="BA57" s="171">
        <v>515748.16</v>
      </c>
      <c r="BB57" s="171">
        <v>521941.15</v>
      </c>
      <c r="BC57" s="171">
        <v>518269.12</v>
      </c>
      <c r="BD57" s="171">
        <v>523165.74</v>
      </c>
      <c r="BE57" s="171">
        <v>529933.08</v>
      </c>
      <c r="BF57" s="171">
        <v>532987.43</v>
      </c>
      <c r="BG57" s="171">
        <v>553841.73</v>
      </c>
      <c r="BH57" s="171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  <c r="CI57" s="329"/>
    </row>
    <row r="58" ht="15.75" customHeight="1">
      <c r="A58" s="317" t="s">
        <v>2547</v>
      </c>
      <c r="B58" s="42" t="s">
        <v>468</v>
      </c>
      <c r="C58" s="330" t="s">
        <v>2728</v>
      </c>
      <c r="D58" s="319" t="s">
        <v>18</v>
      </c>
      <c r="E58" s="319" t="s">
        <v>176</v>
      </c>
      <c r="F58" s="93" t="s">
        <v>177</v>
      </c>
      <c r="G58" s="44" t="str">
        <f t="shared" si="1"/>
        <v>Augusto</v>
      </c>
      <c r="H58" s="165" t="s">
        <v>147</v>
      </c>
      <c r="I58" s="51" t="s">
        <v>219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107</v>
      </c>
      <c r="S58" s="72">
        <v>44358.0</v>
      </c>
      <c r="T58" s="50"/>
      <c r="U58" s="50"/>
      <c r="V58" s="45" t="s">
        <v>108</v>
      </c>
      <c r="W58" s="5" t="s">
        <v>2729</v>
      </c>
      <c r="X58" s="164" t="s">
        <v>180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110</v>
      </c>
      <c r="AC58" s="95"/>
      <c r="AD58" s="95" t="s">
        <v>2609</v>
      </c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326"/>
      <c r="AT58" s="326"/>
      <c r="AU58" s="191"/>
      <c r="AV58" s="191"/>
      <c r="AW58" s="191"/>
      <c r="AX58" s="171">
        <v>2199026.82</v>
      </c>
      <c r="AY58" s="171">
        <v>2031941.23</v>
      </c>
      <c r="AZ58" s="171">
        <v>1994210.49</v>
      </c>
      <c r="BA58" s="171">
        <v>1966999.8</v>
      </c>
      <c r="BB58" s="171">
        <v>1904464.77</v>
      </c>
      <c r="BC58" s="171">
        <v>1890939.8</v>
      </c>
      <c r="BD58" s="171">
        <v>1906349.21</v>
      </c>
      <c r="BE58" s="171">
        <v>1957536.85</v>
      </c>
      <c r="BF58" s="171">
        <v>1969409.37</v>
      </c>
      <c r="BG58" s="171">
        <v>2054053.11</v>
      </c>
      <c r="BH58" s="171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  <c r="CI58" s="329"/>
    </row>
    <row r="59" ht="15.75" customHeight="1">
      <c r="A59" s="317" t="s">
        <v>2547</v>
      </c>
      <c r="B59" s="42" t="s">
        <v>474</v>
      </c>
      <c r="C59" s="330" t="s">
        <v>2730</v>
      </c>
      <c r="D59" s="319" t="s">
        <v>18</v>
      </c>
      <c r="E59" s="319" t="s">
        <v>176</v>
      </c>
      <c r="F59" s="93" t="s">
        <v>197</v>
      </c>
      <c r="G59" s="44" t="str">
        <f t="shared" si="1"/>
        <v>Augusto</v>
      </c>
      <c r="H59" s="165" t="s">
        <v>147</v>
      </c>
      <c r="I59" s="51" t="s">
        <v>219</v>
      </c>
      <c r="J59" s="319" t="str">
        <f t="shared" si="2"/>
        <v>Não</v>
      </c>
      <c r="K59" s="364">
        <v>44333.0</v>
      </c>
      <c r="L59" s="95"/>
      <c r="M59" s="95" t="s">
        <v>79</v>
      </c>
      <c r="N59" s="334">
        <v>0.012</v>
      </c>
      <c r="O59" s="319" t="s">
        <v>2552</v>
      </c>
      <c r="P59" s="322">
        <v>0.0</v>
      </c>
      <c r="Q59" s="93" t="str">
        <f>IFERROR(VLOOKUP(F59,'Cadastro de assessores'!A:B,2,FALSE),"Não Cadastrado")</f>
        <v>28411</v>
      </c>
      <c r="R59" s="319" t="s">
        <v>107</v>
      </c>
      <c r="S59" s="364">
        <v>44333.0</v>
      </c>
      <c r="T59" s="63"/>
      <c r="U59" s="60" t="s">
        <v>2731</v>
      </c>
      <c r="V59" s="45" t="s">
        <v>108</v>
      </c>
      <c r="W59" s="5" t="s">
        <v>476</v>
      </c>
      <c r="X59" s="164" t="s">
        <v>180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119</v>
      </c>
      <c r="AC59" s="95"/>
      <c r="AD59" s="95" t="s">
        <v>2609</v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326"/>
      <c r="AT59" s="326"/>
      <c r="AU59" s="326"/>
      <c r="AV59" s="191"/>
      <c r="AW59" s="191">
        <v>442600.57</v>
      </c>
      <c r="AX59" s="171">
        <v>446154.86</v>
      </c>
      <c r="AY59" s="171">
        <v>445905.44</v>
      </c>
      <c r="AZ59" s="171">
        <v>444322.18</v>
      </c>
      <c r="BA59" s="171">
        <v>428557.56</v>
      </c>
      <c r="BB59" s="171">
        <v>438951.53</v>
      </c>
      <c r="BC59" s="171">
        <v>428099.52</v>
      </c>
      <c r="BD59" s="171">
        <v>437756.37</v>
      </c>
      <c r="BE59" s="171">
        <v>441446.35</v>
      </c>
      <c r="BF59" s="171">
        <v>444444.15</v>
      </c>
      <c r="BG59" s="171">
        <v>456986.33</v>
      </c>
      <c r="BH59" s="171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  <c r="CI59" s="329"/>
    </row>
    <row r="60" ht="15.75" customHeight="1">
      <c r="A60" s="317" t="s">
        <v>2547</v>
      </c>
      <c r="B60" s="55" t="s">
        <v>478</v>
      </c>
      <c r="C60" s="330" t="s">
        <v>2732</v>
      </c>
      <c r="D60" s="319" t="s">
        <v>18</v>
      </c>
      <c r="E60" s="319" t="s">
        <v>176</v>
      </c>
      <c r="F60" s="93" t="s">
        <v>197</v>
      </c>
      <c r="G60" s="44" t="str">
        <f t="shared" si="1"/>
        <v>Augusto</v>
      </c>
      <c r="H60" s="165" t="s">
        <v>147</v>
      </c>
      <c r="I60" s="51" t="s">
        <v>219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107</v>
      </c>
      <c r="S60" s="72">
        <v>44351.0</v>
      </c>
      <c r="T60" s="50"/>
      <c r="U60" s="50"/>
      <c r="V60" s="45" t="s">
        <v>108</v>
      </c>
      <c r="W60" s="5" t="s">
        <v>480</v>
      </c>
      <c r="X60" s="164" t="s">
        <v>180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119</v>
      </c>
      <c r="AC60" s="95"/>
      <c r="AD60" s="95" t="s">
        <v>2609</v>
      </c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326"/>
      <c r="AS60" s="326"/>
      <c r="AT60" s="326"/>
      <c r="AU60" s="326"/>
      <c r="AV60" s="326"/>
      <c r="AW60" s="191"/>
      <c r="AX60" s="171">
        <v>135270.22</v>
      </c>
      <c r="AY60" s="171">
        <v>134432.86</v>
      </c>
      <c r="AZ60" s="171">
        <v>145717.99</v>
      </c>
      <c r="BA60" s="171">
        <v>129260.32</v>
      </c>
      <c r="BB60" s="171">
        <v>200209.04</v>
      </c>
      <c r="BC60" s="171">
        <v>200642.53</v>
      </c>
      <c r="BD60" s="171">
        <v>201656.21</v>
      </c>
      <c r="BE60" s="171">
        <v>205839.28</v>
      </c>
      <c r="BF60" s="171">
        <v>207156.88</v>
      </c>
      <c r="BG60" s="171">
        <v>215650.24</v>
      </c>
      <c r="BH60" s="171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  <c r="CI60" s="329"/>
    </row>
    <row r="61" ht="15.75" customHeight="1">
      <c r="A61" s="317" t="s">
        <v>2547</v>
      </c>
      <c r="B61" s="235" t="s">
        <v>2733</v>
      </c>
      <c r="C61" s="356" t="s">
        <v>2734</v>
      </c>
      <c r="D61" s="319" t="s">
        <v>18</v>
      </c>
      <c r="E61" s="319" t="s">
        <v>176</v>
      </c>
      <c r="F61" s="95" t="s">
        <v>2634</v>
      </c>
      <c r="G61" s="44" t="str">
        <f t="shared" si="1"/>
        <v>Augusto</v>
      </c>
      <c r="H61" s="332" t="s">
        <v>186</v>
      </c>
      <c r="I61" s="46" t="s">
        <v>24</v>
      </c>
      <c r="J61" s="319" t="str">
        <f t="shared" si="2"/>
        <v>Não</v>
      </c>
      <c r="K61" s="333">
        <v>44260.0</v>
      </c>
      <c r="L61" s="333">
        <v>44470.0</v>
      </c>
      <c r="M61" s="95" t="s">
        <v>47</v>
      </c>
      <c r="N61" s="334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2563</v>
      </c>
      <c r="S61" s="333">
        <v>44260.0</v>
      </c>
      <c r="T61" s="74"/>
      <c r="U61" s="169"/>
      <c r="V61" s="45" t="s">
        <v>108</v>
      </c>
      <c r="W61" s="13" t="s">
        <v>2735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2596</v>
      </c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337"/>
      <c r="AP61" s="337"/>
      <c r="AQ61" s="337"/>
      <c r="AR61" s="171"/>
      <c r="AS61" s="171">
        <v>308886.23</v>
      </c>
      <c r="AT61" s="171">
        <v>257314.32</v>
      </c>
      <c r="AU61" s="171"/>
      <c r="AV61" s="171">
        <v>260062.48</v>
      </c>
      <c r="AW61" s="171">
        <v>212402.23</v>
      </c>
      <c r="AX61" s="171">
        <v>211760.66</v>
      </c>
      <c r="AY61" s="337">
        <v>200247.13</v>
      </c>
      <c r="AZ61" s="337">
        <v>150641.92</v>
      </c>
      <c r="BA61" s="171">
        <v>151371.24</v>
      </c>
      <c r="BB61" s="171"/>
      <c r="BC61" s="171"/>
      <c r="BD61" s="171"/>
      <c r="BE61" s="171"/>
      <c r="BF61" s="171">
        <v>0.0</v>
      </c>
      <c r="BG61" s="171">
        <v>0.0</v>
      </c>
      <c r="BH61" s="171">
        <v>0.0</v>
      </c>
      <c r="BI61" s="171" t="s">
        <v>2566</v>
      </c>
      <c r="BJ61" s="171">
        <v>0.0</v>
      </c>
      <c r="BK61" s="171">
        <v>0.0</v>
      </c>
      <c r="BL61" s="171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  <c r="CI61" s="329"/>
    </row>
    <row r="62" ht="15.75" customHeight="1">
      <c r="A62" s="317" t="s">
        <v>2547</v>
      </c>
      <c r="B62" s="235" t="s">
        <v>2736</v>
      </c>
      <c r="C62" s="331" t="s">
        <v>2737</v>
      </c>
      <c r="D62" s="319" t="s">
        <v>2550</v>
      </c>
      <c r="E62" s="319" t="s">
        <v>29</v>
      </c>
      <c r="F62" s="95" t="s">
        <v>2551</v>
      </c>
      <c r="G62" s="44" t="str">
        <f t="shared" si="1"/>
        <v>Augusto</v>
      </c>
      <c r="H62" s="332" t="s">
        <v>186</v>
      </c>
      <c r="I62" s="46" t="s">
        <v>24</v>
      </c>
      <c r="J62" s="319" t="str">
        <f t="shared" si="2"/>
        <v>Não</v>
      </c>
      <c r="K62" s="333">
        <v>43707.0</v>
      </c>
      <c r="L62" s="333">
        <v>44734.0</v>
      </c>
      <c r="M62" s="95" t="s">
        <v>190</v>
      </c>
      <c r="N62" s="334">
        <v>0.01</v>
      </c>
      <c r="O62" s="319" t="s">
        <v>191</v>
      </c>
      <c r="P62" s="322">
        <v>0.2</v>
      </c>
      <c r="Q62" s="95" t="str">
        <f>IFERROR(VLOOKUP(F62,'Cadastro de assessores'!A:B,2,FALSE),"Não Cadastrado")</f>
        <v>17573</v>
      </c>
      <c r="R62" s="95" t="s">
        <v>2563</v>
      </c>
      <c r="S62" s="333">
        <v>43707.0</v>
      </c>
      <c r="T62" s="74"/>
      <c r="U62" s="169" t="s">
        <v>2738</v>
      </c>
      <c r="V62" s="45" t="s">
        <v>108</v>
      </c>
      <c r="W62" s="13" t="s">
        <v>2739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119</v>
      </c>
      <c r="AC62" s="95"/>
      <c r="AD62" s="95" t="s">
        <v>2623</v>
      </c>
      <c r="AE62" s="171">
        <v>1026624.14</v>
      </c>
      <c r="AF62" s="171">
        <v>1013728.74</v>
      </c>
      <c r="AG62" s="171">
        <v>963371.85</v>
      </c>
      <c r="AH62" s="171">
        <v>978378.98</v>
      </c>
      <c r="AI62" s="171">
        <v>984641.89</v>
      </c>
      <c r="AJ62" s="171">
        <v>991449.21</v>
      </c>
      <c r="AK62" s="171">
        <v>1003715.61</v>
      </c>
      <c r="AL62" s="171">
        <v>992349.02</v>
      </c>
      <c r="AM62" s="171">
        <v>981481.29</v>
      </c>
      <c r="AN62" s="171">
        <v>371231.76</v>
      </c>
      <c r="AO62" s="171">
        <v>307551.04</v>
      </c>
      <c r="AP62" s="171">
        <v>323350.6</v>
      </c>
      <c r="AQ62" s="171">
        <v>313686.51</v>
      </c>
      <c r="AR62" s="171">
        <v>296522.17</v>
      </c>
      <c r="AS62" s="171">
        <v>291772.28</v>
      </c>
      <c r="AT62" s="171">
        <v>310581.28</v>
      </c>
      <c r="AU62" s="171">
        <v>311376.54</v>
      </c>
      <c r="AV62" s="171">
        <v>312526.51</v>
      </c>
      <c r="AW62" s="171">
        <v>323116.44</v>
      </c>
      <c r="AX62" s="171">
        <v>319489.85</v>
      </c>
      <c r="AY62" s="171">
        <v>312938.42</v>
      </c>
      <c r="AZ62" s="171">
        <v>302352.69</v>
      </c>
      <c r="BA62" s="171">
        <v>293334.1</v>
      </c>
      <c r="BB62" s="171">
        <v>281161.18</v>
      </c>
      <c r="BC62" s="171">
        <v>130224.46</v>
      </c>
      <c r="BD62" s="171">
        <v>117831.72</v>
      </c>
      <c r="BE62" s="171">
        <v>128746.73</v>
      </c>
      <c r="BF62" s="171">
        <v>107180.17</v>
      </c>
      <c r="BG62" s="171">
        <v>113411.48</v>
      </c>
      <c r="BH62" s="171">
        <v>103014.67</v>
      </c>
      <c r="BI62" s="171">
        <v>101529.01</v>
      </c>
      <c r="BJ62" s="171">
        <v>0.0</v>
      </c>
      <c r="BK62" s="171">
        <v>0.0</v>
      </c>
      <c r="BL62" s="171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  <c r="CI62" s="329"/>
    </row>
    <row r="63" ht="15.75" customHeight="1">
      <c r="A63" s="317" t="s">
        <v>2547</v>
      </c>
      <c r="B63" s="235" t="s">
        <v>2740</v>
      </c>
      <c r="C63" s="331" t="s">
        <v>2741</v>
      </c>
      <c r="D63" s="319" t="s">
        <v>18</v>
      </c>
      <c r="E63" s="319" t="s">
        <v>176</v>
      </c>
      <c r="F63" s="95" t="s">
        <v>2634</v>
      </c>
      <c r="G63" s="44" t="str">
        <f t="shared" si="1"/>
        <v>Augusto</v>
      </c>
      <c r="H63" s="332" t="s">
        <v>186</v>
      </c>
      <c r="I63" s="46" t="s">
        <v>24</v>
      </c>
      <c r="J63" s="319" t="str">
        <f t="shared" si="2"/>
        <v>Não</v>
      </c>
      <c r="K63" s="333">
        <v>44273.0</v>
      </c>
      <c r="L63" s="333">
        <v>44435.0</v>
      </c>
      <c r="M63" s="95" t="s">
        <v>47</v>
      </c>
      <c r="N63" s="334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2563</v>
      </c>
      <c r="S63" s="333">
        <v>44273.0</v>
      </c>
      <c r="T63" s="74"/>
      <c r="U63" s="169"/>
      <c r="V63" s="45" t="s">
        <v>108</v>
      </c>
      <c r="W63" s="13" t="s">
        <v>2742</v>
      </c>
      <c r="X63" s="164" t="s">
        <v>180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2609</v>
      </c>
      <c r="AE63" s="337"/>
      <c r="AF63" s="337"/>
      <c r="AG63" s="337"/>
      <c r="AH63" s="337"/>
      <c r="AI63" s="337"/>
      <c r="AJ63" s="337"/>
      <c r="AK63" s="337"/>
      <c r="AL63" s="337"/>
      <c r="AM63" s="337"/>
      <c r="AN63" s="337"/>
      <c r="AO63" s="337"/>
      <c r="AP63" s="337"/>
      <c r="AQ63" s="337"/>
      <c r="AR63" s="171"/>
      <c r="AS63" s="171">
        <v>437384.63</v>
      </c>
      <c r="AT63" s="171"/>
      <c r="AU63" s="171"/>
      <c r="AV63" s="171"/>
      <c r="AW63" s="171">
        <v>204511.42</v>
      </c>
      <c r="AX63" s="171">
        <v>154716.4</v>
      </c>
      <c r="AY63" s="171">
        <v>104633.35</v>
      </c>
      <c r="AZ63" s="171">
        <v>32707.52</v>
      </c>
      <c r="BA63" s="171">
        <v>14398.24</v>
      </c>
      <c r="BB63" s="171"/>
      <c r="BC63" s="171"/>
      <c r="BD63" s="171"/>
      <c r="BE63" s="171"/>
      <c r="BF63" s="171">
        <v>0.0</v>
      </c>
      <c r="BG63" s="171">
        <v>0.0</v>
      </c>
      <c r="BH63" s="171">
        <v>0.0</v>
      </c>
      <c r="BI63" s="171" t="s">
        <v>2566</v>
      </c>
      <c r="BJ63" s="171">
        <v>0.0</v>
      </c>
      <c r="BK63" s="171">
        <v>0.0</v>
      </c>
      <c r="BL63" s="171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  <c r="CI63" s="329"/>
    </row>
    <row r="64" ht="15.75" customHeight="1">
      <c r="A64" s="317" t="s">
        <v>2547</v>
      </c>
      <c r="B64" s="317" t="s">
        <v>2743</v>
      </c>
      <c r="C64" s="354" t="s">
        <v>2744</v>
      </c>
      <c r="D64" s="347" t="s">
        <v>2659</v>
      </c>
      <c r="E64" s="347" t="s">
        <v>29</v>
      </c>
      <c r="F64" s="347" t="s">
        <v>2659</v>
      </c>
      <c r="G64" s="44" t="str">
        <f t="shared" si="1"/>
        <v>Augusto</v>
      </c>
      <c r="H64" s="359" t="s">
        <v>147</v>
      </c>
      <c r="I64" s="51" t="s">
        <v>219</v>
      </c>
      <c r="J64" s="319" t="str">
        <f t="shared" si="2"/>
        <v>Não</v>
      </c>
      <c r="K64" s="349">
        <v>43370.0</v>
      </c>
      <c r="L64" s="350"/>
      <c r="M64" s="350" t="s">
        <v>190</v>
      </c>
      <c r="N64" s="360">
        <v>0.01</v>
      </c>
      <c r="O64" s="360"/>
      <c r="P64" s="352"/>
      <c r="Q64" s="319" t="str">
        <f>IFERROR(VLOOKUP(F64,'Cadastro de assessores'!A:B,2,FALSE),"Não Cadastrado")</f>
        <v>22400</v>
      </c>
      <c r="R64" s="319" t="s">
        <v>107</v>
      </c>
      <c r="S64" s="320">
        <v>43370.0</v>
      </c>
      <c r="T64" s="63"/>
      <c r="U64" s="336" t="s">
        <v>2745</v>
      </c>
      <c r="V64" s="45" t="s">
        <v>108</v>
      </c>
      <c r="W64" s="324" t="s">
        <v>2746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119</v>
      </c>
      <c r="AC64" s="95"/>
      <c r="AD64" s="95" t="s">
        <v>2623</v>
      </c>
      <c r="AE64" s="171">
        <v>689191.58</v>
      </c>
      <c r="AF64" s="171">
        <v>659065.0</v>
      </c>
      <c r="AG64" s="171">
        <v>488148.27</v>
      </c>
      <c r="AH64" s="171">
        <v>521003.16</v>
      </c>
      <c r="AI64" s="171">
        <v>542638.99</v>
      </c>
      <c r="AJ64" s="171">
        <v>587398.51</v>
      </c>
      <c r="AK64" s="171">
        <v>635980.4</v>
      </c>
      <c r="AL64" s="171">
        <v>601738.59</v>
      </c>
      <c r="AM64" s="171">
        <v>566308.81</v>
      </c>
      <c r="AN64" s="171">
        <v>577726.55</v>
      </c>
      <c r="AO64" s="171">
        <v>653969.08</v>
      </c>
      <c r="AP64" s="171">
        <v>686566.31</v>
      </c>
      <c r="AQ64" s="171">
        <v>678974.48</v>
      </c>
      <c r="AR64" s="171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1">
        <v>695498.62</v>
      </c>
      <c r="AY64" s="171">
        <v>676011.75</v>
      </c>
      <c r="AZ64" s="171">
        <v>644708.64</v>
      </c>
      <c r="BA64" s="171">
        <v>614415.29</v>
      </c>
      <c r="BB64" s="171">
        <v>578004.06</v>
      </c>
      <c r="BC64" s="171">
        <v>561341.31</v>
      </c>
      <c r="BD64" s="171">
        <v>567936.93</v>
      </c>
      <c r="BE64" s="171">
        <v>600192.68</v>
      </c>
      <c r="BF64" s="171">
        <v>608135.57</v>
      </c>
      <c r="BG64" s="171">
        <v>651086.85</v>
      </c>
      <c r="BH64" s="171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  <c r="CI64" s="329"/>
    </row>
    <row r="65" ht="15.75" customHeight="1">
      <c r="A65" s="317" t="s">
        <v>2547</v>
      </c>
      <c r="B65" s="61" t="s">
        <v>2747</v>
      </c>
      <c r="C65" s="330" t="s">
        <v>2748</v>
      </c>
      <c r="D65" s="319" t="s">
        <v>18</v>
      </c>
      <c r="E65" s="319" t="s">
        <v>176</v>
      </c>
      <c r="F65" s="93" t="s">
        <v>197</v>
      </c>
      <c r="G65" s="44" t="str">
        <f t="shared" si="1"/>
        <v>Augusto</v>
      </c>
      <c r="H65" s="165" t="s">
        <v>147</v>
      </c>
      <c r="I65" s="51" t="s">
        <v>219</v>
      </c>
      <c r="J65" s="319" t="str">
        <f t="shared" si="2"/>
        <v>Não</v>
      </c>
      <c r="K65" s="72">
        <v>44438.0</v>
      </c>
      <c r="L65" s="144"/>
      <c r="M65" s="95" t="s">
        <v>47</v>
      </c>
      <c r="N65" s="334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107</v>
      </c>
      <c r="S65" s="72">
        <v>44432.0</v>
      </c>
      <c r="T65" s="63"/>
      <c r="U65" s="60" t="s">
        <v>2749</v>
      </c>
      <c r="V65" s="45" t="s">
        <v>108</v>
      </c>
      <c r="W65" s="5" t="s">
        <v>2750</v>
      </c>
      <c r="X65" s="164" t="s">
        <v>180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119</v>
      </c>
      <c r="AC65" s="95"/>
      <c r="AD65" s="45" t="s">
        <v>2751</v>
      </c>
      <c r="AE65" s="234"/>
      <c r="AF65" s="234"/>
      <c r="AG65" s="234"/>
      <c r="AH65" s="234"/>
      <c r="AI65" s="234"/>
      <c r="AJ65" s="234"/>
      <c r="AK65" s="234"/>
      <c r="AL65" s="234"/>
      <c r="AM65" s="234"/>
      <c r="AN65" s="234"/>
      <c r="AO65" s="234"/>
      <c r="AP65" s="191"/>
      <c r="AQ65" s="171"/>
      <c r="AR65" s="326"/>
      <c r="AS65" s="326"/>
      <c r="AT65" s="326"/>
      <c r="AU65" s="326"/>
      <c r="AV65" s="326"/>
      <c r="AW65" s="171"/>
      <c r="AX65" s="171"/>
      <c r="AY65" s="191"/>
      <c r="AZ65" s="191">
        <v>100099.16</v>
      </c>
      <c r="BA65" s="171">
        <v>233674.42</v>
      </c>
      <c r="BB65" s="171">
        <v>242373.49</v>
      </c>
      <c r="BC65" s="171">
        <v>240873.86</v>
      </c>
      <c r="BD65" s="171">
        <v>241574.55</v>
      </c>
      <c r="BE65" s="171">
        <v>245453.44</v>
      </c>
      <c r="BF65" s="171">
        <v>246927.04</v>
      </c>
      <c r="BG65" s="171">
        <v>256606.9</v>
      </c>
      <c r="BH65" s="171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  <c r="CI65" s="329"/>
    </row>
    <row r="66" ht="15.75" customHeight="1">
      <c r="A66" s="317" t="s">
        <v>2547</v>
      </c>
      <c r="B66" s="55" t="s">
        <v>2752</v>
      </c>
      <c r="C66" s="330" t="s">
        <v>2753</v>
      </c>
      <c r="D66" s="319" t="s">
        <v>18</v>
      </c>
      <c r="E66" s="319" t="s">
        <v>176</v>
      </c>
      <c r="F66" s="319" t="s">
        <v>197</v>
      </c>
      <c r="G66" s="44" t="str">
        <f t="shared" si="1"/>
        <v>Augusto</v>
      </c>
      <c r="H66" s="165" t="s">
        <v>147</v>
      </c>
      <c r="I66" s="51" t="s">
        <v>219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4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107</v>
      </c>
      <c r="S66" s="320">
        <v>44319.0</v>
      </c>
      <c r="T66" s="74"/>
      <c r="U66" s="50" t="s">
        <v>2754</v>
      </c>
      <c r="V66" s="45" t="s">
        <v>108</v>
      </c>
      <c r="W66" s="5" t="s">
        <v>2755</v>
      </c>
      <c r="X66" s="164" t="s">
        <v>180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110</v>
      </c>
      <c r="AC66" s="95"/>
      <c r="AD66" s="95" t="s">
        <v>2609</v>
      </c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71"/>
      <c r="AS66" s="326"/>
      <c r="AT66" s="326"/>
      <c r="AU66" s="326"/>
      <c r="AV66" s="326"/>
      <c r="AW66" s="326">
        <v>1188131.99</v>
      </c>
      <c r="AX66" s="171">
        <v>1181785.11</v>
      </c>
      <c r="AY66" s="171">
        <v>1170353.72</v>
      </c>
      <c r="AZ66" s="171">
        <v>1149324.14</v>
      </c>
      <c r="BA66" s="171">
        <v>1131813.73</v>
      </c>
      <c r="BB66" s="171">
        <v>1102931.38</v>
      </c>
      <c r="BC66" s="171">
        <v>1082660.99</v>
      </c>
      <c r="BD66" s="171">
        <v>1098424.04</v>
      </c>
      <c r="BE66" s="171">
        <v>1126681.93</v>
      </c>
      <c r="BF66" s="171">
        <v>1133803.8</v>
      </c>
      <c r="BG66" s="171">
        <v>1181269.9</v>
      </c>
      <c r="BH66" s="171">
        <v>1162926.95</v>
      </c>
      <c r="BI66" s="365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  <c r="CI66" s="329"/>
    </row>
    <row r="67" ht="15.75" customHeight="1">
      <c r="A67" s="317" t="s">
        <v>2547</v>
      </c>
      <c r="B67" s="235" t="s">
        <v>2756</v>
      </c>
      <c r="C67" s="331" t="s">
        <v>2757</v>
      </c>
      <c r="D67" s="319" t="s">
        <v>2550</v>
      </c>
      <c r="E67" s="319" t="s">
        <v>29</v>
      </c>
      <c r="F67" s="95" t="s">
        <v>2551</v>
      </c>
      <c r="G67" s="44" t="str">
        <f t="shared" si="1"/>
        <v>Augusto</v>
      </c>
      <c r="H67" s="332" t="s">
        <v>186</v>
      </c>
      <c r="I67" s="46" t="s">
        <v>24</v>
      </c>
      <c r="J67" s="319" t="str">
        <f t="shared" si="2"/>
        <v>Não</v>
      </c>
      <c r="K67" s="333">
        <v>43865.0</v>
      </c>
      <c r="L67" s="333">
        <v>44473.0</v>
      </c>
      <c r="M67" s="95" t="s">
        <v>47</v>
      </c>
      <c r="N67" s="334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2563</v>
      </c>
      <c r="S67" s="333">
        <v>43865.0</v>
      </c>
      <c r="T67" s="74"/>
      <c r="U67" s="169"/>
      <c r="V67" s="45" t="s">
        <v>108</v>
      </c>
      <c r="W67" s="13" t="s">
        <v>2758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2614</v>
      </c>
      <c r="AE67" s="171">
        <v>0.0</v>
      </c>
      <c r="AF67" s="171">
        <v>217836.28</v>
      </c>
      <c r="AG67" s="171">
        <v>199709.09</v>
      </c>
      <c r="AH67" s="171">
        <v>204655.32</v>
      </c>
      <c r="AI67" s="171">
        <v>207528.13</v>
      </c>
      <c r="AJ67" s="171">
        <v>211010.91</v>
      </c>
      <c r="AK67" s="171">
        <v>217321.41</v>
      </c>
      <c r="AL67" s="171">
        <v>209516.3</v>
      </c>
      <c r="AM67" s="171">
        <v>206424.62</v>
      </c>
      <c r="AN67" s="171">
        <v>208277.95</v>
      </c>
      <c r="AO67" s="171">
        <v>217627.73</v>
      </c>
      <c r="AP67" s="171">
        <v>221769.74</v>
      </c>
      <c r="AQ67" s="171">
        <v>218485.48</v>
      </c>
      <c r="AR67" s="171">
        <v>211683.39</v>
      </c>
      <c r="AS67" s="171">
        <v>209854.13</v>
      </c>
      <c r="AT67" s="171">
        <v>213853.81</v>
      </c>
      <c r="AU67" s="171">
        <v>217234.28</v>
      </c>
      <c r="AV67" s="171">
        <v>217317.63</v>
      </c>
      <c r="AW67" s="171">
        <v>211300.44</v>
      </c>
      <c r="AX67" s="171">
        <v>210145.39</v>
      </c>
      <c r="AY67" s="171">
        <v>208286.07</v>
      </c>
      <c r="AZ67" s="171">
        <v>204481.03</v>
      </c>
      <c r="BA67" s="171">
        <v>172836.33</v>
      </c>
      <c r="BB67" s="171">
        <v>195477.75</v>
      </c>
      <c r="BC67" s="171"/>
      <c r="BD67" s="171"/>
      <c r="BE67" s="171"/>
      <c r="BF67" s="171">
        <v>0.0</v>
      </c>
      <c r="BG67" s="171">
        <v>0.0</v>
      </c>
      <c r="BH67" s="171">
        <v>0.0</v>
      </c>
      <c r="BI67" s="171" t="s">
        <v>2566</v>
      </c>
      <c r="BJ67" s="171">
        <v>0.0</v>
      </c>
      <c r="BK67" s="171">
        <v>0.0</v>
      </c>
      <c r="BL67" s="171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  <c r="CI67" s="329"/>
    </row>
    <row r="68" ht="15.75" customHeight="1">
      <c r="A68" s="317" t="s">
        <v>2547</v>
      </c>
      <c r="B68" s="42" t="s">
        <v>530</v>
      </c>
      <c r="C68" s="366" t="s">
        <v>2759</v>
      </c>
      <c r="D68" s="319" t="s">
        <v>18</v>
      </c>
      <c r="E68" s="319" t="s">
        <v>176</v>
      </c>
      <c r="F68" s="95" t="s">
        <v>532</v>
      </c>
      <c r="G68" s="44" t="str">
        <f t="shared" si="1"/>
        <v>Augusto</v>
      </c>
      <c r="H68" s="332" t="s">
        <v>186</v>
      </c>
      <c r="I68" s="46" t="s">
        <v>24</v>
      </c>
      <c r="J68" s="319" t="str">
        <f t="shared" si="2"/>
        <v>Não</v>
      </c>
      <c r="K68" s="82">
        <v>44680.0</v>
      </c>
      <c r="L68" s="333">
        <v>44638.0</v>
      </c>
      <c r="M68" s="95" t="s">
        <v>55</v>
      </c>
      <c r="N68" s="334">
        <v>0.007</v>
      </c>
      <c r="O68" s="319" t="s">
        <v>2552</v>
      </c>
      <c r="P68" s="322">
        <v>0.0</v>
      </c>
      <c r="Q68" s="95">
        <f>IFERROR(VLOOKUP(F68,'Cadastro de assessores'!A:B,2,FALSE),"Não Cadastrado")</f>
        <v>12362</v>
      </c>
      <c r="R68" s="95" t="s">
        <v>2563</v>
      </c>
      <c r="S68" s="45"/>
      <c r="T68" s="74"/>
      <c r="U68" s="169"/>
      <c r="V68" s="45" t="s">
        <v>108</v>
      </c>
      <c r="W68" s="5" t="s">
        <v>533</v>
      </c>
      <c r="X68" s="164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2760</v>
      </c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>
        <v>0.0</v>
      </c>
      <c r="BG68" s="171">
        <v>0.0</v>
      </c>
      <c r="BH68" s="171">
        <v>0.0</v>
      </c>
      <c r="BI68" s="171" t="s">
        <v>2566</v>
      </c>
      <c r="BJ68" s="171">
        <v>0.0</v>
      </c>
      <c r="BK68" s="171">
        <v>0.0</v>
      </c>
      <c r="BL68" s="171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  <c r="CI68" s="329"/>
    </row>
    <row r="69" ht="15.75" customHeight="1">
      <c r="A69" s="317" t="s">
        <v>2547</v>
      </c>
      <c r="B69" s="61" t="s">
        <v>530</v>
      </c>
      <c r="C69" s="330" t="s">
        <v>2761</v>
      </c>
      <c r="D69" s="319" t="s">
        <v>18</v>
      </c>
      <c r="E69" s="319" t="s">
        <v>176</v>
      </c>
      <c r="F69" s="93" t="s">
        <v>532</v>
      </c>
      <c r="G69" s="44" t="str">
        <f t="shared" si="1"/>
        <v>Augusto</v>
      </c>
      <c r="H69" s="165" t="s">
        <v>147</v>
      </c>
      <c r="I69" s="51" t="s">
        <v>219</v>
      </c>
      <c r="J69" s="319" t="str">
        <f t="shared" si="2"/>
        <v>Não</v>
      </c>
      <c r="K69" s="333">
        <v>44680.0</v>
      </c>
      <c r="L69" s="144"/>
      <c r="M69" s="95" t="s">
        <v>55</v>
      </c>
      <c r="N69" s="334">
        <v>0.007</v>
      </c>
      <c r="O69" s="319" t="s">
        <v>2552</v>
      </c>
      <c r="P69" s="322">
        <v>0.0</v>
      </c>
      <c r="Q69" s="319">
        <f>IFERROR(VLOOKUP(F69,'Cadastro de assessores'!A:B,2,FALSE),"Não Cadastrado")</f>
        <v>12362</v>
      </c>
      <c r="R69" s="319" t="s">
        <v>107</v>
      </c>
      <c r="S69" s="333">
        <v>44680.0</v>
      </c>
      <c r="T69" s="63"/>
      <c r="U69" s="345" t="s">
        <v>2749</v>
      </c>
      <c r="V69" s="45" t="s">
        <v>108</v>
      </c>
      <c r="W69" s="5" t="s">
        <v>533</v>
      </c>
      <c r="X69" s="164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110</v>
      </c>
      <c r="AC69" s="95"/>
      <c r="AD69" s="95" t="s">
        <v>2760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7"/>
      <c r="AY69" s="367"/>
      <c r="AZ69" s="367"/>
      <c r="BA69" s="171"/>
      <c r="BB69" s="171"/>
      <c r="BC69" s="171"/>
      <c r="BD69" s="171"/>
      <c r="BE69" s="171"/>
      <c r="BF69" s="171"/>
      <c r="BG69" s="171"/>
      <c r="BH69" s="171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  <c r="CI69" s="329"/>
    </row>
    <row r="70" ht="15.75" customHeight="1">
      <c r="A70" s="317" t="s">
        <v>2547</v>
      </c>
      <c r="B70" s="239" t="s">
        <v>2762</v>
      </c>
      <c r="C70" s="331" t="s">
        <v>2763</v>
      </c>
      <c r="D70" s="319" t="s">
        <v>2550</v>
      </c>
      <c r="E70" s="319" t="s">
        <v>29</v>
      </c>
      <c r="F70" s="95" t="s">
        <v>2551</v>
      </c>
      <c r="G70" s="44" t="str">
        <f t="shared" si="1"/>
        <v>Augusto</v>
      </c>
      <c r="H70" s="332" t="s">
        <v>186</v>
      </c>
      <c r="I70" s="46" t="s">
        <v>24</v>
      </c>
      <c r="J70" s="319" t="str">
        <f t="shared" si="2"/>
        <v>Não</v>
      </c>
      <c r="K70" s="333">
        <v>43613.0</v>
      </c>
      <c r="L70" s="338">
        <v>44847.0</v>
      </c>
      <c r="M70" s="95" t="s">
        <v>47</v>
      </c>
      <c r="N70" s="334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2563</v>
      </c>
      <c r="S70" s="333">
        <v>43613.0</v>
      </c>
      <c r="T70" s="169"/>
      <c r="U70" s="169"/>
      <c r="V70" s="45" t="s">
        <v>108</v>
      </c>
      <c r="W70" s="13" t="s">
        <v>2764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2765</v>
      </c>
      <c r="AE70" s="171">
        <v>0.0</v>
      </c>
      <c r="AF70" s="171">
        <v>0.0</v>
      </c>
      <c r="AG70" s="171">
        <v>0.0</v>
      </c>
      <c r="AH70" s="171">
        <v>0.0</v>
      </c>
      <c r="AI70" s="171">
        <v>62.16</v>
      </c>
      <c r="AJ70" s="171">
        <v>0.0</v>
      </c>
      <c r="AK70" s="171">
        <v>0.0</v>
      </c>
      <c r="AL70" s="171"/>
      <c r="AM70" s="171"/>
      <c r="AN70" s="171">
        <v>112.43</v>
      </c>
      <c r="AO70" s="171">
        <v>112.43</v>
      </c>
      <c r="AP70" s="171">
        <v>112.43</v>
      </c>
      <c r="AQ70" s="171">
        <v>112.43</v>
      </c>
      <c r="AR70" s="171">
        <v>112.43</v>
      </c>
      <c r="AS70" s="171">
        <v>112.43</v>
      </c>
      <c r="AT70" s="171">
        <v>112.43</v>
      </c>
      <c r="AU70" s="171">
        <v>112.43</v>
      </c>
      <c r="AV70" s="171">
        <v>112.43</v>
      </c>
      <c r="AW70" s="171"/>
      <c r="AX70" s="337"/>
      <c r="AY70" s="337"/>
      <c r="AZ70" s="337"/>
      <c r="BA70" s="171"/>
      <c r="BB70" s="171"/>
      <c r="BC70" s="171"/>
      <c r="BD70" s="171"/>
      <c r="BE70" s="171"/>
      <c r="BF70" s="171"/>
      <c r="BG70" s="171"/>
      <c r="BH70" s="171">
        <v>0.0</v>
      </c>
      <c r="BI70" s="171" t="s">
        <v>2566</v>
      </c>
      <c r="BJ70" s="171">
        <v>0.0</v>
      </c>
      <c r="BK70" s="171">
        <v>0.0</v>
      </c>
      <c r="BL70" s="171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  <c r="CI70" s="329"/>
    </row>
    <row r="71" ht="15.75" customHeight="1">
      <c r="A71" s="317" t="s">
        <v>2547</v>
      </c>
      <c r="B71" s="344" t="s">
        <v>558</v>
      </c>
      <c r="C71" s="331" t="s">
        <v>2766</v>
      </c>
      <c r="D71" s="319" t="s">
        <v>18</v>
      </c>
      <c r="E71" s="319" t="s">
        <v>176</v>
      </c>
      <c r="F71" s="319" t="s">
        <v>2634</v>
      </c>
      <c r="G71" s="44" t="str">
        <f t="shared" si="1"/>
        <v>Augusto</v>
      </c>
      <c r="H71" s="332" t="s">
        <v>147</v>
      </c>
      <c r="I71" s="51" t="s">
        <v>219</v>
      </c>
      <c r="J71" s="319" t="str">
        <f t="shared" si="2"/>
        <v>Sim</v>
      </c>
      <c r="K71" s="333">
        <v>44260.0</v>
      </c>
      <c r="L71" s="95"/>
      <c r="M71" s="95" t="s">
        <v>79</v>
      </c>
      <c r="N71" s="334">
        <v>0.012</v>
      </c>
      <c r="O71" s="319" t="s">
        <v>2552</v>
      </c>
      <c r="P71" s="322">
        <v>0.0</v>
      </c>
      <c r="Q71" s="319" t="str">
        <f>IFERROR(VLOOKUP(F71,'Cadastro de assessores'!A:B,2,FALSE),"Não Cadastrado")</f>
        <v>22066</v>
      </c>
      <c r="R71" s="319" t="s">
        <v>107</v>
      </c>
      <c r="S71" s="333">
        <v>44260.0</v>
      </c>
      <c r="T71" s="169" t="s">
        <v>2767</v>
      </c>
      <c r="U71" s="169"/>
      <c r="V71" s="45" t="s">
        <v>108</v>
      </c>
      <c r="W71" s="324" t="s">
        <v>561</v>
      </c>
      <c r="X71" s="164" t="s">
        <v>180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119</v>
      </c>
      <c r="AC71" s="95"/>
      <c r="AD71" s="95" t="s">
        <v>2609</v>
      </c>
      <c r="AE71" s="337"/>
      <c r="AF71" s="337"/>
      <c r="AG71" s="337"/>
      <c r="AH71" s="337"/>
      <c r="AI71" s="337"/>
      <c r="AJ71" s="337"/>
      <c r="AK71" s="337"/>
      <c r="AL71" s="337"/>
      <c r="AM71" s="337"/>
      <c r="AN71" s="337"/>
      <c r="AO71" s="337"/>
      <c r="AP71" s="171"/>
      <c r="AQ71" s="171"/>
      <c r="AR71" s="171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1">
        <v>503282.47</v>
      </c>
      <c r="AY71" s="171">
        <v>501908.68</v>
      </c>
      <c r="AZ71" s="171">
        <v>498949.97</v>
      </c>
      <c r="BA71" s="171">
        <v>466913.04</v>
      </c>
      <c r="BB71" s="171">
        <v>491273.83</v>
      </c>
      <c r="BC71" s="171">
        <v>490067.87</v>
      </c>
      <c r="BD71" s="171">
        <v>491669.09</v>
      </c>
      <c r="BE71" s="171">
        <v>497242.3</v>
      </c>
      <c r="BF71" s="171">
        <v>520260.93</v>
      </c>
      <c r="BG71" s="171">
        <v>535280.6</v>
      </c>
      <c r="BH71" s="171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  <c r="CI71" s="329"/>
    </row>
    <row r="72" ht="15.75" customHeight="1">
      <c r="A72" s="317" t="s">
        <v>2547</v>
      </c>
      <c r="B72" s="42" t="s">
        <v>562</v>
      </c>
      <c r="C72" s="330">
        <v>4744391.0</v>
      </c>
      <c r="D72" s="319" t="s">
        <v>18</v>
      </c>
      <c r="E72" s="319" t="s">
        <v>176</v>
      </c>
      <c r="F72" s="95" t="s">
        <v>177</v>
      </c>
      <c r="G72" s="44" t="str">
        <f t="shared" si="1"/>
        <v>Augusto</v>
      </c>
      <c r="H72" s="165" t="s">
        <v>147</v>
      </c>
      <c r="I72" s="51" t="s">
        <v>219</v>
      </c>
      <c r="J72" s="319" t="str">
        <f t="shared" si="2"/>
        <v>Sim</v>
      </c>
      <c r="K72" s="320">
        <v>44615.0</v>
      </c>
      <c r="L72" s="95"/>
      <c r="M72" s="95" t="s">
        <v>55</v>
      </c>
      <c r="N72" s="321">
        <v>0.007</v>
      </c>
      <c r="O72" s="319" t="s">
        <v>2552</v>
      </c>
      <c r="P72" s="322">
        <v>0.0</v>
      </c>
      <c r="Q72" s="319" t="str">
        <f>IFERROR(VLOOKUP(F72,'Cadastro de assessores'!A:B,2,FALSE),"Não Cadastrado")</f>
        <v>250</v>
      </c>
      <c r="R72" s="319" t="s">
        <v>107</v>
      </c>
      <c r="S72" s="320">
        <v>44610.0</v>
      </c>
      <c r="T72" s="50" t="s">
        <v>2768</v>
      </c>
      <c r="U72" s="50"/>
      <c r="V72" s="45" t="s">
        <v>108</v>
      </c>
      <c r="W72" s="5" t="s">
        <v>564</v>
      </c>
      <c r="X72" s="45" t="s">
        <v>180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119</v>
      </c>
      <c r="AC72" s="95"/>
      <c r="AD72" s="45" t="s">
        <v>2769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1"/>
      <c r="AR72" s="326"/>
      <c r="AS72" s="326"/>
      <c r="AT72" s="326"/>
      <c r="AU72" s="326"/>
      <c r="AV72" s="326"/>
      <c r="AW72" s="171"/>
      <c r="AX72" s="171"/>
      <c r="AY72" s="171"/>
      <c r="AZ72" s="171"/>
      <c r="BA72" s="171"/>
      <c r="BB72" s="171"/>
      <c r="BC72" s="171"/>
      <c r="BD72" s="41"/>
      <c r="BE72" s="171"/>
      <c r="BF72" s="171">
        <v>82004.92</v>
      </c>
      <c r="BG72" s="171">
        <v>82885.53</v>
      </c>
      <c r="BH72" s="171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  <c r="CI72" s="329"/>
    </row>
    <row r="73" ht="15.75" customHeight="1">
      <c r="A73" s="317" t="s">
        <v>2547</v>
      </c>
      <c r="B73" s="42" t="s">
        <v>2770</v>
      </c>
      <c r="C73" s="330" t="s">
        <v>2771</v>
      </c>
      <c r="D73" s="319" t="s">
        <v>18</v>
      </c>
      <c r="E73" s="319" t="s">
        <v>176</v>
      </c>
      <c r="F73" s="319" t="s">
        <v>177</v>
      </c>
      <c r="G73" s="44" t="str">
        <f t="shared" si="1"/>
        <v>Breno</v>
      </c>
      <c r="H73" s="165" t="s">
        <v>107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107</v>
      </c>
      <c r="S73" s="320">
        <v>44321.0</v>
      </c>
      <c r="T73" s="50"/>
      <c r="U73" s="50"/>
      <c r="V73" s="45" t="s">
        <v>108</v>
      </c>
      <c r="W73" s="5" t="s">
        <v>2772</v>
      </c>
      <c r="X73" s="164" t="s">
        <v>180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119</v>
      </c>
      <c r="AC73" s="95"/>
      <c r="AD73" s="95" t="s">
        <v>2609</v>
      </c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71"/>
      <c r="AS73" s="326"/>
      <c r="AT73" s="326"/>
      <c r="AU73" s="326"/>
      <c r="AV73" s="326"/>
      <c r="AW73" s="326">
        <v>154549.98</v>
      </c>
      <c r="AX73" s="171">
        <v>154520.2</v>
      </c>
      <c r="AY73" s="171">
        <v>153405.98</v>
      </c>
      <c r="AZ73" s="171">
        <v>150839.82</v>
      </c>
      <c r="BA73" s="171">
        <v>149081.38</v>
      </c>
      <c r="BB73" s="171">
        <v>144569.38</v>
      </c>
      <c r="BC73" s="171">
        <v>142178.02</v>
      </c>
      <c r="BD73" s="171">
        <v>141821.25</v>
      </c>
      <c r="BE73" s="171">
        <v>143513.96</v>
      </c>
      <c r="BF73" s="171">
        <v>144419.3</v>
      </c>
      <c r="BG73" s="171">
        <v>150530.18</v>
      </c>
      <c r="BH73" s="171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  <c r="CI73" s="329"/>
    </row>
    <row r="74" ht="15.75" customHeight="1">
      <c r="A74" s="317" t="s">
        <v>2547</v>
      </c>
      <c r="B74" s="61" t="s">
        <v>579</v>
      </c>
      <c r="C74" s="330" t="s">
        <v>2773</v>
      </c>
      <c r="D74" s="319" t="s">
        <v>18</v>
      </c>
      <c r="E74" s="319" t="s">
        <v>176</v>
      </c>
      <c r="F74" s="319" t="s">
        <v>197</v>
      </c>
      <c r="G74" s="44" t="str">
        <f t="shared" si="1"/>
        <v>Augusto</v>
      </c>
      <c r="H74" s="165" t="s">
        <v>147</v>
      </c>
      <c r="I74" s="51" t="s">
        <v>219</v>
      </c>
      <c r="J74" s="319" t="str">
        <f t="shared" si="2"/>
        <v>Não</v>
      </c>
      <c r="K74" s="333">
        <v>44614.0</v>
      </c>
      <c r="L74" s="45"/>
      <c r="M74" s="95" t="s">
        <v>79</v>
      </c>
      <c r="N74" s="334">
        <v>0.012</v>
      </c>
      <c r="O74" s="319" t="s">
        <v>2552</v>
      </c>
      <c r="P74" s="322">
        <v>0.0</v>
      </c>
      <c r="Q74" s="319" t="str">
        <f>IFERROR(VLOOKUP(F74,'Cadastro de assessores'!A:B,2,FALSE),"Não Cadastrado")</f>
        <v>28411</v>
      </c>
      <c r="R74" s="319" t="s">
        <v>107</v>
      </c>
      <c r="S74" s="333">
        <v>44608.0</v>
      </c>
      <c r="T74" s="169"/>
      <c r="U74" s="169"/>
      <c r="V74" s="45" t="s">
        <v>108</v>
      </c>
      <c r="W74" s="5" t="s">
        <v>581</v>
      </c>
      <c r="X74" s="164" t="s">
        <v>180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119</v>
      </c>
      <c r="AC74" s="95"/>
      <c r="AD74" s="95" t="s">
        <v>2609</v>
      </c>
      <c r="AE74" s="337"/>
      <c r="AF74" s="337"/>
      <c r="AG74" s="337"/>
      <c r="AH74" s="337"/>
      <c r="AI74" s="337"/>
      <c r="AJ74" s="337"/>
      <c r="AK74" s="337"/>
      <c r="AL74" s="337"/>
      <c r="AM74" s="337"/>
      <c r="AN74" s="337"/>
      <c r="AO74" s="337"/>
      <c r="AP74" s="171"/>
      <c r="AQ74" s="171"/>
      <c r="AR74" s="171"/>
      <c r="AS74" s="326"/>
      <c r="AT74" s="326"/>
      <c r="AU74" s="326"/>
      <c r="AV74" s="326"/>
      <c r="AW74" s="326"/>
      <c r="AX74" s="171"/>
      <c r="AY74" s="171"/>
      <c r="AZ74" s="171"/>
      <c r="BA74" s="171"/>
      <c r="BB74" s="171"/>
      <c r="BC74" s="171"/>
      <c r="BD74" s="171"/>
      <c r="BE74" s="171"/>
      <c r="BF74" s="171">
        <v>191071.54</v>
      </c>
      <c r="BG74" s="171">
        <v>185843.26</v>
      </c>
      <c r="BH74" s="171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  <c r="CI74" s="329"/>
    </row>
    <row r="75" ht="15.75" customHeight="1">
      <c r="A75" s="317" t="s">
        <v>2547</v>
      </c>
      <c r="B75" s="235" t="s">
        <v>586</v>
      </c>
      <c r="C75" s="219" t="s">
        <v>2774</v>
      </c>
      <c r="D75" s="319" t="s">
        <v>18</v>
      </c>
      <c r="E75" s="319" t="s">
        <v>176</v>
      </c>
      <c r="F75" s="319" t="s">
        <v>177</v>
      </c>
      <c r="G75" s="44" t="str">
        <f t="shared" si="1"/>
        <v>Augusto</v>
      </c>
      <c r="H75" s="332" t="s">
        <v>147</v>
      </c>
      <c r="I75" s="51" t="s">
        <v>219</v>
      </c>
      <c r="J75" s="319" t="str">
        <f t="shared" si="2"/>
        <v>Não</v>
      </c>
      <c r="K75" s="333">
        <v>44273.0</v>
      </c>
      <c r="L75" s="45"/>
      <c r="M75" s="95" t="s">
        <v>47</v>
      </c>
      <c r="N75" s="334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107</v>
      </c>
      <c r="S75" s="333">
        <v>44267.0</v>
      </c>
      <c r="T75" s="169"/>
      <c r="U75" s="169"/>
      <c r="V75" s="45" t="s">
        <v>108</v>
      </c>
      <c r="W75" s="13" t="s">
        <v>588</v>
      </c>
      <c r="X75" s="164" t="s">
        <v>180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119</v>
      </c>
      <c r="AC75" s="95"/>
      <c r="AD75" s="95" t="s">
        <v>2609</v>
      </c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171"/>
      <c r="AQ75" s="171"/>
      <c r="AR75" s="171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1">
        <v>139758.99</v>
      </c>
      <c r="AY75" s="171">
        <v>145201.91</v>
      </c>
      <c r="AZ75" s="171">
        <v>149388.22</v>
      </c>
      <c r="BA75" s="171">
        <v>153836.46</v>
      </c>
      <c r="BB75" s="171">
        <v>153108.17</v>
      </c>
      <c r="BC75" s="171">
        <v>154429.94</v>
      </c>
      <c r="BD75" s="171">
        <v>148147.8</v>
      </c>
      <c r="BE75" s="171">
        <v>166773.48</v>
      </c>
      <c r="BF75" s="171">
        <v>170552.42</v>
      </c>
      <c r="BG75" s="171">
        <v>200380.55</v>
      </c>
      <c r="BH75" s="171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  <c r="CI75" s="329"/>
    </row>
    <row r="76" ht="15.75" customHeight="1">
      <c r="A76" s="317" t="s">
        <v>2547</v>
      </c>
      <c r="B76" s="239" t="s">
        <v>2775</v>
      </c>
      <c r="C76" s="331" t="s">
        <v>2776</v>
      </c>
      <c r="D76" s="319" t="s">
        <v>2550</v>
      </c>
      <c r="E76" s="319" t="s">
        <v>29</v>
      </c>
      <c r="F76" s="95" t="s">
        <v>2562</v>
      </c>
      <c r="G76" s="44" t="str">
        <f t="shared" si="1"/>
        <v>Augusto</v>
      </c>
      <c r="H76" s="332" t="s">
        <v>186</v>
      </c>
      <c r="I76" s="46" t="s">
        <v>24</v>
      </c>
      <c r="J76" s="319" t="str">
        <f t="shared" si="2"/>
        <v>Não</v>
      </c>
      <c r="K76" s="333">
        <v>43609.0</v>
      </c>
      <c r="L76" s="338">
        <v>44847.0</v>
      </c>
      <c r="M76" s="95" t="s">
        <v>190</v>
      </c>
      <c r="N76" s="334">
        <v>0.02</v>
      </c>
      <c r="O76" s="319" t="s">
        <v>191</v>
      </c>
      <c r="P76" s="322">
        <v>0.2</v>
      </c>
      <c r="Q76" s="95" t="str">
        <f>IFERROR(VLOOKUP(F76,'Cadastro de assessores'!A:B,2,FALSE),"Não Cadastrado")</f>
        <v>2971</v>
      </c>
      <c r="R76" s="95" t="s">
        <v>2563</v>
      </c>
      <c r="S76" s="333">
        <v>43609.0</v>
      </c>
      <c r="T76" s="169"/>
      <c r="U76" s="169"/>
      <c r="V76" s="45" t="s">
        <v>108</v>
      </c>
      <c r="W76" s="13" t="s">
        <v>2777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2602</v>
      </c>
      <c r="AE76" s="171">
        <v>0.0</v>
      </c>
      <c r="AF76" s="171">
        <v>0.0</v>
      </c>
      <c r="AG76" s="171">
        <v>0.0</v>
      </c>
      <c r="AH76" s="171">
        <v>0.0</v>
      </c>
      <c r="AI76" s="171">
        <v>0.0</v>
      </c>
      <c r="AJ76" s="171">
        <v>0.0</v>
      </c>
      <c r="AK76" s="171">
        <v>0.0</v>
      </c>
      <c r="AL76" s="171"/>
      <c r="AM76" s="171"/>
      <c r="AN76" s="171"/>
      <c r="AO76" s="171"/>
      <c r="AP76" s="171"/>
      <c r="AQ76" s="171"/>
      <c r="AR76" s="171"/>
      <c r="AS76" s="171"/>
      <c r="AT76" s="171"/>
      <c r="AU76" s="171"/>
      <c r="AV76" s="171"/>
      <c r="AW76" s="171"/>
      <c r="AX76" s="337"/>
      <c r="AY76" s="337"/>
      <c r="AZ76" s="337"/>
      <c r="BA76" s="171"/>
      <c r="BB76" s="171"/>
      <c r="BC76" s="171"/>
      <c r="BD76" s="171"/>
      <c r="BE76" s="171"/>
      <c r="BF76" s="171">
        <v>0.0</v>
      </c>
      <c r="BG76" s="171">
        <v>0.0</v>
      </c>
      <c r="BH76" s="171">
        <v>0.0</v>
      </c>
      <c r="BI76" s="171" t="s">
        <v>2566</v>
      </c>
      <c r="BJ76" s="171">
        <v>0.0</v>
      </c>
      <c r="BK76" s="171" t="s">
        <v>2566</v>
      </c>
      <c r="BL76" s="171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  <c r="CI76" s="329"/>
    </row>
    <row r="77" ht="15.75" customHeight="1">
      <c r="A77" s="317" t="s">
        <v>2547</v>
      </c>
      <c r="B77" s="239" t="s">
        <v>2775</v>
      </c>
      <c r="C77" s="331" t="s">
        <v>2778</v>
      </c>
      <c r="D77" s="319" t="s">
        <v>2550</v>
      </c>
      <c r="E77" s="319" t="s">
        <v>29</v>
      </c>
      <c r="F77" s="95" t="s">
        <v>2562</v>
      </c>
      <c r="G77" s="44" t="str">
        <f t="shared" si="1"/>
        <v>Augusto</v>
      </c>
      <c r="H77" s="332" t="s">
        <v>186</v>
      </c>
      <c r="I77" s="46" t="s">
        <v>24</v>
      </c>
      <c r="J77" s="319" t="str">
        <f t="shared" si="2"/>
        <v>Não</v>
      </c>
      <c r="K77" s="333">
        <v>43609.0</v>
      </c>
      <c r="L77" s="338">
        <v>44482.0</v>
      </c>
      <c r="M77" s="95" t="s">
        <v>79</v>
      </c>
      <c r="N77" s="334">
        <v>0.005</v>
      </c>
      <c r="O77" s="319" t="s">
        <v>2552</v>
      </c>
      <c r="P77" s="322">
        <v>0.0</v>
      </c>
      <c r="Q77" s="95" t="str">
        <f>IFERROR(VLOOKUP(F77,'Cadastro de assessores'!A:B,2,FALSE),"Não Cadastrado")</f>
        <v>2971</v>
      </c>
      <c r="R77" s="95" t="s">
        <v>2563</v>
      </c>
      <c r="S77" s="333">
        <v>43609.0</v>
      </c>
      <c r="T77" s="169"/>
      <c r="U77" s="169"/>
      <c r="V77" s="45" t="s">
        <v>108</v>
      </c>
      <c r="W77" s="13" t="s">
        <v>2777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2602</v>
      </c>
      <c r="AE77" s="171">
        <v>55295.03</v>
      </c>
      <c r="AF77" s="171">
        <v>0.0</v>
      </c>
      <c r="AG77" s="171">
        <v>0.0</v>
      </c>
      <c r="AH77" s="171">
        <v>0.0</v>
      </c>
      <c r="AI77" s="171">
        <v>0.68</v>
      </c>
      <c r="AJ77" s="171">
        <v>0.0</v>
      </c>
      <c r="AK77" s="171">
        <v>0.0</v>
      </c>
      <c r="AL77" s="171"/>
      <c r="AM77" s="171"/>
      <c r="AN77" s="171">
        <v>0.68</v>
      </c>
      <c r="AO77" s="171">
        <v>0.68</v>
      </c>
      <c r="AP77" s="171">
        <v>0.68</v>
      </c>
      <c r="AQ77" s="171">
        <v>0.68</v>
      </c>
      <c r="AR77" s="171">
        <v>0.68</v>
      </c>
      <c r="AS77" s="171">
        <v>0.68</v>
      </c>
      <c r="AT77" s="171">
        <v>0.68</v>
      </c>
      <c r="AU77" s="171">
        <v>0.68</v>
      </c>
      <c r="AV77" s="171">
        <v>0.68</v>
      </c>
      <c r="AW77" s="171"/>
      <c r="AX77" s="337"/>
      <c r="AY77" s="337"/>
      <c r="AZ77" s="337"/>
      <c r="BA77" s="171"/>
      <c r="BB77" s="171"/>
      <c r="BC77" s="171"/>
      <c r="BD77" s="171"/>
      <c r="BE77" s="171"/>
      <c r="BF77" s="171">
        <v>0.0</v>
      </c>
      <c r="BG77" s="171">
        <v>0.0</v>
      </c>
      <c r="BH77" s="171">
        <v>0.0</v>
      </c>
      <c r="BI77" s="171" t="s">
        <v>2566</v>
      </c>
      <c r="BJ77" s="171">
        <v>0.0</v>
      </c>
      <c r="BK77" s="171" t="s">
        <v>2566</v>
      </c>
      <c r="BL77" s="171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  <c r="CI77" s="329"/>
    </row>
    <row r="78" ht="15.75" customHeight="1">
      <c r="A78" s="317" t="s">
        <v>2547</v>
      </c>
      <c r="B78" s="42" t="s">
        <v>2779</v>
      </c>
      <c r="C78" s="330" t="s">
        <v>2780</v>
      </c>
      <c r="D78" s="319" t="s">
        <v>18</v>
      </c>
      <c r="E78" s="319" t="s">
        <v>176</v>
      </c>
      <c r="F78" s="95" t="s">
        <v>197</v>
      </c>
      <c r="G78" s="44" t="str">
        <f t="shared" si="1"/>
        <v>Augusto</v>
      </c>
      <c r="H78" s="332" t="s">
        <v>147</v>
      </c>
      <c r="I78" s="51" t="s">
        <v>219</v>
      </c>
      <c r="J78" s="319" t="str">
        <f t="shared" si="2"/>
        <v>Não</v>
      </c>
      <c r="K78" s="72">
        <v>44364.0</v>
      </c>
      <c r="L78" s="95"/>
      <c r="M78" s="95" t="s">
        <v>79</v>
      </c>
      <c r="N78" s="334">
        <v>0.012</v>
      </c>
      <c r="O78" s="319" t="s">
        <v>2552</v>
      </c>
      <c r="P78" s="322">
        <v>0.0</v>
      </c>
      <c r="Q78" s="93" t="str">
        <f>IFERROR(VLOOKUP(F78,'Cadastro de assessores'!A:B,2,FALSE),"Não Cadastrado")</f>
        <v>28411</v>
      </c>
      <c r="R78" s="319" t="s">
        <v>107</v>
      </c>
      <c r="S78" s="72">
        <v>44344.0</v>
      </c>
      <c r="T78" s="50"/>
      <c r="U78" s="50"/>
      <c r="V78" s="45" t="s">
        <v>108</v>
      </c>
      <c r="W78" s="5" t="s">
        <v>602</v>
      </c>
      <c r="X78" s="164" t="s">
        <v>180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119</v>
      </c>
      <c r="AC78" s="95"/>
      <c r="AD78" s="95" t="s">
        <v>2781</v>
      </c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71"/>
      <c r="AS78" s="171"/>
      <c r="AT78" s="171"/>
      <c r="AU78" s="171"/>
      <c r="AV78" s="171"/>
      <c r="AW78" s="191"/>
      <c r="AX78" s="171">
        <v>206169.8</v>
      </c>
      <c r="AY78" s="171">
        <v>206583.34</v>
      </c>
      <c r="AZ78" s="171">
        <v>206861.97</v>
      </c>
      <c r="BA78" s="171">
        <v>207683.07</v>
      </c>
      <c r="BB78" s="171">
        <v>207851.19</v>
      </c>
      <c r="BC78" s="171">
        <v>208075.33</v>
      </c>
      <c r="BD78" s="171">
        <v>208651.07</v>
      </c>
      <c r="BE78" s="171">
        <v>210859.65</v>
      </c>
      <c r="BF78" s="171">
        <v>212442.36</v>
      </c>
      <c r="BG78" s="171">
        <v>216901.68</v>
      </c>
      <c r="BH78" s="171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  <c r="CI78" s="329"/>
    </row>
    <row r="79" ht="15.75" customHeight="1">
      <c r="A79" s="317" t="s">
        <v>2547</v>
      </c>
      <c r="B79" s="239" t="s">
        <v>2782</v>
      </c>
      <c r="C79" s="331" t="s">
        <v>2783</v>
      </c>
      <c r="D79" s="319" t="s">
        <v>2550</v>
      </c>
      <c r="E79" s="319" t="s">
        <v>29</v>
      </c>
      <c r="F79" s="95" t="s">
        <v>2551</v>
      </c>
      <c r="G79" s="44" t="str">
        <f t="shared" si="1"/>
        <v>Augusto</v>
      </c>
      <c r="H79" s="332" t="s">
        <v>186</v>
      </c>
      <c r="I79" s="46" t="s">
        <v>24</v>
      </c>
      <c r="J79" s="319" t="str">
        <f t="shared" si="2"/>
        <v>Não</v>
      </c>
      <c r="K79" s="338">
        <v>43453.0</v>
      </c>
      <c r="L79" s="333">
        <v>43997.0</v>
      </c>
      <c r="M79" s="95" t="s">
        <v>190</v>
      </c>
      <c r="N79" s="334">
        <v>0.025</v>
      </c>
      <c r="O79" s="319" t="s">
        <v>191</v>
      </c>
      <c r="P79" s="322">
        <v>0.2</v>
      </c>
      <c r="Q79" s="95" t="str">
        <f>IFERROR(VLOOKUP(F79,'Cadastro de assessores'!A:B,2,FALSE),"Não Cadastrado")</f>
        <v>17573</v>
      </c>
      <c r="R79" s="95" t="s">
        <v>2563</v>
      </c>
      <c r="S79" s="338">
        <v>43453.0</v>
      </c>
      <c r="T79" s="169"/>
      <c r="U79" s="169"/>
      <c r="V79" s="45" t="s">
        <v>108</v>
      </c>
      <c r="W79" s="13" t="s">
        <v>2784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2591</v>
      </c>
      <c r="AE79" s="171">
        <v>0.0</v>
      </c>
      <c r="AF79" s="171">
        <v>0.0</v>
      </c>
      <c r="AG79" s="171">
        <v>0.0</v>
      </c>
      <c r="AH79" s="171">
        <v>0.0</v>
      </c>
      <c r="AI79" s="171">
        <v>0.0</v>
      </c>
      <c r="AJ79" s="171">
        <v>0.0</v>
      </c>
      <c r="AK79" s="171">
        <v>0.0</v>
      </c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337"/>
      <c r="AY79" s="337"/>
      <c r="AZ79" s="337"/>
      <c r="BA79" s="171"/>
      <c r="BB79" s="171"/>
      <c r="BC79" s="171"/>
      <c r="BD79" s="171"/>
      <c r="BE79" s="171"/>
      <c r="BF79" s="171">
        <v>0.0</v>
      </c>
      <c r="BG79" s="171">
        <v>0.0</v>
      </c>
      <c r="BH79" s="171">
        <v>0.0</v>
      </c>
      <c r="BI79" s="171" t="s">
        <v>2566</v>
      </c>
      <c r="BJ79" s="171">
        <v>0.0</v>
      </c>
      <c r="BK79" s="171" t="s">
        <v>2566</v>
      </c>
      <c r="BL79" s="171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  <c r="CI79" s="329"/>
    </row>
    <row r="80" ht="15.75" customHeight="1">
      <c r="A80" s="317" t="s">
        <v>2547</v>
      </c>
      <c r="B80" s="239" t="s">
        <v>2782</v>
      </c>
      <c r="C80" s="331" t="s">
        <v>2785</v>
      </c>
      <c r="D80" s="319" t="s">
        <v>2550</v>
      </c>
      <c r="E80" s="319" t="s">
        <v>29</v>
      </c>
      <c r="F80" s="95" t="s">
        <v>2551</v>
      </c>
      <c r="G80" s="44" t="str">
        <f t="shared" si="1"/>
        <v>Augusto</v>
      </c>
      <c r="H80" s="332" t="s">
        <v>186</v>
      </c>
      <c r="I80" s="46" t="s">
        <v>24</v>
      </c>
      <c r="J80" s="319" t="str">
        <f t="shared" si="2"/>
        <v>Não</v>
      </c>
      <c r="K80" s="333">
        <v>43997.0</v>
      </c>
      <c r="L80" s="333">
        <v>43997.0</v>
      </c>
      <c r="M80" s="95" t="s">
        <v>47</v>
      </c>
      <c r="N80" s="334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2563</v>
      </c>
      <c r="S80" s="333">
        <v>43997.0</v>
      </c>
      <c r="T80" s="169"/>
      <c r="U80" s="169"/>
      <c r="V80" s="45" t="s">
        <v>108</v>
      </c>
      <c r="W80" s="13" t="s">
        <v>2784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2591</v>
      </c>
      <c r="AE80" s="171">
        <v>64330.07</v>
      </c>
      <c r="AF80" s="171">
        <v>44235.94</v>
      </c>
      <c r="AG80" s="171">
        <v>42030.24</v>
      </c>
      <c r="AH80" s="171">
        <v>36239.38</v>
      </c>
      <c r="AI80" s="171">
        <v>36013.41</v>
      </c>
      <c r="AJ80" s="171">
        <v>0.0</v>
      </c>
      <c r="AK80" s="171">
        <v>0.0</v>
      </c>
      <c r="AL80" s="171"/>
      <c r="AM80" s="171"/>
      <c r="AN80" s="171"/>
      <c r="AO80" s="171">
        <v>35900.32</v>
      </c>
      <c r="AP80" s="171">
        <v>36072.15</v>
      </c>
      <c r="AQ80" s="171">
        <v>36109.92</v>
      </c>
      <c r="AR80" s="171">
        <v>36113.05</v>
      </c>
      <c r="AS80" s="171">
        <v>36127.36</v>
      </c>
      <c r="AT80" s="171">
        <v>37124.81</v>
      </c>
      <c r="AU80" s="171">
        <v>37195.19</v>
      </c>
      <c r="AV80" s="171">
        <v>37253.46</v>
      </c>
      <c r="AW80" s="171">
        <v>37640.97</v>
      </c>
      <c r="AX80" s="171">
        <v>37852.49</v>
      </c>
      <c r="AY80" s="171">
        <v>37777.95</v>
      </c>
      <c r="AZ80" s="171">
        <v>37700.87</v>
      </c>
      <c r="BA80" s="171">
        <v>37637.01</v>
      </c>
      <c r="BB80" s="171">
        <v>37437.55</v>
      </c>
      <c r="BC80" s="171"/>
      <c r="BD80" s="171"/>
      <c r="BE80" s="171"/>
      <c r="BF80" s="171">
        <v>0.0</v>
      </c>
      <c r="BG80" s="171">
        <v>0.0</v>
      </c>
      <c r="BH80" s="171">
        <v>0.0</v>
      </c>
      <c r="BI80" s="171" t="s">
        <v>2566</v>
      </c>
      <c r="BJ80" s="171">
        <v>0.0</v>
      </c>
      <c r="BK80" s="171" t="s">
        <v>2566</v>
      </c>
      <c r="BL80" s="171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  <c r="CI80" s="329"/>
    </row>
    <row r="81" ht="15.75" customHeight="1">
      <c r="A81" s="317" t="s">
        <v>2547</v>
      </c>
      <c r="B81" s="42" t="s">
        <v>2786</v>
      </c>
      <c r="C81" s="45">
        <v>4410426.0</v>
      </c>
      <c r="D81" s="319" t="s">
        <v>18</v>
      </c>
      <c r="E81" s="319" t="s">
        <v>176</v>
      </c>
      <c r="F81" s="95" t="s">
        <v>177</v>
      </c>
      <c r="G81" s="44" t="str">
        <f t="shared" si="1"/>
        <v>Breno</v>
      </c>
      <c r="H81" s="332" t="s">
        <v>147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55</v>
      </c>
      <c r="N81" s="334">
        <v>0.007</v>
      </c>
      <c r="O81" s="319" t="s">
        <v>2552</v>
      </c>
      <c r="P81" s="322">
        <v>0.0</v>
      </c>
      <c r="Q81" s="319" t="str">
        <f>IFERROR(VLOOKUP(F81,'Cadastro de assessores'!A:B,2,FALSE),"Não Cadastrado")</f>
        <v>250</v>
      </c>
      <c r="R81" s="319" t="s">
        <v>107</v>
      </c>
      <c r="S81" s="72">
        <v>44593.0</v>
      </c>
      <c r="T81" s="50"/>
      <c r="U81" s="60" t="s">
        <v>2787</v>
      </c>
      <c r="V81" s="45" t="s">
        <v>108</v>
      </c>
      <c r="W81" s="5" t="s">
        <v>2788</v>
      </c>
      <c r="X81" s="164" t="s">
        <v>180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119</v>
      </c>
      <c r="AC81" s="95"/>
      <c r="AD81" s="95" t="s">
        <v>2609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1"/>
      <c r="AR81" s="326"/>
      <c r="AS81" s="326"/>
      <c r="AT81" s="326"/>
      <c r="AU81" s="326"/>
      <c r="AV81" s="326"/>
      <c r="AW81" s="171"/>
      <c r="AX81" s="171"/>
      <c r="AY81" s="171"/>
      <c r="AZ81" s="171"/>
      <c r="BA81" s="171"/>
      <c r="BB81" s="171"/>
      <c r="BC81" s="171"/>
      <c r="BD81" s="41"/>
      <c r="BE81" s="171">
        <v>118748.73</v>
      </c>
      <c r="BF81" s="171">
        <v>119592.31</v>
      </c>
      <c r="BG81" s="171">
        <v>120851.41</v>
      </c>
      <c r="BH81" s="171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  <c r="CI81" s="329"/>
    </row>
    <row r="82" ht="15.75" customHeight="1">
      <c r="A82" s="317" t="s">
        <v>2547</v>
      </c>
      <c r="B82" s="235" t="s">
        <v>2789</v>
      </c>
      <c r="C82" s="331" t="s">
        <v>2790</v>
      </c>
      <c r="D82" s="319" t="s">
        <v>2550</v>
      </c>
      <c r="E82" s="319" t="s">
        <v>29</v>
      </c>
      <c r="F82" s="95" t="s">
        <v>2551</v>
      </c>
      <c r="G82" s="44" t="str">
        <f t="shared" si="1"/>
        <v>Augusto</v>
      </c>
      <c r="H82" s="332" t="s">
        <v>186</v>
      </c>
      <c r="I82" s="46" t="s">
        <v>24</v>
      </c>
      <c r="J82" s="319" t="str">
        <f t="shared" si="2"/>
        <v>Não</v>
      </c>
      <c r="K82" s="95" t="s">
        <v>2599</v>
      </c>
      <c r="L82" s="333">
        <v>44312.0</v>
      </c>
      <c r="M82" s="95" t="s">
        <v>47</v>
      </c>
      <c r="N82" s="334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2563</v>
      </c>
      <c r="S82" s="95"/>
      <c r="T82" s="169"/>
      <c r="U82" s="169"/>
      <c r="V82" s="45" t="s">
        <v>108</v>
      </c>
      <c r="W82" s="13" t="s">
        <v>2791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7"/>
      <c r="AF82" s="337"/>
      <c r="AG82" s="337"/>
      <c r="AH82" s="171"/>
      <c r="AI82" s="171"/>
      <c r="AJ82" s="337"/>
      <c r="AK82" s="337"/>
      <c r="AL82" s="337"/>
      <c r="AM82" s="337"/>
      <c r="AN82" s="171">
        <v>6.32</v>
      </c>
      <c r="AO82" s="171">
        <v>6.32</v>
      </c>
      <c r="AP82" s="171">
        <v>6.32</v>
      </c>
      <c r="AQ82" s="171">
        <v>6.32</v>
      </c>
      <c r="AR82" s="171">
        <v>6.32</v>
      </c>
      <c r="AS82" s="171">
        <v>6.32</v>
      </c>
      <c r="AT82" s="171">
        <v>6.32</v>
      </c>
      <c r="AU82" s="171">
        <v>6.32</v>
      </c>
      <c r="AV82" s="171">
        <v>6.32</v>
      </c>
      <c r="AW82" s="171"/>
      <c r="AX82" s="337"/>
      <c r="AY82" s="337"/>
      <c r="AZ82" s="337"/>
      <c r="BA82" s="171"/>
      <c r="BB82" s="171"/>
      <c r="BC82" s="171"/>
      <c r="BD82" s="171"/>
      <c r="BE82" s="171"/>
      <c r="BF82" s="171">
        <v>0.0</v>
      </c>
      <c r="BG82" s="171">
        <v>0.0</v>
      </c>
      <c r="BH82" s="171">
        <v>0.0</v>
      </c>
      <c r="BI82" s="171" t="s">
        <v>2566</v>
      </c>
      <c r="BJ82" s="171">
        <v>0.0</v>
      </c>
      <c r="BK82" s="171" t="s">
        <v>2566</v>
      </c>
      <c r="BL82" s="171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  <c r="CI82" s="329"/>
    </row>
    <row r="83" ht="15.75" customHeight="1">
      <c r="A83" s="317" t="s">
        <v>2547</v>
      </c>
      <c r="B83" s="235" t="s">
        <v>2792</v>
      </c>
      <c r="C83" s="331" t="s">
        <v>2793</v>
      </c>
      <c r="D83" s="319" t="s">
        <v>2550</v>
      </c>
      <c r="E83" s="319" t="s">
        <v>29</v>
      </c>
      <c r="F83" s="95" t="s">
        <v>2551</v>
      </c>
      <c r="G83" s="44" t="str">
        <f t="shared" si="1"/>
        <v>Augusto</v>
      </c>
      <c r="H83" s="332" t="s">
        <v>186</v>
      </c>
      <c r="I83" s="46" t="s">
        <v>24</v>
      </c>
      <c r="J83" s="319" t="str">
        <f t="shared" si="2"/>
        <v>Não</v>
      </c>
      <c r="K83" s="338">
        <v>43822.0</v>
      </c>
      <c r="L83" s="338">
        <v>44545.0</v>
      </c>
      <c r="M83" s="95" t="s">
        <v>79</v>
      </c>
      <c r="N83" s="334">
        <v>0.012</v>
      </c>
      <c r="O83" s="319" t="s">
        <v>2552</v>
      </c>
      <c r="P83" s="322">
        <v>0.0</v>
      </c>
      <c r="Q83" s="95" t="str">
        <f>IFERROR(VLOOKUP(F83,'Cadastro de assessores'!A:B,2,FALSE),"Não Cadastrado")</f>
        <v>17573</v>
      </c>
      <c r="R83" s="95" t="s">
        <v>2563</v>
      </c>
      <c r="S83" s="338">
        <v>43822.0</v>
      </c>
      <c r="T83" s="169"/>
      <c r="U83" s="169"/>
      <c r="V83" s="45" t="s">
        <v>108</v>
      </c>
      <c r="W83" s="13" t="s">
        <v>2794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2623</v>
      </c>
      <c r="AE83" s="171">
        <v>282028.35</v>
      </c>
      <c r="AF83" s="171">
        <v>287314.96</v>
      </c>
      <c r="AG83" s="171">
        <v>275831.46</v>
      </c>
      <c r="AH83" s="171">
        <v>279662.76</v>
      </c>
      <c r="AI83" s="171">
        <v>282313.01</v>
      </c>
      <c r="AJ83" s="171">
        <v>284893.12</v>
      </c>
      <c r="AK83" s="171">
        <v>299366.31</v>
      </c>
      <c r="AL83" s="171">
        <v>295299.15</v>
      </c>
      <c r="AM83" s="171">
        <v>291681.4</v>
      </c>
      <c r="AN83" s="171">
        <v>290995.0</v>
      </c>
      <c r="AO83" s="171">
        <v>300059.87</v>
      </c>
      <c r="AP83" s="171">
        <v>303602.97</v>
      </c>
      <c r="AQ83" s="171">
        <v>307182.04</v>
      </c>
      <c r="AR83" s="171">
        <v>301826.28</v>
      </c>
      <c r="AS83" s="171">
        <v>220055.19</v>
      </c>
      <c r="AT83" s="171">
        <v>200867.89</v>
      </c>
      <c r="AU83" s="171">
        <v>204418.82</v>
      </c>
      <c r="AV83" s="171">
        <v>204403.81</v>
      </c>
      <c r="AW83" s="171">
        <v>206721.94</v>
      </c>
      <c r="AX83" s="171">
        <v>206280.99</v>
      </c>
      <c r="AY83" s="171">
        <v>205836.87</v>
      </c>
      <c r="AZ83" s="171">
        <v>220220.71</v>
      </c>
      <c r="BA83" s="171">
        <v>202279.47</v>
      </c>
      <c r="BB83" s="171">
        <v>198874.55</v>
      </c>
      <c r="BC83" s="171">
        <v>236487.19</v>
      </c>
      <c r="BD83" s="171">
        <v>238899.17</v>
      </c>
      <c r="BE83" s="171">
        <v>237350.81</v>
      </c>
      <c r="BF83" s="171">
        <v>0.0</v>
      </c>
      <c r="BG83" s="171">
        <v>0.0</v>
      </c>
      <c r="BH83" s="171">
        <v>0.0</v>
      </c>
      <c r="BI83" s="171" t="s">
        <v>2566</v>
      </c>
      <c r="BJ83" s="171">
        <v>0.0</v>
      </c>
      <c r="BK83" s="171" t="s">
        <v>2566</v>
      </c>
      <c r="BL83" s="171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  <c r="CI83" s="329"/>
    </row>
    <row r="84" ht="15.75" customHeight="1">
      <c r="A84" s="317" t="s">
        <v>2547</v>
      </c>
      <c r="B84" s="368" t="s">
        <v>640</v>
      </c>
      <c r="C84" s="330" t="s">
        <v>2795</v>
      </c>
      <c r="D84" s="319" t="s">
        <v>18</v>
      </c>
      <c r="E84" s="319" t="s">
        <v>176</v>
      </c>
      <c r="F84" s="95" t="s">
        <v>177</v>
      </c>
      <c r="G84" s="44" t="str">
        <f t="shared" si="1"/>
        <v>Augusto</v>
      </c>
      <c r="H84" s="165" t="s">
        <v>147</v>
      </c>
      <c r="I84" s="51" t="s">
        <v>219</v>
      </c>
      <c r="J84" s="319" t="str">
        <f t="shared" si="2"/>
        <v>Não</v>
      </c>
      <c r="K84" s="320">
        <v>44383.0</v>
      </c>
      <c r="L84" s="95"/>
      <c r="M84" s="95" t="s">
        <v>79</v>
      </c>
      <c r="N84" s="334">
        <v>0.012</v>
      </c>
      <c r="O84" s="319" t="s">
        <v>2552</v>
      </c>
      <c r="P84" s="322">
        <v>0.0</v>
      </c>
      <c r="Q84" s="93" t="str">
        <f>IFERROR(VLOOKUP(F84,'Cadastro de assessores'!A:B,2,FALSE),"Não Cadastrado")</f>
        <v>250</v>
      </c>
      <c r="R84" s="319" t="s">
        <v>107</v>
      </c>
      <c r="S84" s="320">
        <v>44368.0</v>
      </c>
      <c r="T84" s="50"/>
      <c r="U84" s="50"/>
      <c r="V84" s="45" t="s">
        <v>108</v>
      </c>
      <c r="W84" s="5" t="s">
        <v>2796</v>
      </c>
      <c r="X84" s="164" t="s">
        <v>180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119</v>
      </c>
      <c r="AC84" s="95"/>
      <c r="AD84" s="45" t="s">
        <v>2609</v>
      </c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363"/>
      <c r="AR84" s="337"/>
      <c r="AS84" s="171"/>
      <c r="AT84" s="171"/>
      <c r="AU84" s="171"/>
      <c r="AV84" s="171"/>
      <c r="AW84" s="171"/>
      <c r="AX84" s="191"/>
      <c r="AY84" s="171">
        <v>269535.97</v>
      </c>
      <c r="AZ84" s="171">
        <v>288725.21</v>
      </c>
      <c r="BA84" s="171">
        <v>287494.64</v>
      </c>
      <c r="BB84" s="171">
        <v>249914.84</v>
      </c>
      <c r="BC84" s="171">
        <v>249764.3</v>
      </c>
      <c r="BD84" s="171">
        <v>316967.58</v>
      </c>
      <c r="BE84" s="171">
        <v>321677.63</v>
      </c>
      <c r="BF84" s="171"/>
      <c r="BG84" s="171">
        <v>331334.79</v>
      </c>
      <c r="BH84" s="171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  <c r="CI84" s="329"/>
    </row>
    <row r="85" ht="15.75" customHeight="1">
      <c r="A85" s="317" t="s">
        <v>2547</v>
      </c>
      <c r="B85" s="368" t="s">
        <v>640</v>
      </c>
      <c r="C85" s="369" t="s">
        <v>2797</v>
      </c>
      <c r="D85" s="319" t="s">
        <v>18</v>
      </c>
      <c r="E85" s="319" t="s">
        <v>176</v>
      </c>
      <c r="F85" s="95" t="s">
        <v>177</v>
      </c>
      <c r="G85" s="44" t="str">
        <f t="shared" si="1"/>
        <v>Augusto</v>
      </c>
      <c r="H85" s="165" t="s">
        <v>147</v>
      </c>
      <c r="I85" s="51" t="s">
        <v>219</v>
      </c>
      <c r="J85" s="319" t="str">
        <f t="shared" si="2"/>
        <v>Não</v>
      </c>
      <c r="K85" s="333">
        <v>44860.0</v>
      </c>
      <c r="L85" s="95"/>
      <c r="M85" s="95" t="s">
        <v>194</v>
      </c>
      <c r="N85" s="334">
        <v>0.008</v>
      </c>
      <c r="O85" s="319" t="s">
        <v>195</v>
      </c>
      <c r="P85" s="322">
        <v>0.1</v>
      </c>
      <c r="Q85" s="93" t="str">
        <f>IFERROR(VLOOKUP(F85,'Cadastro de assessores'!A:B,2,FALSE),"Não Cadastrado")</f>
        <v>250</v>
      </c>
      <c r="R85" s="319" t="s">
        <v>107</v>
      </c>
      <c r="S85" s="333">
        <v>44858.0</v>
      </c>
      <c r="T85" s="50"/>
      <c r="U85" s="370"/>
      <c r="V85" s="45" t="s">
        <v>108</v>
      </c>
      <c r="W85" s="13" t="s">
        <v>643</v>
      </c>
      <c r="X85" s="5" t="s">
        <v>180</v>
      </c>
      <c r="Y85" s="51" t="str">
        <f t="shared" si="3"/>
        <v>Ativo</v>
      </c>
      <c r="Z85" s="325"/>
      <c r="AA85" s="95" t="str">
        <f t="shared" si="4"/>
        <v/>
      </c>
      <c r="AB85" s="13" t="s">
        <v>119</v>
      </c>
      <c r="AC85" s="95"/>
      <c r="AD85" s="95"/>
      <c r="AE85" s="337"/>
      <c r="AF85" s="337"/>
      <c r="AG85" s="337"/>
      <c r="AH85" s="337"/>
      <c r="AI85" s="337"/>
      <c r="AJ85" s="337"/>
      <c r="AK85" s="337"/>
      <c r="AL85" s="337"/>
      <c r="AM85" s="337"/>
      <c r="AN85" s="337"/>
      <c r="AO85" s="337"/>
      <c r="AP85" s="337"/>
      <c r="AQ85" s="337"/>
      <c r="AR85" s="363"/>
      <c r="AS85" s="337"/>
      <c r="AT85" s="171"/>
      <c r="AU85" s="171"/>
      <c r="AV85" s="171"/>
      <c r="AW85" s="171"/>
      <c r="AX85" s="171"/>
      <c r="AY85" s="171"/>
      <c r="AZ85" s="171"/>
      <c r="BA85" s="171"/>
      <c r="BB85" s="171"/>
      <c r="BC85" s="171"/>
      <c r="BD85" s="171"/>
      <c r="BE85" s="171"/>
      <c r="BF85" s="171"/>
      <c r="BG85" s="171"/>
      <c r="BH85" s="171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  <c r="CI85" s="329"/>
    </row>
    <row r="86" ht="15.75" customHeight="1">
      <c r="A86" s="317" t="s">
        <v>2547</v>
      </c>
      <c r="B86" s="235" t="s">
        <v>649</v>
      </c>
      <c r="C86" s="219" t="s">
        <v>2798</v>
      </c>
      <c r="D86" s="319" t="s">
        <v>18</v>
      </c>
      <c r="E86" s="319" t="s">
        <v>176</v>
      </c>
      <c r="F86" s="319" t="s">
        <v>177</v>
      </c>
      <c r="G86" s="44" t="str">
        <f t="shared" si="1"/>
        <v>Augusto</v>
      </c>
      <c r="H86" s="332" t="s">
        <v>147</v>
      </c>
      <c r="I86" s="51" t="s">
        <v>219</v>
      </c>
      <c r="J86" s="319" t="str">
        <f t="shared" si="2"/>
        <v>Sim</v>
      </c>
      <c r="K86" s="333">
        <v>44280.0</v>
      </c>
      <c r="L86" s="95"/>
      <c r="M86" s="95" t="s">
        <v>47</v>
      </c>
      <c r="N86" s="334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107</v>
      </c>
      <c r="S86" s="333">
        <v>44257.0</v>
      </c>
      <c r="T86" s="50" t="s">
        <v>2799</v>
      </c>
      <c r="U86" s="370"/>
      <c r="V86" s="45" t="s">
        <v>108</v>
      </c>
      <c r="W86" s="13" t="s">
        <v>651</v>
      </c>
      <c r="X86" s="164" t="s">
        <v>180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119</v>
      </c>
      <c r="AC86" s="95"/>
      <c r="AD86" s="95" t="s">
        <v>2609</v>
      </c>
      <c r="AE86" s="337"/>
      <c r="AF86" s="337"/>
      <c r="AG86" s="337"/>
      <c r="AH86" s="337"/>
      <c r="AI86" s="337"/>
      <c r="AJ86" s="337"/>
      <c r="AK86" s="337"/>
      <c r="AL86" s="337"/>
      <c r="AM86" s="337"/>
      <c r="AN86" s="337"/>
      <c r="AO86" s="337"/>
      <c r="AP86" s="337"/>
      <c r="AQ86" s="337"/>
      <c r="AR86" s="363"/>
      <c r="AS86" s="337"/>
      <c r="AT86" s="171">
        <v>512789.81</v>
      </c>
      <c r="AU86" s="171"/>
      <c r="AV86" s="171">
        <v>538868.86</v>
      </c>
      <c r="AW86" s="171">
        <v>543937.5</v>
      </c>
      <c r="AX86" s="171">
        <v>592485.14</v>
      </c>
      <c r="AY86" s="171">
        <v>602145.18</v>
      </c>
      <c r="AZ86" s="171">
        <v>591402.11</v>
      </c>
      <c r="BA86" s="171">
        <v>446282.89</v>
      </c>
      <c r="BB86" s="171">
        <v>468714.66</v>
      </c>
      <c r="BC86" s="171">
        <v>459506.17</v>
      </c>
      <c r="BD86" s="171">
        <v>426009.32</v>
      </c>
      <c r="BE86" s="171">
        <v>428946.08</v>
      </c>
      <c r="BF86" s="171">
        <v>419192.49</v>
      </c>
      <c r="BG86" s="171">
        <v>428070.28</v>
      </c>
      <c r="BH86" s="171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  <c r="CI86" s="329"/>
    </row>
    <row r="87" ht="15.75" customHeight="1">
      <c r="A87" s="317" t="s">
        <v>2547</v>
      </c>
      <c r="B87" s="61" t="s">
        <v>649</v>
      </c>
      <c r="C87" s="330" t="s">
        <v>2800</v>
      </c>
      <c r="D87" s="319" t="s">
        <v>18</v>
      </c>
      <c r="E87" s="319" t="s">
        <v>176</v>
      </c>
      <c r="F87" s="319" t="s">
        <v>177</v>
      </c>
      <c r="G87" s="44" t="str">
        <f t="shared" si="1"/>
        <v>Augusto</v>
      </c>
      <c r="H87" s="165" t="s">
        <v>147</v>
      </c>
      <c r="I87" s="51" t="s">
        <v>219</v>
      </c>
      <c r="J87" s="319" t="str">
        <f t="shared" si="2"/>
        <v>Não</v>
      </c>
      <c r="K87" s="72">
        <v>44607.0</v>
      </c>
      <c r="L87" s="95"/>
      <c r="M87" s="95" t="s">
        <v>55</v>
      </c>
      <c r="N87" s="334">
        <v>0.007</v>
      </c>
      <c r="O87" s="319" t="s">
        <v>2552</v>
      </c>
      <c r="P87" s="322">
        <v>0.0</v>
      </c>
      <c r="Q87" s="319" t="str">
        <f>IFERROR(VLOOKUP(F87,'Cadastro de assessores'!A:B,2,FALSE),"Não Cadastrado")</f>
        <v>250</v>
      </c>
      <c r="R87" s="319" t="s">
        <v>107</v>
      </c>
      <c r="S87" s="72">
        <v>44607.0</v>
      </c>
      <c r="T87" s="169"/>
      <c r="U87" s="169"/>
      <c r="V87" s="45" t="s">
        <v>108</v>
      </c>
      <c r="W87" s="5" t="s">
        <v>651</v>
      </c>
      <c r="X87" s="164" t="s">
        <v>180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119</v>
      </c>
      <c r="AC87" s="95"/>
      <c r="AD87" s="95" t="s">
        <v>2609</v>
      </c>
      <c r="AE87" s="171"/>
      <c r="AF87" s="171"/>
      <c r="AG87" s="171"/>
      <c r="AH87" s="171"/>
      <c r="AI87" s="171"/>
      <c r="AJ87" s="171"/>
      <c r="AK87" s="171"/>
      <c r="AL87" s="171"/>
      <c r="AM87" s="171"/>
      <c r="AN87" s="171"/>
      <c r="AO87" s="171"/>
      <c r="AP87" s="171"/>
      <c r="AQ87" s="363"/>
      <c r="AR87" s="363"/>
      <c r="AS87" s="171"/>
      <c r="AT87" s="171"/>
      <c r="AU87" s="171"/>
      <c r="AV87" s="171"/>
      <c r="AW87" s="171"/>
      <c r="AX87" s="337"/>
      <c r="AY87" s="337"/>
      <c r="AZ87" s="337"/>
      <c r="BA87" s="171"/>
      <c r="BB87" s="171"/>
      <c r="BC87" s="171"/>
      <c r="BD87" s="171"/>
      <c r="BE87" s="171"/>
      <c r="BF87" s="171">
        <v>20017.61</v>
      </c>
      <c r="BG87" s="171">
        <v>10139.37</v>
      </c>
      <c r="BH87" s="171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  <c r="CI87" s="329"/>
    </row>
    <row r="88" ht="15.75" customHeight="1">
      <c r="A88" s="317" t="s">
        <v>2547</v>
      </c>
      <c r="B88" s="317" t="s">
        <v>2801</v>
      </c>
      <c r="C88" s="318" t="s">
        <v>2802</v>
      </c>
      <c r="D88" s="319" t="s">
        <v>18</v>
      </c>
      <c r="E88" s="319" t="s">
        <v>29</v>
      </c>
      <c r="F88" s="319" t="s">
        <v>2803</v>
      </c>
      <c r="G88" s="44" t="str">
        <f t="shared" si="1"/>
        <v>Augusto</v>
      </c>
      <c r="H88" s="165" t="s">
        <v>147</v>
      </c>
      <c r="I88" s="51" t="s">
        <v>219</v>
      </c>
      <c r="J88" s="319" t="str">
        <f t="shared" si="2"/>
        <v>Não</v>
      </c>
      <c r="K88" s="335">
        <v>43416.0</v>
      </c>
      <c r="L88" s="95"/>
      <c r="M88" s="95" t="s">
        <v>190</v>
      </c>
      <c r="N88" s="321">
        <v>0.03</v>
      </c>
      <c r="O88" s="319" t="s">
        <v>191</v>
      </c>
      <c r="P88" s="322">
        <v>0.2</v>
      </c>
      <c r="Q88" s="319" t="str">
        <f>IFERROR(VLOOKUP(F88,'Cadastro de assessores'!A:B,2,FALSE),"Não Cadastrado")</f>
        <v>18236</v>
      </c>
      <c r="R88" s="371" t="s">
        <v>147</v>
      </c>
      <c r="S88" s="335">
        <v>43416.0</v>
      </c>
      <c r="T88" s="169"/>
      <c r="U88" s="169"/>
      <c r="V88" s="45" t="s">
        <v>369</v>
      </c>
      <c r="W88" s="324" t="s">
        <v>2804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119</v>
      </c>
      <c r="AC88" s="95"/>
      <c r="AD88" s="95" t="s">
        <v>2596</v>
      </c>
      <c r="AE88" s="171">
        <v>1138641.22</v>
      </c>
      <c r="AF88" s="171">
        <v>1094686.42</v>
      </c>
      <c r="AG88" s="171">
        <v>818793.98</v>
      </c>
      <c r="AH88" s="171">
        <v>870567.24</v>
      </c>
      <c r="AI88" s="171">
        <v>907502.14</v>
      </c>
      <c r="AJ88" s="171">
        <v>966283.14</v>
      </c>
      <c r="AK88" s="171">
        <v>1014990.17</v>
      </c>
      <c r="AL88" s="171">
        <v>950118.82</v>
      </c>
      <c r="AM88" s="171">
        <v>895770.18</v>
      </c>
      <c r="AN88" s="171">
        <v>903602.37</v>
      </c>
      <c r="AO88" s="171">
        <v>1040533.67</v>
      </c>
      <c r="AP88" s="171">
        <v>1105232.33</v>
      </c>
      <c r="AQ88" s="363">
        <v>387296.5</v>
      </c>
      <c r="AR88" s="363">
        <v>359512.5</v>
      </c>
      <c r="AS88" s="171">
        <v>351795.85</v>
      </c>
      <c r="AT88" s="171">
        <v>5567.24</v>
      </c>
      <c r="AU88" s="171"/>
      <c r="AV88" s="171"/>
      <c r="AW88" s="171"/>
      <c r="AX88" s="337"/>
      <c r="AY88" s="337"/>
      <c r="AZ88" s="337"/>
      <c r="BA88" s="171"/>
      <c r="BB88" s="171"/>
      <c r="BC88" s="171"/>
      <c r="BD88" s="171"/>
      <c r="BE88" s="171"/>
      <c r="BF88" s="171">
        <v>0.0</v>
      </c>
      <c r="BG88" s="171">
        <v>0.0</v>
      </c>
      <c r="BH88" s="171">
        <v>0.0</v>
      </c>
      <c r="BI88" s="327" t="s">
        <v>2566</v>
      </c>
      <c r="BJ88" s="327">
        <v>0.0</v>
      </c>
      <c r="BK88" s="327" t="s">
        <v>2566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  <c r="CI88" s="329"/>
    </row>
    <row r="89" ht="15.75" customHeight="1">
      <c r="A89" s="317" t="s">
        <v>2547</v>
      </c>
      <c r="B89" s="235" t="s">
        <v>2805</v>
      </c>
      <c r="C89" s="331" t="s">
        <v>2806</v>
      </c>
      <c r="D89" s="319" t="s">
        <v>18</v>
      </c>
      <c r="E89" s="319" t="s">
        <v>176</v>
      </c>
      <c r="F89" s="95" t="s">
        <v>177</v>
      </c>
      <c r="G89" s="44" t="str">
        <f t="shared" si="1"/>
        <v>Augusto</v>
      </c>
      <c r="H89" s="332" t="s">
        <v>186</v>
      </c>
      <c r="I89" s="46" t="s">
        <v>24</v>
      </c>
      <c r="J89" s="319" t="str">
        <f t="shared" si="2"/>
        <v>Não</v>
      </c>
      <c r="K89" s="333">
        <v>44263.0</v>
      </c>
      <c r="L89" s="333">
        <v>44676.0</v>
      </c>
      <c r="M89" s="95" t="s">
        <v>190</v>
      </c>
      <c r="N89" s="334">
        <v>0.025</v>
      </c>
      <c r="O89" s="319" t="s">
        <v>191</v>
      </c>
      <c r="P89" s="322">
        <v>0.2</v>
      </c>
      <c r="Q89" s="95" t="str">
        <f>IFERROR(VLOOKUP(F89,'Cadastro de assessores'!A:B,2,FALSE),"Não Cadastrado")</f>
        <v>250</v>
      </c>
      <c r="R89" s="95" t="s">
        <v>2563</v>
      </c>
      <c r="S89" s="333">
        <v>44263.0</v>
      </c>
      <c r="T89" s="169"/>
      <c r="U89" s="169"/>
      <c r="V89" s="45" t="s">
        <v>108</v>
      </c>
      <c r="W89" s="13" t="s">
        <v>2807</v>
      </c>
      <c r="X89" s="164" t="s">
        <v>180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119</v>
      </c>
      <c r="AC89" s="95"/>
      <c r="AD89" s="95" t="s">
        <v>2609</v>
      </c>
      <c r="AE89" s="337"/>
      <c r="AF89" s="337"/>
      <c r="AG89" s="337"/>
      <c r="AH89" s="337"/>
      <c r="AI89" s="337"/>
      <c r="AJ89" s="337"/>
      <c r="AK89" s="337"/>
      <c r="AL89" s="337"/>
      <c r="AM89" s="337"/>
      <c r="AN89" s="337"/>
      <c r="AO89" s="337"/>
      <c r="AP89" s="337"/>
      <c r="AQ89" s="337"/>
      <c r="AR89" s="171"/>
      <c r="AS89" s="171">
        <v>1038443.86</v>
      </c>
      <c r="AT89" s="171">
        <v>1092368.37</v>
      </c>
      <c r="AU89" s="171"/>
      <c r="AV89" s="171">
        <v>1105735.12</v>
      </c>
      <c r="AW89" s="171">
        <v>1154870.76</v>
      </c>
      <c r="AX89" s="171">
        <v>1139672.54</v>
      </c>
      <c r="AY89" s="171">
        <v>1107838.97</v>
      </c>
      <c r="AZ89" s="171">
        <v>1054657.53</v>
      </c>
      <c r="BA89" s="171">
        <v>1010483.47</v>
      </c>
      <c r="BB89" s="171">
        <v>952448.24</v>
      </c>
      <c r="BC89" s="171">
        <v>927353.75</v>
      </c>
      <c r="BD89" s="171">
        <v>926457.6</v>
      </c>
      <c r="BE89" s="171">
        <v>978740.3</v>
      </c>
      <c r="BF89" s="171">
        <v>988383.63</v>
      </c>
      <c r="BG89" s="171">
        <v>1056989.49</v>
      </c>
      <c r="BH89" s="171">
        <v>2200.0</v>
      </c>
      <c r="BI89" s="339" t="s">
        <v>2566</v>
      </c>
      <c r="BJ89" s="171">
        <v>0.0</v>
      </c>
      <c r="BK89" s="171" t="s">
        <v>2566</v>
      </c>
      <c r="BL89" s="171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  <c r="CI89" s="329"/>
    </row>
    <row r="90" ht="15.75" customHeight="1">
      <c r="A90" s="317" t="s">
        <v>2547</v>
      </c>
      <c r="B90" s="239" t="s">
        <v>2808</v>
      </c>
      <c r="C90" s="331" t="s">
        <v>2809</v>
      </c>
      <c r="D90" s="319" t="s">
        <v>2550</v>
      </c>
      <c r="E90" s="319" t="s">
        <v>29</v>
      </c>
      <c r="F90" s="95" t="s">
        <v>2550</v>
      </c>
      <c r="G90" s="44" t="str">
        <f t="shared" si="1"/>
        <v>Augusto</v>
      </c>
      <c r="H90" s="332" t="s">
        <v>186</v>
      </c>
      <c r="I90" s="46" t="s">
        <v>24</v>
      </c>
      <c r="J90" s="319" t="str">
        <f t="shared" si="2"/>
        <v>Não</v>
      </c>
      <c r="K90" s="338">
        <v>44124.0</v>
      </c>
      <c r="L90" s="338">
        <v>44482.0</v>
      </c>
      <c r="M90" s="95" t="s">
        <v>47</v>
      </c>
      <c r="N90" s="334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2563</v>
      </c>
      <c r="S90" s="338">
        <v>44124.0</v>
      </c>
      <c r="T90" s="169"/>
      <c r="U90" s="169"/>
      <c r="V90" s="45" t="s">
        <v>369</v>
      </c>
      <c r="W90" s="13" t="s">
        <v>2810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119</v>
      </c>
      <c r="AC90" s="95"/>
      <c r="AD90" s="95" t="s">
        <v>2811</v>
      </c>
      <c r="AE90" s="337"/>
      <c r="AF90" s="337"/>
      <c r="AG90" s="337"/>
      <c r="AH90" s="171"/>
      <c r="AI90" s="171"/>
      <c r="AJ90" s="337"/>
      <c r="AK90" s="337"/>
      <c r="AL90" s="337"/>
      <c r="AM90" s="171">
        <v>0.0</v>
      </c>
      <c r="AN90" s="171">
        <v>98242.31</v>
      </c>
      <c r="AO90" s="171">
        <v>105864.77</v>
      </c>
      <c r="AP90" s="171">
        <v>109243.45</v>
      </c>
      <c r="AQ90" s="171">
        <v>106839.47</v>
      </c>
      <c r="AR90" s="171">
        <v>393554.66</v>
      </c>
      <c r="AS90" s="171">
        <v>389651.18</v>
      </c>
      <c r="AT90" s="171">
        <v>402036.27</v>
      </c>
      <c r="AU90" s="171">
        <v>403878.26</v>
      </c>
      <c r="AV90" s="171">
        <v>405479.42</v>
      </c>
      <c r="AW90" s="171">
        <v>102940.98</v>
      </c>
      <c r="AX90" s="171">
        <v>2965.97</v>
      </c>
      <c r="AY90" s="171">
        <v>2983.82</v>
      </c>
      <c r="AZ90" s="171">
        <v>3048.9</v>
      </c>
      <c r="BA90" s="171">
        <v>3049.18</v>
      </c>
      <c r="BB90" s="171">
        <v>-0.56</v>
      </c>
      <c r="BC90" s="171">
        <v>54.93</v>
      </c>
      <c r="BD90" s="171">
        <v>538.77</v>
      </c>
      <c r="BE90" s="171">
        <v>602.03</v>
      </c>
      <c r="BF90" s="171">
        <v>602.03</v>
      </c>
      <c r="BG90" s="171">
        <v>602.03</v>
      </c>
      <c r="BH90" s="171">
        <v>602.03</v>
      </c>
      <c r="BI90" s="339" t="s">
        <v>2566</v>
      </c>
      <c r="BJ90" s="171">
        <v>0.0</v>
      </c>
      <c r="BK90" s="171" t="s">
        <v>2566</v>
      </c>
      <c r="BL90" s="171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  <c r="CI90" s="329"/>
    </row>
    <row r="91" ht="15.75" customHeight="1">
      <c r="A91" s="317" t="s">
        <v>2547</v>
      </c>
      <c r="B91" s="239" t="s">
        <v>2812</v>
      </c>
      <c r="C91" s="331" t="s">
        <v>2813</v>
      </c>
      <c r="D91" s="319" t="s">
        <v>2550</v>
      </c>
      <c r="E91" s="319" t="s">
        <v>29</v>
      </c>
      <c r="F91" s="95" t="s">
        <v>2550</v>
      </c>
      <c r="G91" s="44" t="str">
        <f t="shared" si="1"/>
        <v>Augusto</v>
      </c>
      <c r="H91" s="332" t="s">
        <v>186</v>
      </c>
      <c r="I91" s="46" t="s">
        <v>24</v>
      </c>
      <c r="J91" s="319" t="str">
        <f t="shared" si="2"/>
        <v>Não</v>
      </c>
      <c r="K91" s="338">
        <v>44118.0</v>
      </c>
      <c r="L91" s="338">
        <v>44482.0</v>
      </c>
      <c r="M91" s="95" t="s">
        <v>47</v>
      </c>
      <c r="N91" s="334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2563</v>
      </c>
      <c r="S91" s="338">
        <v>44118.0</v>
      </c>
      <c r="T91" s="169"/>
      <c r="U91" s="169"/>
      <c r="V91" s="45" t="s">
        <v>369</v>
      </c>
      <c r="W91" s="13" t="s">
        <v>2814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119</v>
      </c>
      <c r="AC91" s="95"/>
      <c r="AD91" s="95" t="s">
        <v>2811</v>
      </c>
      <c r="AE91" s="337"/>
      <c r="AF91" s="337"/>
      <c r="AG91" s="337"/>
      <c r="AH91" s="171"/>
      <c r="AI91" s="171"/>
      <c r="AJ91" s="337"/>
      <c r="AK91" s="337"/>
      <c r="AL91" s="337"/>
      <c r="AM91" s="171">
        <v>0.0</v>
      </c>
      <c r="AN91" s="171">
        <v>98847.86</v>
      </c>
      <c r="AO91" s="171">
        <v>102801.87</v>
      </c>
      <c r="AP91" s="171">
        <v>104422.97</v>
      </c>
      <c r="AQ91" s="171">
        <v>103605.01</v>
      </c>
      <c r="AR91" s="171">
        <v>100627.67</v>
      </c>
      <c r="AS91" s="171">
        <v>99788.99</v>
      </c>
      <c r="AT91" s="171">
        <v>103024.54</v>
      </c>
      <c r="AU91" s="171">
        <v>103360.58</v>
      </c>
      <c r="AV91" s="171">
        <v>103664.69</v>
      </c>
      <c r="AW91" s="171">
        <v>870.26</v>
      </c>
      <c r="AX91" s="171">
        <v>670.03</v>
      </c>
      <c r="AY91" s="171">
        <v>670.03</v>
      </c>
      <c r="AZ91" s="171">
        <v>693.98</v>
      </c>
      <c r="BA91" s="171">
        <v>693.98</v>
      </c>
      <c r="BB91" s="171"/>
      <c r="BC91" s="171">
        <v>13.53</v>
      </c>
      <c r="BD91" s="171">
        <v>133.77</v>
      </c>
      <c r="BE91" s="171">
        <v>146.9</v>
      </c>
      <c r="BF91" s="171">
        <v>146.9</v>
      </c>
      <c r="BG91" s="171">
        <v>146.9</v>
      </c>
      <c r="BH91" s="171">
        <v>146.9</v>
      </c>
      <c r="BI91" s="339" t="s">
        <v>2566</v>
      </c>
      <c r="BJ91" s="171">
        <v>0.0</v>
      </c>
      <c r="BK91" s="171" t="s">
        <v>2566</v>
      </c>
      <c r="BL91" s="171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  <c r="CI91" s="329"/>
    </row>
    <row r="92" ht="15.75" customHeight="1">
      <c r="A92" s="317" t="s">
        <v>2547</v>
      </c>
      <c r="B92" s="239" t="s">
        <v>2815</v>
      </c>
      <c r="C92" s="331" t="s">
        <v>2816</v>
      </c>
      <c r="D92" s="319" t="s">
        <v>18</v>
      </c>
      <c r="E92" s="319" t="s">
        <v>176</v>
      </c>
      <c r="F92" s="95" t="s">
        <v>177</v>
      </c>
      <c r="G92" s="44" t="str">
        <f t="shared" si="1"/>
        <v>Augusto</v>
      </c>
      <c r="H92" s="332" t="s">
        <v>186</v>
      </c>
      <c r="I92" s="46" t="s">
        <v>24</v>
      </c>
      <c r="J92" s="319" t="str">
        <f t="shared" si="2"/>
        <v>Não</v>
      </c>
      <c r="K92" s="338">
        <v>44328.0</v>
      </c>
      <c r="L92" s="338">
        <v>44701.0</v>
      </c>
      <c r="M92" s="95" t="s">
        <v>47</v>
      </c>
      <c r="N92" s="334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2563</v>
      </c>
      <c r="S92" s="338">
        <v>44328.0</v>
      </c>
      <c r="T92" s="50"/>
      <c r="U92" s="50"/>
      <c r="V92" s="45" t="s">
        <v>108</v>
      </c>
      <c r="W92" s="13" t="s">
        <v>2817</v>
      </c>
      <c r="X92" s="164" t="s">
        <v>180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119</v>
      </c>
      <c r="AC92" s="95"/>
      <c r="AD92" s="95" t="s">
        <v>2609</v>
      </c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71"/>
      <c r="AS92" s="171"/>
      <c r="AT92" s="171"/>
      <c r="AU92" s="171"/>
      <c r="AV92" s="171"/>
      <c r="AW92" s="171">
        <v>601379.44</v>
      </c>
      <c r="AX92" s="171">
        <v>320167.31</v>
      </c>
      <c r="AY92" s="171">
        <v>316991.36</v>
      </c>
      <c r="AZ92" s="171">
        <v>240895.03</v>
      </c>
      <c r="BA92" s="171">
        <v>145454.98</v>
      </c>
      <c r="BB92" s="171">
        <v>142365.03</v>
      </c>
      <c r="BC92" s="171">
        <v>95266.49</v>
      </c>
      <c r="BD92" s="171">
        <v>73406.35</v>
      </c>
      <c r="BE92" s="171">
        <v>76523.59</v>
      </c>
      <c r="BF92" s="171">
        <v>73024.67</v>
      </c>
      <c r="BG92" s="171">
        <v>58334.69</v>
      </c>
      <c r="BH92" s="171">
        <v>55977.49</v>
      </c>
      <c r="BI92" s="171" t="s">
        <v>2566</v>
      </c>
      <c r="BJ92" s="171">
        <v>0.0</v>
      </c>
      <c r="BK92" s="171" t="s">
        <v>2566</v>
      </c>
      <c r="BL92" s="171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  <c r="CI92" s="329"/>
    </row>
    <row r="93" ht="15.75" customHeight="1">
      <c r="A93" s="317" t="s">
        <v>2547</v>
      </c>
      <c r="B93" s="239" t="s">
        <v>2818</v>
      </c>
      <c r="C93" s="331" t="s">
        <v>2819</v>
      </c>
      <c r="D93" s="319" t="s">
        <v>2659</v>
      </c>
      <c r="E93" s="319" t="s">
        <v>29</v>
      </c>
      <c r="F93" s="95" t="s">
        <v>2659</v>
      </c>
      <c r="G93" s="44" t="str">
        <f t="shared" si="1"/>
        <v>Breno</v>
      </c>
      <c r="H93" s="332" t="s">
        <v>147</v>
      </c>
      <c r="I93" s="46" t="s">
        <v>24</v>
      </c>
      <c r="J93" s="319" t="str">
        <f t="shared" si="2"/>
        <v>Sim</v>
      </c>
      <c r="K93" s="338">
        <v>43384.0</v>
      </c>
      <c r="L93" s="95"/>
      <c r="M93" s="95" t="s">
        <v>190</v>
      </c>
      <c r="N93" s="334">
        <v>0.01</v>
      </c>
      <c r="O93" s="319" t="s">
        <v>2552</v>
      </c>
      <c r="P93" s="322">
        <v>0.0</v>
      </c>
      <c r="Q93" s="95" t="str">
        <f>IFERROR(VLOOKUP(F93,'Cadastro de assessores'!A:B,2,FALSE),"Não Cadastrado")</f>
        <v>22400</v>
      </c>
      <c r="R93" s="95" t="s">
        <v>107</v>
      </c>
      <c r="S93" s="338">
        <v>43384.0</v>
      </c>
      <c r="T93" s="336" t="s">
        <v>2820</v>
      </c>
      <c r="U93" s="169"/>
      <c r="V93" s="45" t="s">
        <v>108</v>
      </c>
      <c r="W93" s="13" t="s">
        <v>2821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119</v>
      </c>
      <c r="AC93" s="95"/>
      <c r="AD93" s="95" t="s">
        <v>2602</v>
      </c>
      <c r="AE93" s="171">
        <v>205068.75</v>
      </c>
      <c r="AF93" s="171">
        <v>194637.58</v>
      </c>
      <c r="AG93" s="171">
        <v>149672.14</v>
      </c>
      <c r="AH93" s="171">
        <v>173036.8</v>
      </c>
      <c r="AI93" s="171">
        <v>181072.38</v>
      </c>
      <c r="AJ93" s="171">
        <v>191574.28</v>
      </c>
      <c r="AK93" s="171">
        <v>206479.45</v>
      </c>
      <c r="AL93" s="171">
        <v>196276.75</v>
      </c>
      <c r="AM93" s="171">
        <v>188459.12</v>
      </c>
      <c r="AN93" s="171">
        <v>195882.41</v>
      </c>
      <c r="AO93" s="171">
        <v>223676.02</v>
      </c>
      <c r="AP93" s="171">
        <v>235669.93</v>
      </c>
      <c r="AQ93" s="171">
        <v>232670.34</v>
      </c>
      <c r="AR93" s="171">
        <v>219967.46</v>
      </c>
      <c r="AS93" s="171">
        <v>213179.34</v>
      </c>
      <c r="AT93" s="171">
        <v>225469.26</v>
      </c>
      <c r="AU93" s="171">
        <v>234844.84</v>
      </c>
      <c r="AV93" s="171">
        <v>236584.69</v>
      </c>
      <c r="AW93" s="171">
        <v>246589.27</v>
      </c>
      <c r="AX93" s="171">
        <v>243281.18</v>
      </c>
      <c r="AY93" s="171">
        <v>236355.29</v>
      </c>
      <c r="AZ93" s="171">
        <v>226144.2</v>
      </c>
      <c r="BA93" s="171">
        <v>215176.48</v>
      </c>
      <c r="BB93" s="171">
        <v>202879.39</v>
      </c>
      <c r="BC93" s="171">
        <v>197165.96</v>
      </c>
      <c r="BD93" s="171">
        <v>199309.59</v>
      </c>
      <c r="BE93" s="171">
        <v>210785.69</v>
      </c>
      <c r="BF93" s="171">
        <v>213489.51</v>
      </c>
      <c r="BG93" s="171">
        <v>229383.99</v>
      </c>
      <c r="BH93" s="171">
        <v>219018.86</v>
      </c>
      <c r="BI93" s="171">
        <v>214069.43</v>
      </c>
      <c r="BJ93" s="171">
        <v>204305.98</v>
      </c>
      <c r="BK93" s="171">
        <v>214189.2</v>
      </c>
      <c r="BL93" s="171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  <c r="CI93" s="329"/>
    </row>
    <row r="94" ht="15.75" customHeight="1">
      <c r="A94" s="317" t="s">
        <v>2547</v>
      </c>
      <c r="B94" s="42" t="s">
        <v>2822</v>
      </c>
      <c r="C94" s="366" t="s">
        <v>2823</v>
      </c>
      <c r="D94" s="319" t="s">
        <v>18</v>
      </c>
      <c r="E94" s="319" t="s">
        <v>176</v>
      </c>
      <c r="F94" s="164" t="s">
        <v>197</v>
      </c>
      <c r="G94" s="44" t="str">
        <f t="shared" si="1"/>
        <v>Augusto</v>
      </c>
      <c r="H94" s="332" t="s">
        <v>186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389</v>
      </c>
      <c r="N94" s="334">
        <v>0.003</v>
      </c>
      <c r="O94" s="319" t="s">
        <v>2552</v>
      </c>
      <c r="P94" s="322">
        <v>0.0</v>
      </c>
      <c r="Q94" s="164" t="str">
        <f>IFERROR(VLOOKUP(F94,'Cadastro de assessores'!A:B,2,FALSE),"Não Cadastrado")</f>
        <v>28411</v>
      </c>
      <c r="R94" s="95" t="s">
        <v>2563</v>
      </c>
      <c r="S94" s="72">
        <v>44393.0</v>
      </c>
      <c r="T94" s="50"/>
      <c r="U94" s="50"/>
      <c r="V94" s="45" t="s">
        <v>369</v>
      </c>
      <c r="W94" s="5" t="s">
        <v>2824</v>
      </c>
      <c r="X94" s="164" t="s">
        <v>180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2609</v>
      </c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71"/>
      <c r="AR94" s="171"/>
      <c r="AS94" s="171"/>
      <c r="AT94" s="171"/>
      <c r="AU94" s="171"/>
      <c r="AV94" s="171"/>
      <c r="AW94" s="171"/>
      <c r="AX94" s="191"/>
      <c r="AY94" s="171">
        <v>689777.47</v>
      </c>
      <c r="AZ94" s="171">
        <v>579324.72</v>
      </c>
      <c r="BA94" s="171">
        <v>537118.57</v>
      </c>
      <c r="BB94" s="171">
        <v>285605.32</v>
      </c>
      <c r="BC94" s="171"/>
      <c r="BD94" s="171"/>
      <c r="BE94" s="171"/>
      <c r="BF94" s="171">
        <v>0.0</v>
      </c>
      <c r="BG94" s="171">
        <v>0.0</v>
      </c>
      <c r="BH94" s="171">
        <v>0.0</v>
      </c>
      <c r="BI94" s="171" t="s">
        <v>2566</v>
      </c>
      <c r="BJ94" s="171">
        <v>0.0</v>
      </c>
      <c r="BK94" s="171" t="s">
        <v>2566</v>
      </c>
      <c r="BL94" s="171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  <c r="CI94" s="329"/>
    </row>
    <row r="95" ht="15.75" customHeight="1">
      <c r="A95" s="317" t="s">
        <v>2547</v>
      </c>
      <c r="B95" s="235" t="s">
        <v>2825</v>
      </c>
      <c r="C95" s="331" t="s">
        <v>2826</v>
      </c>
      <c r="D95" s="319" t="s">
        <v>18</v>
      </c>
      <c r="E95" s="319" t="s">
        <v>29</v>
      </c>
      <c r="F95" s="324" t="s">
        <v>128</v>
      </c>
      <c r="G95" s="44" t="str">
        <f t="shared" si="1"/>
        <v>Breno</v>
      </c>
      <c r="H95" s="332" t="s">
        <v>107</v>
      </c>
      <c r="I95" s="46" t="s">
        <v>24</v>
      </c>
      <c r="J95" s="319" t="str">
        <f t="shared" si="2"/>
        <v>Não</v>
      </c>
      <c r="K95" s="320">
        <v>43713.0</v>
      </c>
      <c r="L95" s="333"/>
      <c r="M95" s="95" t="s">
        <v>79</v>
      </c>
      <c r="N95" s="321">
        <v>0.01</v>
      </c>
      <c r="O95" s="319" t="s">
        <v>2552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107</v>
      </c>
      <c r="S95" s="320">
        <v>43713.0</v>
      </c>
      <c r="T95" s="169"/>
      <c r="U95" s="336" t="s">
        <v>2827</v>
      </c>
      <c r="V95" s="45" t="s">
        <v>108</v>
      </c>
      <c r="W95" s="13" t="s">
        <v>2828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119</v>
      </c>
      <c r="AC95" s="95"/>
      <c r="AD95" s="95" t="s">
        <v>2591</v>
      </c>
      <c r="AE95" s="171">
        <v>164108.33</v>
      </c>
      <c r="AF95" s="171">
        <v>161984.91</v>
      </c>
      <c r="AG95" s="171">
        <v>157060.91</v>
      </c>
      <c r="AH95" s="171">
        <v>158131.67</v>
      </c>
      <c r="AI95" s="171">
        <v>159250.76</v>
      </c>
      <c r="AJ95" s="171">
        <v>209349.19</v>
      </c>
      <c r="AK95" s="171">
        <v>212035.4</v>
      </c>
      <c r="AL95" s="171">
        <v>209328.36</v>
      </c>
      <c r="AM95" s="171">
        <v>206677.93</v>
      </c>
      <c r="AN95" s="171">
        <v>206164.36</v>
      </c>
      <c r="AO95" s="171">
        <v>212425.61</v>
      </c>
      <c r="AP95" s="171">
        <v>214945.96</v>
      </c>
      <c r="AQ95" s="171">
        <v>213292.15</v>
      </c>
      <c r="AR95" s="171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1">
        <v>213358.23</v>
      </c>
      <c r="AY95" s="171">
        <v>212709.41</v>
      </c>
      <c r="AZ95" s="171">
        <v>211090.65</v>
      </c>
      <c r="BA95" s="171">
        <v>185184.42</v>
      </c>
      <c r="BB95" s="171">
        <v>207080.61</v>
      </c>
      <c r="BC95" s="171">
        <v>207069.91</v>
      </c>
      <c r="BD95" s="171">
        <v>208926.35</v>
      </c>
      <c r="BE95" s="171">
        <v>211790.32</v>
      </c>
      <c r="BF95" s="171">
        <v>213724.62</v>
      </c>
      <c r="BG95" s="171">
        <v>218766.97</v>
      </c>
      <c r="BH95" s="171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  <c r="CI95" s="329"/>
    </row>
    <row r="96" ht="15.75" customHeight="1">
      <c r="A96" s="317" t="s">
        <v>2547</v>
      </c>
      <c r="B96" s="235" t="s">
        <v>2829</v>
      </c>
      <c r="C96" s="219" t="s">
        <v>2830</v>
      </c>
      <c r="D96" s="319" t="s">
        <v>18</v>
      </c>
      <c r="E96" s="319" t="s">
        <v>176</v>
      </c>
      <c r="F96" s="95" t="s">
        <v>177</v>
      </c>
      <c r="G96" s="44" t="str">
        <f t="shared" si="1"/>
        <v>Augusto</v>
      </c>
      <c r="H96" s="165" t="s">
        <v>147</v>
      </c>
      <c r="I96" s="51" t="s">
        <v>219</v>
      </c>
      <c r="J96" s="319" t="str">
        <f t="shared" si="2"/>
        <v>Não</v>
      </c>
      <c r="K96" s="320">
        <v>44838.0</v>
      </c>
      <c r="L96" s="95"/>
      <c r="M96" s="95" t="s">
        <v>55</v>
      </c>
      <c r="N96" s="334">
        <v>0.01</v>
      </c>
      <c r="O96" s="319" t="s">
        <v>2552</v>
      </c>
      <c r="P96" s="322">
        <v>0.0</v>
      </c>
      <c r="Q96" s="95" t="str">
        <f>IFERROR(VLOOKUP(F96,'Cadastro de assessores'!A:B,2,FALSE),"Não Cadastrado")</f>
        <v>250</v>
      </c>
      <c r="R96" s="319" t="s">
        <v>107</v>
      </c>
      <c r="S96" s="320">
        <v>44831.0</v>
      </c>
      <c r="T96" s="74"/>
      <c r="U96" s="169" t="s">
        <v>2831</v>
      </c>
      <c r="V96" s="45" t="s">
        <v>108</v>
      </c>
      <c r="W96" s="13" t="s">
        <v>2832</v>
      </c>
      <c r="X96" s="5" t="s">
        <v>180</v>
      </c>
      <c r="Y96" s="51" t="str">
        <f t="shared" si="3"/>
        <v>Ativo</v>
      </c>
      <c r="Z96" s="325"/>
      <c r="AA96" s="95" t="str">
        <f t="shared" si="4"/>
        <v/>
      </c>
      <c r="AB96" s="13" t="s">
        <v>119</v>
      </c>
      <c r="AC96" s="95"/>
      <c r="AD96" s="95"/>
      <c r="AE96" s="337"/>
      <c r="AF96" s="337"/>
      <c r="AG96" s="337"/>
      <c r="AH96" s="337"/>
      <c r="AI96" s="337"/>
      <c r="AJ96" s="337"/>
      <c r="AK96" s="337"/>
      <c r="AL96" s="337"/>
      <c r="AM96" s="337"/>
      <c r="AN96" s="337"/>
      <c r="AO96" s="337"/>
      <c r="AP96" s="337"/>
      <c r="AQ96" s="337"/>
      <c r="AR96" s="171"/>
      <c r="AS96" s="326"/>
      <c r="AT96" s="326"/>
      <c r="AU96" s="326"/>
      <c r="AV96" s="326"/>
      <c r="AW96" s="326"/>
      <c r="AX96" s="171"/>
      <c r="AY96" s="171"/>
      <c r="AZ96" s="171"/>
      <c r="BA96" s="171"/>
      <c r="BB96" s="171"/>
      <c r="BC96" s="171"/>
      <c r="BD96" s="171"/>
      <c r="BE96" s="171"/>
      <c r="BF96" s="171"/>
      <c r="BG96" s="171"/>
      <c r="BH96" s="171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  <c r="CI96" s="329"/>
    </row>
    <row r="97" ht="15.75" customHeight="1">
      <c r="A97" s="317" t="s">
        <v>2547</v>
      </c>
      <c r="B97" s="235" t="s">
        <v>743</v>
      </c>
      <c r="C97" s="219" t="s">
        <v>2833</v>
      </c>
      <c r="D97" s="319" t="s">
        <v>18</v>
      </c>
      <c r="E97" s="319" t="s">
        <v>176</v>
      </c>
      <c r="F97" s="319" t="s">
        <v>2634</v>
      </c>
      <c r="G97" s="44" t="str">
        <f t="shared" si="1"/>
        <v>Augusto</v>
      </c>
      <c r="H97" s="165" t="s">
        <v>147</v>
      </c>
      <c r="I97" s="51" t="s">
        <v>219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4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107</v>
      </c>
      <c r="S97" s="320">
        <v>44299.0</v>
      </c>
      <c r="T97" s="74"/>
      <c r="U97" s="169" t="s">
        <v>2834</v>
      </c>
      <c r="V97" s="45" t="s">
        <v>108</v>
      </c>
      <c r="W97" s="13" t="s">
        <v>745</v>
      </c>
      <c r="X97" s="164" t="s">
        <v>180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119</v>
      </c>
      <c r="AC97" s="95"/>
      <c r="AD97" s="95" t="s">
        <v>2609</v>
      </c>
      <c r="AE97" s="337"/>
      <c r="AF97" s="337"/>
      <c r="AG97" s="337"/>
      <c r="AH97" s="337"/>
      <c r="AI97" s="337"/>
      <c r="AJ97" s="337"/>
      <c r="AK97" s="337"/>
      <c r="AL97" s="337"/>
      <c r="AM97" s="337"/>
      <c r="AN97" s="337"/>
      <c r="AO97" s="337"/>
      <c r="AP97" s="337"/>
      <c r="AQ97" s="337"/>
      <c r="AR97" s="171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1">
        <v>365882.77</v>
      </c>
      <c r="AY97" s="171">
        <v>363978.78</v>
      </c>
      <c r="AZ97" s="171">
        <v>358346.73</v>
      </c>
      <c r="BA97" s="171">
        <v>320440.45</v>
      </c>
      <c r="BB97" s="171">
        <v>293354.03</v>
      </c>
      <c r="BC97" s="171">
        <v>241357.78</v>
      </c>
      <c r="BD97" s="171">
        <v>242344.82</v>
      </c>
      <c r="BE97" s="171">
        <v>245494.33</v>
      </c>
      <c r="BF97" s="171">
        <v>247016.97</v>
      </c>
      <c r="BG97" s="171">
        <v>256557.7</v>
      </c>
      <c r="BH97" s="171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  <c r="CI97" s="329"/>
    </row>
    <row r="98" ht="15.75" customHeight="1">
      <c r="A98" s="317" t="s">
        <v>2547</v>
      </c>
      <c r="B98" s="235" t="s">
        <v>2835</v>
      </c>
      <c r="C98" s="331" t="s">
        <v>2836</v>
      </c>
      <c r="D98" s="319" t="s">
        <v>2550</v>
      </c>
      <c r="E98" s="319" t="s">
        <v>29</v>
      </c>
      <c r="F98" s="319" t="s">
        <v>2551</v>
      </c>
      <c r="G98" s="44" t="str">
        <f t="shared" si="1"/>
        <v>Augusto</v>
      </c>
      <c r="H98" s="165" t="s">
        <v>147</v>
      </c>
      <c r="I98" s="51" t="s">
        <v>219</v>
      </c>
      <c r="J98" s="319" t="str">
        <f t="shared" si="2"/>
        <v>Não</v>
      </c>
      <c r="K98" s="320">
        <v>43895.0</v>
      </c>
      <c r="L98" s="95"/>
      <c r="M98" s="95" t="s">
        <v>79</v>
      </c>
      <c r="N98" s="334">
        <v>0.012</v>
      </c>
      <c r="O98" s="319" t="s">
        <v>2552</v>
      </c>
      <c r="P98" s="322">
        <v>0.0</v>
      </c>
      <c r="Q98" s="319" t="str">
        <f>IFERROR(VLOOKUP(F98,'Cadastro de assessores'!A:B,2,FALSE),"Não Cadastrado")</f>
        <v>17573</v>
      </c>
      <c r="R98" s="319" t="s">
        <v>107</v>
      </c>
      <c r="S98" s="320">
        <v>43894.0</v>
      </c>
      <c r="T98" s="169"/>
      <c r="U98" s="169" t="s">
        <v>2837</v>
      </c>
      <c r="V98" s="45" t="s">
        <v>108</v>
      </c>
      <c r="W98" s="13" t="s">
        <v>2838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119</v>
      </c>
      <c r="AC98" s="95"/>
      <c r="AD98" s="95" t="s">
        <v>2602</v>
      </c>
      <c r="AE98" s="171">
        <v>0.0</v>
      </c>
      <c r="AF98" s="171">
        <v>0.0</v>
      </c>
      <c r="AG98" s="171">
        <v>94729.27</v>
      </c>
      <c r="AH98" s="171">
        <v>96106.67</v>
      </c>
      <c r="AI98" s="171">
        <v>97058.93</v>
      </c>
      <c r="AJ98" s="171">
        <v>97294.82</v>
      </c>
      <c r="AK98" s="171">
        <v>98132.87</v>
      </c>
      <c r="AL98" s="171">
        <v>97107.15</v>
      </c>
      <c r="AM98" s="171">
        <v>95774.77</v>
      </c>
      <c r="AN98" s="171">
        <v>95565.18</v>
      </c>
      <c r="AO98" s="171">
        <v>98272.39</v>
      </c>
      <c r="AP98" s="171">
        <v>98872.88</v>
      </c>
      <c r="AQ98" s="171">
        <v>97974.71</v>
      </c>
      <c r="AR98" s="171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1">
        <v>96897.84</v>
      </c>
      <c r="AY98" s="171">
        <v>96742.59</v>
      </c>
      <c r="AZ98" s="171">
        <v>95967.92</v>
      </c>
      <c r="BA98" s="171">
        <v>95292.46</v>
      </c>
      <c r="BB98" s="171">
        <v>94239.23</v>
      </c>
      <c r="BC98" s="171">
        <v>94098.53</v>
      </c>
      <c r="BD98" s="171">
        <v>94532.12</v>
      </c>
      <c r="BE98" s="171">
        <v>96062.78</v>
      </c>
      <c r="BF98" s="171">
        <v>96727.4</v>
      </c>
      <c r="BG98" s="171">
        <v>98642.63</v>
      </c>
      <c r="BH98" s="171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  <c r="CI98" s="329"/>
    </row>
    <row r="99" ht="15.75" customHeight="1">
      <c r="A99" s="317" t="s">
        <v>2547</v>
      </c>
      <c r="B99" s="235" t="s">
        <v>2839</v>
      </c>
      <c r="C99" s="331" t="s">
        <v>2840</v>
      </c>
      <c r="D99" s="319" t="s">
        <v>2550</v>
      </c>
      <c r="E99" s="319" t="s">
        <v>29</v>
      </c>
      <c r="F99" s="95" t="s">
        <v>2562</v>
      </c>
      <c r="G99" s="44" t="str">
        <f t="shared" si="1"/>
        <v>Augusto</v>
      </c>
      <c r="H99" s="332" t="s">
        <v>186</v>
      </c>
      <c r="I99" s="46" t="s">
        <v>24</v>
      </c>
      <c r="J99" s="319" t="str">
        <f t="shared" si="2"/>
        <v>Não</v>
      </c>
      <c r="K99" s="333">
        <v>43913.0</v>
      </c>
      <c r="L99" s="333">
        <v>44086.0</v>
      </c>
      <c r="M99" s="95" t="s">
        <v>47</v>
      </c>
      <c r="N99" s="334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2563</v>
      </c>
      <c r="S99" s="333">
        <v>43913.0</v>
      </c>
      <c r="T99" s="169"/>
      <c r="U99" s="169"/>
      <c r="V99" s="45" t="s">
        <v>108</v>
      </c>
      <c r="W99" s="13" t="s">
        <v>2841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2842</v>
      </c>
      <c r="AE99" s="171">
        <v>0.0</v>
      </c>
      <c r="AF99" s="171">
        <v>0.0</v>
      </c>
      <c r="AG99" s="171">
        <v>140065.04</v>
      </c>
      <c r="AH99" s="171">
        <v>140445.03</v>
      </c>
      <c r="AI99" s="171">
        <v>40501.2</v>
      </c>
      <c r="AJ99" s="171">
        <v>40078.02</v>
      </c>
      <c r="AK99" s="171">
        <v>40024.08</v>
      </c>
      <c r="AL99" s="171">
        <v>0.0</v>
      </c>
      <c r="AM99" s="337"/>
      <c r="AN99" s="337"/>
      <c r="AO99" s="337"/>
      <c r="AP99" s="337"/>
      <c r="AQ99" s="337"/>
      <c r="AR99" s="171"/>
      <c r="AS99" s="171"/>
      <c r="AT99" s="171"/>
      <c r="AU99" s="171"/>
      <c r="AV99" s="171"/>
      <c r="AW99" s="171"/>
      <c r="AX99" s="337"/>
      <c r="AY99" s="337"/>
      <c r="AZ99" s="337"/>
      <c r="BA99" s="171"/>
      <c r="BB99" s="171"/>
      <c r="BC99" s="171"/>
      <c r="BD99" s="171"/>
      <c r="BE99" s="171"/>
      <c r="BF99" s="171">
        <v>0.0</v>
      </c>
      <c r="BG99" s="171">
        <v>0.0</v>
      </c>
      <c r="BH99" s="171">
        <v>0.0</v>
      </c>
      <c r="BI99" s="171" t="s">
        <v>2566</v>
      </c>
      <c r="BJ99" s="171">
        <v>0.0</v>
      </c>
      <c r="BK99" s="171" t="s">
        <v>2566</v>
      </c>
      <c r="BL99" s="171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  <c r="CI99" s="329"/>
    </row>
    <row r="100" ht="15.75" customHeight="1">
      <c r="A100" s="317" t="s">
        <v>2547</v>
      </c>
      <c r="B100" s="235" t="s">
        <v>2843</v>
      </c>
      <c r="C100" s="331" t="s">
        <v>2844</v>
      </c>
      <c r="D100" s="319" t="s">
        <v>18</v>
      </c>
      <c r="E100" s="319" t="s">
        <v>29</v>
      </c>
      <c r="F100" s="319" t="s">
        <v>168</v>
      </c>
      <c r="G100" s="44" t="str">
        <f t="shared" si="1"/>
        <v>Augusto</v>
      </c>
      <c r="H100" s="165" t="s">
        <v>147</v>
      </c>
      <c r="I100" s="51" t="s">
        <v>219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4">
        <v>0.015</v>
      </c>
      <c r="O100" s="319" t="s">
        <v>2552</v>
      </c>
      <c r="P100" s="322">
        <v>0.0</v>
      </c>
      <c r="Q100" s="319">
        <f>IFERROR(VLOOKUP(F100,'Cadastro de assessores'!A:B,2,FALSE),"Não Cadastrado")</f>
        <v>12344</v>
      </c>
      <c r="R100" s="319" t="s">
        <v>107</v>
      </c>
      <c r="S100" s="320">
        <v>43860.0</v>
      </c>
      <c r="T100" s="63"/>
      <c r="U100" s="336" t="s">
        <v>2845</v>
      </c>
      <c r="V100" s="45" t="s">
        <v>108</v>
      </c>
      <c r="W100" s="13" t="s">
        <v>2846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110</v>
      </c>
      <c r="AC100" s="95"/>
      <c r="AD100" s="95" t="s">
        <v>2602</v>
      </c>
      <c r="AE100" s="171">
        <v>477655.85</v>
      </c>
      <c r="AF100" s="171">
        <v>901999.65</v>
      </c>
      <c r="AG100" s="171">
        <v>1084083.46</v>
      </c>
      <c r="AH100" s="171">
        <v>1123493.82</v>
      </c>
      <c r="AI100" s="171">
        <v>1167852.25</v>
      </c>
      <c r="AJ100" s="171">
        <v>1191560.46</v>
      </c>
      <c r="AK100" s="171">
        <v>1224465.15</v>
      </c>
      <c r="AL100" s="171">
        <v>1239269.07</v>
      </c>
      <c r="AM100" s="171">
        <v>1216818.31</v>
      </c>
      <c r="AN100" s="171">
        <v>1222115.06</v>
      </c>
      <c r="AO100" s="171">
        <v>1309981.9</v>
      </c>
      <c r="AP100" s="171">
        <v>1330814.63</v>
      </c>
      <c r="AQ100" s="171">
        <v>1316285.25</v>
      </c>
      <c r="AR100" s="171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1">
        <v>1464236.69</v>
      </c>
      <c r="AY100" s="171">
        <v>1450358.97</v>
      </c>
      <c r="AZ100" s="171">
        <v>1423457.63</v>
      </c>
      <c r="BA100" s="171">
        <v>1401137.76</v>
      </c>
      <c r="BB100" s="171">
        <v>1369200.63</v>
      </c>
      <c r="BC100" s="171">
        <v>1356644.13</v>
      </c>
      <c r="BD100" s="171">
        <v>1357575.43</v>
      </c>
      <c r="BE100" s="171">
        <v>1397558.87</v>
      </c>
      <c r="BF100" s="171">
        <v>1406596.64</v>
      </c>
      <c r="BG100" s="171">
        <v>1458843.57</v>
      </c>
      <c r="BH100" s="171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  <c r="CI100" s="329"/>
    </row>
    <row r="101" ht="15.75" customHeight="1">
      <c r="A101" s="317" t="s">
        <v>2547</v>
      </c>
      <c r="B101" s="156" t="s">
        <v>767</v>
      </c>
      <c r="C101" s="330" t="s">
        <v>2847</v>
      </c>
      <c r="D101" s="319" t="s">
        <v>18</v>
      </c>
      <c r="E101" s="319" t="s">
        <v>176</v>
      </c>
      <c r="F101" s="319" t="s">
        <v>177</v>
      </c>
      <c r="G101" s="44" t="str">
        <f t="shared" si="1"/>
        <v>Augusto</v>
      </c>
      <c r="H101" s="165" t="s">
        <v>147</v>
      </c>
      <c r="I101" s="51" t="s">
        <v>219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107</v>
      </c>
      <c r="S101" s="320">
        <v>44321.0</v>
      </c>
      <c r="T101" s="50"/>
      <c r="U101" s="50"/>
      <c r="V101" s="45" t="s">
        <v>108</v>
      </c>
      <c r="W101" s="11" t="s">
        <v>769</v>
      </c>
      <c r="X101" s="164" t="s">
        <v>180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110</v>
      </c>
      <c r="AC101" s="95"/>
      <c r="AD101" s="95" t="s">
        <v>2609</v>
      </c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71"/>
      <c r="AS101" s="171"/>
      <c r="AT101" s="171"/>
      <c r="AU101" s="171"/>
      <c r="AV101" s="171"/>
      <c r="AW101" s="171">
        <v>3181234.05</v>
      </c>
      <c r="AX101" s="171">
        <v>4116558.03</v>
      </c>
      <c r="AY101" s="171">
        <v>4037929.14</v>
      </c>
      <c r="AZ101" s="171">
        <v>3926907.13</v>
      </c>
      <c r="BA101" s="171">
        <v>3771191.19</v>
      </c>
      <c r="BB101" s="171">
        <v>3673324.69</v>
      </c>
      <c r="BC101" s="171">
        <v>3593906.28</v>
      </c>
      <c r="BD101" s="171">
        <v>3568909.81</v>
      </c>
      <c r="BE101" s="171">
        <v>3614577.1</v>
      </c>
      <c r="BF101" s="171">
        <v>3600045.46</v>
      </c>
      <c r="BG101" s="171">
        <v>3719991.01</v>
      </c>
      <c r="BH101" s="171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  <c r="CI101" s="329"/>
    </row>
    <row r="102" ht="15.0" customHeight="1">
      <c r="A102" s="317" t="s">
        <v>2547</v>
      </c>
      <c r="B102" s="42" t="s">
        <v>771</v>
      </c>
      <c r="C102" s="45">
        <v>323749.0</v>
      </c>
      <c r="D102" s="319" t="s">
        <v>18</v>
      </c>
      <c r="E102" s="319" t="s">
        <v>176</v>
      </c>
      <c r="F102" s="95" t="s">
        <v>197</v>
      </c>
      <c r="G102" s="44" t="str">
        <f t="shared" si="1"/>
        <v>Augusto</v>
      </c>
      <c r="H102" s="165" t="s">
        <v>107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55</v>
      </c>
      <c r="N102" s="334">
        <v>0.007</v>
      </c>
      <c r="O102" s="319" t="s">
        <v>2552</v>
      </c>
      <c r="P102" s="322">
        <v>0.0</v>
      </c>
      <c r="Q102" s="319" t="str">
        <f>IFERROR(VLOOKUP(F102,'Cadastro de assessores'!A:B,2,FALSE),"Não Cadastrado")</f>
        <v>28411</v>
      </c>
      <c r="R102" s="319" t="s">
        <v>107</v>
      </c>
      <c r="S102" s="72">
        <v>44586.0</v>
      </c>
      <c r="T102" s="372"/>
      <c r="U102" s="372"/>
      <c r="V102" s="45" t="s">
        <v>108</v>
      </c>
      <c r="W102" s="5" t="s">
        <v>773</v>
      </c>
      <c r="X102" s="164" t="s">
        <v>180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119</v>
      </c>
      <c r="AC102" s="95"/>
      <c r="AD102" s="95" t="s">
        <v>2609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1"/>
      <c r="AS102" s="171"/>
      <c r="AT102" s="171"/>
      <c r="AU102" s="171"/>
      <c r="AV102" s="171"/>
      <c r="AW102" s="337"/>
      <c r="AX102" s="337"/>
      <c r="AY102" s="337"/>
      <c r="AZ102" s="171"/>
      <c r="BA102" s="171"/>
      <c r="BB102" s="171"/>
      <c r="BC102" s="171"/>
      <c r="BD102" s="41"/>
      <c r="BE102" s="171">
        <v>153835.81</v>
      </c>
      <c r="BF102" s="171">
        <v>154743.82</v>
      </c>
      <c r="BG102" s="171">
        <v>157483.16</v>
      </c>
      <c r="BH102" s="171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  <c r="CI102" s="329"/>
    </row>
    <row r="103" ht="15.75" customHeight="1">
      <c r="A103" s="317" t="s">
        <v>2547</v>
      </c>
      <c r="B103" s="61" t="s">
        <v>778</v>
      </c>
      <c r="C103" s="45">
        <v>6496617.0</v>
      </c>
      <c r="D103" s="319" t="s">
        <v>18</v>
      </c>
      <c r="E103" s="319" t="s">
        <v>176</v>
      </c>
      <c r="F103" s="93" t="s">
        <v>177</v>
      </c>
      <c r="G103" s="44" t="str">
        <f t="shared" si="1"/>
        <v>Augusto</v>
      </c>
      <c r="H103" s="332" t="s">
        <v>186</v>
      </c>
      <c r="I103" s="46" t="s">
        <v>24</v>
      </c>
      <c r="J103" s="319" t="str">
        <f t="shared" si="2"/>
        <v>Não</v>
      </c>
      <c r="K103" s="333">
        <v>44715.0</v>
      </c>
      <c r="L103" s="333">
        <v>45061.0</v>
      </c>
      <c r="M103" s="95" t="s">
        <v>79</v>
      </c>
      <c r="N103" s="334">
        <v>0.012</v>
      </c>
      <c r="O103" s="319" t="s">
        <v>2552</v>
      </c>
      <c r="P103" s="322">
        <v>0.0</v>
      </c>
      <c r="Q103" s="319">
        <v>250.0</v>
      </c>
      <c r="R103" s="319" t="s">
        <v>107</v>
      </c>
      <c r="S103" s="72">
        <v>44711.0</v>
      </c>
      <c r="T103" s="169"/>
      <c r="U103" s="169"/>
      <c r="V103" s="45" t="s">
        <v>108</v>
      </c>
      <c r="W103" s="5" t="s">
        <v>781</v>
      </c>
      <c r="X103" s="45" t="s">
        <v>180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2629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1"/>
      <c r="AS103" s="171"/>
      <c r="AT103" s="171"/>
      <c r="AU103" s="171"/>
      <c r="AV103" s="171"/>
      <c r="AW103" s="337"/>
      <c r="AX103" s="337"/>
      <c r="AY103" s="337"/>
      <c r="AZ103" s="171"/>
      <c r="BA103" s="171"/>
      <c r="BB103" s="171"/>
      <c r="BC103" s="171"/>
      <c r="BD103" s="41"/>
      <c r="BE103" s="171"/>
      <c r="BF103" s="171"/>
      <c r="BG103" s="171"/>
      <c r="BH103" s="171"/>
      <c r="BI103" s="365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  <c r="CI103" s="329"/>
    </row>
    <row r="104" ht="15.75" customHeight="1">
      <c r="A104" s="317" t="s">
        <v>2547</v>
      </c>
      <c r="B104" s="61" t="s">
        <v>778</v>
      </c>
      <c r="C104" s="331" t="s">
        <v>2848</v>
      </c>
      <c r="D104" s="319" t="s">
        <v>18</v>
      </c>
      <c r="E104" s="319" t="s">
        <v>176</v>
      </c>
      <c r="F104" s="95" t="s">
        <v>2849</v>
      </c>
      <c r="G104" s="44" t="str">
        <f t="shared" si="1"/>
        <v>Augusto</v>
      </c>
      <c r="H104" s="332" t="s">
        <v>186</v>
      </c>
      <c r="I104" s="46" t="s">
        <v>24</v>
      </c>
      <c r="J104" s="319" t="str">
        <f t="shared" si="2"/>
        <v>Não</v>
      </c>
      <c r="K104" s="320">
        <v>44999.0</v>
      </c>
      <c r="L104" s="333">
        <v>43966.0</v>
      </c>
      <c r="M104" s="95" t="s">
        <v>780</v>
      </c>
      <c r="N104" s="334">
        <v>0.02</v>
      </c>
      <c r="O104" s="319" t="s">
        <v>191</v>
      </c>
      <c r="P104" s="322">
        <v>0.2</v>
      </c>
      <c r="Q104" s="319">
        <v>250.0</v>
      </c>
      <c r="R104" s="95"/>
      <c r="S104" s="95"/>
      <c r="T104" s="169"/>
      <c r="U104" s="169"/>
      <c r="V104" s="45" t="s">
        <v>108</v>
      </c>
      <c r="W104" s="5" t="s">
        <v>781</v>
      </c>
      <c r="X104" s="13" t="s">
        <v>180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7"/>
      <c r="AF104" s="337"/>
      <c r="AG104" s="337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337"/>
      <c r="AY104" s="337"/>
      <c r="AZ104" s="337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  <c r="CI104" s="329"/>
    </row>
    <row r="105" ht="15.75" customHeight="1">
      <c r="A105" s="317" t="s">
        <v>2547</v>
      </c>
      <c r="B105" s="235" t="s">
        <v>2850</v>
      </c>
      <c r="C105" s="331" t="s">
        <v>2851</v>
      </c>
      <c r="D105" s="319" t="s">
        <v>2550</v>
      </c>
      <c r="E105" s="319" t="s">
        <v>29</v>
      </c>
      <c r="F105" s="95" t="s">
        <v>2550</v>
      </c>
      <c r="G105" s="44" t="str">
        <f t="shared" si="1"/>
        <v>Augusto</v>
      </c>
      <c r="H105" s="332" t="s">
        <v>186</v>
      </c>
      <c r="I105" s="46" t="s">
        <v>24</v>
      </c>
      <c r="J105" s="319" t="str">
        <f t="shared" si="2"/>
        <v>Não</v>
      </c>
      <c r="K105" s="95" t="s">
        <v>2599</v>
      </c>
      <c r="L105" s="338">
        <v>44482.0</v>
      </c>
      <c r="M105" s="95" t="s">
        <v>47</v>
      </c>
      <c r="N105" s="334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2563</v>
      </c>
      <c r="S105" s="95"/>
      <c r="T105" s="169"/>
      <c r="U105" s="169"/>
      <c r="V105" s="45" t="s">
        <v>108</v>
      </c>
      <c r="W105" s="13" t="s">
        <v>2852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2675</v>
      </c>
      <c r="AE105" s="337"/>
      <c r="AF105" s="337"/>
      <c r="AG105" s="337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337"/>
      <c r="AY105" s="337"/>
      <c r="AZ105" s="337"/>
      <c r="BA105" s="171"/>
      <c r="BB105" s="171"/>
      <c r="BC105" s="171"/>
      <c r="BD105" s="171"/>
      <c r="BE105" s="171"/>
      <c r="BF105" s="171">
        <v>0.0</v>
      </c>
      <c r="BG105" s="171">
        <v>0.0</v>
      </c>
      <c r="BH105" s="171">
        <v>0.0</v>
      </c>
      <c r="BI105" s="171" t="s">
        <v>2566</v>
      </c>
      <c r="BJ105" s="171">
        <v>0.0</v>
      </c>
      <c r="BK105" s="171" t="s">
        <v>2566</v>
      </c>
      <c r="BL105" s="171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  <c r="CI105" s="329"/>
    </row>
    <row r="106" ht="15.75" customHeight="1">
      <c r="A106" s="317" t="s">
        <v>2547</v>
      </c>
      <c r="B106" s="317" t="s">
        <v>827</v>
      </c>
      <c r="C106" s="71" t="s">
        <v>2853</v>
      </c>
      <c r="D106" s="319" t="s">
        <v>18</v>
      </c>
      <c r="E106" s="319" t="s">
        <v>176</v>
      </c>
      <c r="F106" s="93" t="s">
        <v>177</v>
      </c>
      <c r="G106" s="44" t="str">
        <f t="shared" si="1"/>
        <v>Augusto</v>
      </c>
      <c r="H106" s="165" t="s">
        <v>147</v>
      </c>
      <c r="I106" s="51" t="s">
        <v>219</v>
      </c>
      <c r="J106" s="319" t="str">
        <f t="shared" si="2"/>
        <v>Não</v>
      </c>
      <c r="K106" s="335">
        <v>44844.0</v>
      </c>
      <c r="L106" s="95"/>
      <c r="M106" s="95" t="s">
        <v>55</v>
      </c>
      <c r="N106" s="321">
        <v>0.01</v>
      </c>
      <c r="O106" s="319" t="s">
        <v>2552</v>
      </c>
      <c r="P106" s="322">
        <v>0.0</v>
      </c>
      <c r="Q106" s="319" t="str">
        <f>IFERROR(VLOOKUP(F106,'Cadastro de assessores'!A:B,2,FALSE),"Não Cadastrado")</f>
        <v>250</v>
      </c>
      <c r="R106" s="319" t="s">
        <v>107</v>
      </c>
      <c r="S106" s="320">
        <v>44826.0</v>
      </c>
      <c r="T106" s="169"/>
      <c r="U106" s="169"/>
      <c r="V106" s="45" t="s">
        <v>108</v>
      </c>
      <c r="W106" s="324" t="s">
        <v>830</v>
      </c>
      <c r="X106" s="13" t="s">
        <v>180</v>
      </c>
      <c r="Y106" s="51" t="str">
        <f t="shared" si="3"/>
        <v>Ativo</v>
      </c>
      <c r="Z106" s="325"/>
      <c r="AA106" s="95" t="str">
        <f t="shared" si="4"/>
        <v/>
      </c>
      <c r="AB106" s="13" t="s">
        <v>119</v>
      </c>
      <c r="AC106" s="95"/>
      <c r="AD106" s="95"/>
      <c r="AE106" s="171"/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  <c r="AS106" s="326"/>
      <c r="AT106" s="326"/>
      <c r="AU106" s="326"/>
      <c r="AV106" s="326"/>
      <c r="AW106" s="326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  <c r="CI106" s="329"/>
    </row>
    <row r="107" ht="15.75" customHeight="1">
      <c r="A107" s="317" t="s">
        <v>2547</v>
      </c>
      <c r="B107" s="61" t="s">
        <v>831</v>
      </c>
      <c r="C107" s="330" t="s">
        <v>2854</v>
      </c>
      <c r="D107" s="319" t="s">
        <v>18</v>
      </c>
      <c r="E107" s="319" t="s">
        <v>176</v>
      </c>
      <c r="F107" s="93" t="s">
        <v>197</v>
      </c>
      <c r="G107" s="44" t="str">
        <f t="shared" si="1"/>
        <v>Augusto</v>
      </c>
      <c r="H107" s="165" t="s">
        <v>147</v>
      </c>
      <c r="I107" s="51" t="s">
        <v>219</v>
      </c>
      <c r="J107" s="319" t="str">
        <f t="shared" si="2"/>
        <v>Não</v>
      </c>
      <c r="K107" s="320">
        <v>44328.0</v>
      </c>
      <c r="L107" s="45"/>
      <c r="M107" s="95" t="s">
        <v>269</v>
      </c>
      <c r="N107" s="334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107</v>
      </c>
      <c r="S107" s="320">
        <v>44328.0</v>
      </c>
      <c r="T107" s="74"/>
      <c r="U107" s="50" t="s">
        <v>2855</v>
      </c>
      <c r="V107" s="45" t="s">
        <v>108</v>
      </c>
      <c r="W107" s="5" t="s">
        <v>833</v>
      </c>
      <c r="X107" s="164" t="s">
        <v>180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110</v>
      </c>
      <c r="AC107" s="95"/>
      <c r="AD107" s="95" t="s">
        <v>2559</v>
      </c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71"/>
      <c r="AT107" s="171"/>
      <c r="AU107" s="171"/>
      <c r="AV107" s="191"/>
      <c r="AW107" s="191">
        <v>1177660.82</v>
      </c>
      <c r="AX107" s="171">
        <v>1173871.7</v>
      </c>
      <c r="AY107" s="171">
        <v>1156923.57</v>
      </c>
      <c r="AZ107" s="171">
        <v>1111457.52</v>
      </c>
      <c r="BA107" s="171">
        <v>1053312.32</v>
      </c>
      <c r="BB107" s="171">
        <v>1035451.03</v>
      </c>
      <c r="BC107" s="171">
        <v>1013952.29</v>
      </c>
      <c r="BD107" s="171">
        <v>1020123.94</v>
      </c>
      <c r="BE107" s="171">
        <v>1050556.69</v>
      </c>
      <c r="BF107" s="171">
        <v>1057285.97</v>
      </c>
      <c r="BG107" s="171">
        <v>1120291.52</v>
      </c>
      <c r="BH107" s="171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  <c r="CI107" s="329"/>
    </row>
    <row r="108" ht="15.75" customHeight="1">
      <c r="A108" s="317" t="s">
        <v>2547</v>
      </c>
      <c r="B108" s="61" t="s">
        <v>2856</v>
      </c>
      <c r="C108" s="144">
        <v>351246.0</v>
      </c>
      <c r="D108" s="319" t="s">
        <v>18</v>
      </c>
      <c r="E108" s="319" t="s">
        <v>176</v>
      </c>
      <c r="F108" s="319" t="s">
        <v>177</v>
      </c>
      <c r="G108" s="44" t="str">
        <f t="shared" si="1"/>
        <v>Augusto</v>
      </c>
      <c r="H108" s="332" t="s">
        <v>186</v>
      </c>
      <c r="I108" s="46" t="s">
        <v>24</v>
      </c>
      <c r="J108" s="319" t="str">
        <f t="shared" si="2"/>
        <v>Não</v>
      </c>
      <c r="K108" s="333">
        <v>44594.0</v>
      </c>
      <c r="L108" s="72">
        <v>44937.0</v>
      </c>
      <c r="M108" s="95" t="s">
        <v>47</v>
      </c>
      <c r="N108" s="334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107</v>
      </c>
      <c r="S108" s="333">
        <v>44594.0</v>
      </c>
      <c r="T108" s="74"/>
      <c r="U108" s="323"/>
      <c r="V108" s="45" t="s">
        <v>108</v>
      </c>
      <c r="W108" s="5" t="s">
        <v>2857</v>
      </c>
      <c r="X108" s="164" t="s">
        <v>180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119</v>
      </c>
      <c r="AC108" s="95"/>
      <c r="AD108" s="95" t="s">
        <v>2609</v>
      </c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1"/>
      <c r="AS108" s="326"/>
      <c r="AT108" s="326"/>
      <c r="AU108" s="326"/>
      <c r="AV108" s="326"/>
      <c r="AW108" s="326"/>
      <c r="AX108" s="171"/>
      <c r="AY108" s="171"/>
      <c r="AZ108" s="171"/>
      <c r="BA108" s="171"/>
      <c r="BB108" s="171"/>
      <c r="BC108" s="171"/>
      <c r="BD108" s="171"/>
      <c r="BE108" s="171"/>
      <c r="BF108" s="171">
        <v>47584.6</v>
      </c>
      <c r="BG108" s="171">
        <v>49321.57</v>
      </c>
      <c r="BH108" s="171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  <c r="CI108" s="329"/>
    </row>
    <row r="109" ht="15.75" customHeight="1">
      <c r="A109" s="317" t="s">
        <v>2547</v>
      </c>
      <c r="B109" s="317" t="s">
        <v>2858</v>
      </c>
      <c r="C109" s="318" t="s">
        <v>2859</v>
      </c>
      <c r="D109" s="319" t="s">
        <v>18</v>
      </c>
      <c r="E109" s="319" t="s">
        <v>29</v>
      </c>
      <c r="F109" s="324" t="s">
        <v>632</v>
      </c>
      <c r="G109" s="44" t="str">
        <f t="shared" si="1"/>
        <v>Bruno</v>
      </c>
      <c r="H109" s="165" t="s">
        <v>107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79</v>
      </c>
      <c r="N109" s="334">
        <v>0.012</v>
      </c>
      <c r="O109" s="319" t="s">
        <v>2552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107</v>
      </c>
      <c r="S109" s="320">
        <v>43882.0</v>
      </c>
      <c r="T109" s="169" t="s">
        <v>2860</v>
      </c>
      <c r="U109" s="336" t="s">
        <v>2861</v>
      </c>
      <c r="V109" s="45" t="s">
        <v>108</v>
      </c>
      <c r="W109" s="324" t="s">
        <v>2862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119</v>
      </c>
      <c r="AC109" s="95"/>
      <c r="AD109" s="319" t="s">
        <v>2614</v>
      </c>
      <c r="AE109" s="171">
        <v>0.0</v>
      </c>
      <c r="AF109" s="171">
        <v>210400.38</v>
      </c>
      <c r="AG109" s="171">
        <v>217537.66</v>
      </c>
      <c r="AH109" s="171">
        <v>249728.8</v>
      </c>
      <c r="AI109" s="171">
        <v>277118.75</v>
      </c>
      <c r="AJ109" s="171">
        <v>299494.14</v>
      </c>
      <c r="AK109" s="171">
        <v>323571.35</v>
      </c>
      <c r="AL109" s="171">
        <v>344286.6</v>
      </c>
      <c r="AM109" s="171">
        <v>359317.68</v>
      </c>
      <c r="AN109" s="171">
        <v>379151.05</v>
      </c>
      <c r="AO109" s="171">
        <v>407924.05</v>
      </c>
      <c r="AP109" s="171">
        <v>422219.3</v>
      </c>
      <c r="AQ109" s="171">
        <v>439150.77</v>
      </c>
      <c r="AR109" s="171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1">
        <v>495584.15</v>
      </c>
      <c r="AY109" s="171">
        <v>553906.92</v>
      </c>
      <c r="AZ109" s="171">
        <v>579837.71</v>
      </c>
      <c r="BA109" s="171">
        <v>610455.91</v>
      </c>
      <c r="BB109" s="171">
        <v>617582.86</v>
      </c>
      <c r="BC109" s="171">
        <v>626347.32</v>
      </c>
      <c r="BD109" s="171">
        <v>641991.9</v>
      </c>
      <c r="BE109" s="171">
        <v>649911.37</v>
      </c>
      <c r="BF109" s="171">
        <v>681637.59</v>
      </c>
      <c r="BG109" s="171">
        <v>717139.63</v>
      </c>
      <c r="BH109" s="171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  <c r="CI109" s="329"/>
    </row>
    <row r="110" ht="15.75" customHeight="1">
      <c r="A110" s="317" t="s">
        <v>2547</v>
      </c>
      <c r="B110" s="317" t="s">
        <v>2863</v>
      </c>
      <c r="C110" s="318" t="s">
        <v>2864</v>
      </c>
      <c r="D110" s="319" t="s">
        <v>18</v>
      </c>
      <c r="E110" s="319" t="s">
        <v>29</v>
      </c>
      <c r="F110" s="319" t="s">
        <v>60</v>
      </c>
      <c r="G110" s="44" t="str">
        <f t="shared" si="1"/>
        <v>Augusto</v>
      </c>
      <c r="H110" s="165" t="s">
        <v>147</v>
      </c>
      <c r="I110" s="51" t="s">
        <v>219</v>
      </c>
      <c r="J110" s="319" t="str">
        <f t="shared" si="2"/>
        <v>Não</v>
      </c>
      <c r="K110" s="335">
        <v>43398.0</v>
      </c>
      <c r="L110" s="95"/>
      <c r="M110" s="95" t="s">
        <v>190</v>
      </c>
      <c r="N110" s="321">
        <v>0.018</v>
      </c>
      <c r="O110" s="319" t="s">
        <v>191</v>
      </c>
      <c r="P110" s="322">
        <v>0.2</v>
      </c>
      <c r="Q110" s="319">
        <f>IFERROR(VLOOKUP(F110,'Cadastro de assessores'!A:B,2,FALSE),"Não Cadastrado")</f>
        <v>12332</v>
      </c>
      <c r="R110" s="319" t="s">
        <v>147</v>
      </c>
      <c r="S110" s="335">
        <v>43397.0</v>
      </c>
      <c r="T110" s="169"/>
      <c r="U110" s="169"/>
      <c r="V110" s="45" t="s">
        <v>108</v>
      </c>
      <c r="W110" s="324" t="s">
        <v>2865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119</v>
      </c>
      <c r="AC110" s="95"/>
      <c r="AD110" s="95" t="s">
        <v>2614</v>
      </c>
      <c r="AE110" s="171">
        <v>190526.58</v>
      </c>
      <c r="AF110" s="171">
        <v>190363.44</v>
      </c>
      <c r="AG110" s="171">
        <v>142434.56</v>
      </c>
      <c r="AH110" s="171">
        <v>152346.03</v>
      </c>
      <c r="AI110" s="171">
        <v>158359.09</v>
      </c>
      <c r="AJ110" s="171">
        <v>169377.55</v>
      </c>
      <c r="AK110" s="171">
        <v>185081.26</v>
      </c>
      <c r="AL110" s="171">
        <v>172369.15</v>
      </c>
      <c r="AM110" s="171">
        <v>164563.19</v>
      </c>
      <c r="AN110" s="171">
        <v>171355.7</v>
      </c>
      <c r="AO110" s="171">
        <v>190011.51</v>
      </c>
      <c r="AP110" s="171">
        <v>196843.64</v>
      </c>
      <c r="AQ110" s="171">
        <v>190897.04</v>
      </c>
      <c r="AR110" s="171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1">
        <v>190021.02</v>
      </c>
      <c r="AY110" s="171">
        <v>184765.32</v>
      </c>
      <c r="AZ110" s="171">
        <v>176851.26</v>
      </c>
      <c r="BA110" s="171">
        <v>169799.21</v>
      </c>
      <c r="BB110" s="171">
        <v>159701.86</v>
      </c>
      <c r="BC110" s="171">
        <v>157605.91</v>
      </c>
      <c r="BD110" s="171">
        <v>160237.03</v>
      </c>
      <c r="BE110" s="171">
        <v>174203.55</v>
      </c>
      <c r="BF110" s="171">
        <v>179887.94</v>
      </c>
      <c r="BG110" s="171">
        <v>7177.72</v>
      </c>
      <c r="BH110" s="171">
        <v>0.0</v>
      </c>
      <c r="BI110" s="327" t="s">
        <v>2566</v>
      </c>
      <c r="BJ110" s="327">
        <v>0.0</v>
      </c>
      <c r="BK110" s="327" t="s">
        <v>2566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  <c r="CI110" s="329"/>
    </row>
    <row r="111" ht="15.75" customHeight="1">
      <c r="A111" s="317" t="s">
        <v>2547</v>
      </c>
      <c r="B111" s="61" t="s">
        <v>2866</v>
      </c>
      <c r="C111" s="144">
        <v>2541803.0</v>
      </c>
      <c r="D111" s="319" t="s">
        <v>18</v>
      </c>
      <c r="E111" s="319" t="s">
        <v>176</v>
      </c>
      <c r="F111" s="319" t="s">
        <v>177</v>
      </c>
      <c r="G111" s="44" t="str">
        <f t="shared" si="1"/>
        <v>Augusto</v>
      </c>
      <c r="H111" s="165" t="s">
        <v>107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55</v>
      </c>
      <c r="N111" s="321">
        <v>0.007</v>
      </c>
      <c r="O111" s="319" t="s">
        <v>2552</v>
      </c>
      <c r="P111" s="322">
        <v>0.0</v>
      </c>
      <c r="Q111" s="319" t="str">
        <f>IFERROR(VLOOKUP(F111,'Cadastro de assessores'!A:B,2,FALSE),"Não Cadastrado")</f>
        <v>250</v>
      </c>
      <c r="R111" s="319" t="s">
        <v>107</v>
      </c>
      <c r="S111" s="123">
        <v>44524.0</v>
      </c>
      <c r="T111" s="50" t="s">
        <v>2867</v>
      </c>
      <c r="U111" s="50"/>
      <c r="V111" s="45" t="s">
        <v>108</v>
      </c>
      <c r="W111" s="5" t="s">
        <v>2868</v>
      </c>
      <c r="X111" s="164" t="s">
        <v>180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119</v>
      </c>
      <c r="AC111" s="95"/>
      <c r="AD111" s="95" t="s">
        <v>2609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1"/>
      <c r="AP111" s="171"/>
      <c r="AQ111" s="171"/>
      <c r="AR111" s="326"/>
      <c r="AS111" s="326"/>
      <c r="AT111" s="326"/>
      <c r="AU111" s="326"/>
      <c r="AV111" s="326"/>
      <c r="AW111" s="171"/>
      <c r="AX111" s="171"/>
      <c r="AY111" s="171"/>
      <c r="AZ111" s="171"/>
      <c r="BA111" s="171"/>
      <c r="BB111" s="41"/>
      <c r="BC111" s="191">
        <v>229043.46</v>
      </c>
      <c r="BD111" s="191">
        <v>232348.43</v>
      </c>
      <c r="BE111" s="171">
        <v>232935.9</v>
      </c>
      <c r="BF111" s="171">
        <v>284187.59</v>
      </c>
      <c r="BG111" s="171">
        <v>289383.96</v>
      </c>
      <c r="BH111" s="171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  <c r="CI111" s="329"/>
    </row>
    <row r="112" ht="15.75" customHeight="1">
      <c r="A112" s="317" t="s">
        <v>2547</v>
      </c>
      <c r="B112" s="317" t="s">
        <v>2869</v>
      </c>
      <c r="C112" s="318" t="s">
        <v>2870</v>
      </c>
      <c r="D112" s="319" t="s">
        <v>18</v>
      </c>
      <c r="E112" s="319" t="s">
        <v>29</v>
      </c>
      <c r="F112" s="319" t="s">
        <v>60</v>
      </c>
      <c r="G112" s="44" t="str">
        <f t="shared" si="1"/>
        <v>Breno</v>
      </c>
      <c r="H112" s="165" t="s">
        <v>107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55</v>
      </c>
      <c r="N112" s="321">
        <v>0.01</v>
      </c>
      <c r="O112" s="319" t="s">
        <v>2552</v>
      </c>
      <c r="P112" s="322">
        <v>0.0</v>
      </c>
      <c r="Q112" s="319">
        <f>IFERROR(VLOOKUP(F112,'Cadastro de assessores'!A:B,2,FALSE),"Não Cadastrado")</f>
        <v>12332</v>
      </c>
      <c r="R112" s="319" t="s">
        <v>107</v>
      </c>
      <c r="S112" s="320">
        <v>43563.0</v>
      </c>
      <c r="T112" s="169"/>
      <c r="U112" s="169"/>
      <c r="V112" s="45" t="s">
        <v>108</v>
      </c>
      <c r="W112" s="324" t="s">
        <v>2871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119</v>
      </c>
      <c r="AC112" s="95"/>
      <c r="AD112" s="95" t="s">
        <v>2602</v>
      </c>
      <c r="AE112" s="171">
        <v>219150.83</v>
      </c>
      <c r="AF112" s="171">
        <v>219584.26</v>
      </c>
      <c r="AG112" s="171">
        <v>220264.41</v>
      </c>
      <c r="AH112" s="171">
        <v>219703.53</v>
      </c>
      <c r="AI112" s="171">
        <v>219973.24</v>
      </c>
      <c r="AJ112" s="171">
        <v>220250.78</v>
      </c>
      <c r="AK112" s="171">
        <v>220572.31</v>
      </c>
      <c r="AL112" s="171">
        <v>221062.45</v>
      </c>
      <c r="AM112" s="171">
        <v>220356.76</v>
      </c>
      <c r="AN112" s="171">
        <v>219680.43</v>
      </c>
      <c r="AO112" s="171">
        <v>219600.06</v>
      </c>
      <c r="AP112" s="171">
        <v>219782.51</v>
      </c>
      <c r="AQ112" s="171">
        <v>220111.87</v>
      </c>
      <c r="AR112" s="171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1">
        <v>220342.97</v>
      </c>
      <c r="AY112" s="171">
        <v>221212.58</v>
      </c>
      <c r="AZ112" s="171">
        <v>221794.61</v>
      </c>
      <c r="BA112" s="171">
        <v>222191.4</v>
      </c>
      <c r="BB112" s="171">
        <v>218959.19</v>
      </c>
      <c r="BC112" s="171">
        <v>218100.59</v>
      </c>
      <c r="BD112" s="171">
        <v>219591.83</v>
      </c>
      <c r="BE112" s="171">
        <v>222705.35</v>
      </c>
      <c r="BF112" s="171">
        <v>223811.91</v>
      </c>
      <c r="BG112" s="171">
        <v>230503.12</v>
      </c>
      <c r="BH112" s="171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  <c r="CI112" s="329"/>
    </row>
    <row r="113" ht="15.75" customHeight="1">
      <c r="A113" s="317" t="s">
        <v>2547</v>
      </c>
      <c r="B113" s="317" t="s">
        <v>2869</v>
      </c>
      <c r="C113" s="318" t="s">
        <v>2872</v>
      </c>
      <c r="D113" s="319" t="s">
        <v>18</v>
      </c>
      <c r="E113" s="319" t="s">
        <v>29</v>
      </c>
      <c r="F113" s="319" t="s">
        <v>60</v>
      </c>
      <c r="G113" s="44" t="str">
        <f t="shared" si="1"/>
        <v>Breno</v>
      </c>
      <c r="H113" s="332" t="s">
        <v>147</v>
      </c>
      <c r="I113" s="51" t="s">
        <v>693</v>
      </c>
      <c r="J113" s="319" t="str">
        <f t="shared" si="2"/>
        <v>Sim</v>
      </c>
      <c r="K113" s="320">
        <v>43564.0</v>
      </c>
      <c r="L113" s="95"/>
      <c r="M113" s="95" t="s">
        <v>190</v>
      </c>
      <c r="N113" s="321">
        <v>0.02</v>
      </c>
      <c r="O113" s="319" t="s">
        <v>191</v>
      </c>
      <c r="P113" s="322">
        <v>0.2</v>
      </c>
      <c r="Q113" s="319">
        <f>IFERROR(VLOOKUP(F113,'Cadastro de assessores'!A:B,2,FALSE),"Não Cadastrado")</f>
        <v>12332</v>
      </c>
      <c r="R113" s="319" t="s">
        <v>107</v>
      </c>
      <c r="S113" s="320">
        <v>43564.0</v>
      </c>
      <c r="T113" s="169" t="s">
        <v>2873</v>
      </c>
      <c r="U113" s="169"/>
      <c r="V113" s="45" t="s">
        <v>108</v>
      </c>
      <c r="W113" s="324" t="s">
        <v>2871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119</v>
      </c>
      <c r="AC113" s="95"/>
      <c r="AD113" s="95" t="s">
        <v>2602</v>
      </c>
      <c r="AE113" s="171">
        <v>201777.06</v>
      </c>
      <c r="AF113" s="171">
        <v>191420.96</v>
      </c>
      <c r="AG113" s="171">
        <v>143787.26</v>
      </c>
      <c r="AH113" s="171">
        <v>153967.3</v>
      </c>
      <c r="AI113" s="171">
        <v>159503.41</v>
      </c>
      <c r="AJ113" s="171">
        <v>168822.04</v>
      </c>
      <c r="AK113" s="171">
        <v>187175.46</v>
      </c>
      <c r="AL113" s="171">
        <v>176953.82</v>
      </c>
      <c r="AM113" s="171">
        <v>165800.53</v>
      </c>
      <c r="AN113" s="171">
        <v>170847.63</v>
      </c>
      <c r="AO113" s="171">
        <v>191787.25</v>
      </c>
      <c r="AP113" s="171">
        <v>199160.83</v>
      </c>
      <c r="AQ113" s="171">
        <v>197792.71</v>
      </c>
      <c r="AR113" s="171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1">
        <v>197790.59</v>
      </c>
      <c r="AY113" s="171">
        <v>192538.48</v>
      </c>
      <c r="AZ113" s="171">
        <v>183515.37</v>
      </c>
      <c r="BA113" s="171">
        <v>174839.93</v>
      </c>
      <c r="BB113" s="171">
        <v>164309.12</v>
      </c>
      <c r="BC113" s="171">
        <v>159144.0</v>
      </c>
      <c r="BD113" s="171">
        <v>161145.0</v>
      </c>
      <c r="BE113" s="171">
        <v>169924.92</v>
      </c>
      <c r="BF113" s="171">
        <v>172089.91</v>
      </c>
      <c r="BG113" s="171">
        <v>183792.77</v>
      </c>
      <c r="BH113" s="171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  <c r="CI113" s="329"/>
    </row>
    <row r="114" ht="15.75" customHeight="1">
      <c r="A114" s="317" t="s">
        <v>2547</v>
      </c>
      <c r="B114" s="239" t="s">
        <v>2874</v>
      </c>
      <c r="C114" s="71" t="s">
        <v>2875</v>
      </c>
      <c r="D114" s="319" t="s">
        <v>18</v>
      </c>
      <c r="E114" s="319" t="s">
        <v>29</v>
      </c>
      <c r="F114" s="95" t="s">
        <v>168</v>
      </c>
      <c r="G114" s="44" t="str">
        <f t="shared" si="1"/>
        <v>Augusto</v>
      </c>
      <c r="H114" s="332" t="s">
        <v>107</v>
      </c>
      <c r="I114" s="46" t="s">
        <v>24</v>
      </c>
      <c r="J114" s="319" t="str">
        <f t="shared" si="2"/>
        <v>Não</v>
      </c>
      <c r="K114" s="333">
        <v>44888.0</v>
      </c>
      <c r="L114" s="338"/>
      <c r="M114" s="95" t="s">
        <v>55</v>
      </c>
      <c r="N114" s="334">
        <v>0.0</v>
      </c>
      <c r="O114" s="319" t="s">
        <v>2552</v>
      </c>
      <c r="P114" s="322">
        <v>0.0</v>
      </c>
      <c r="Q114" s="319">
        <f>IFERROR(VLOOKUP(F114,'Cadastro de assessores'!A:B,2,FALSE),"Não Cadastrado")</f>
        <v>12344</v>
      </c>
      <c r="R114" s="319" t="s">
        <v>147</v>
      </c>
      <c r="S114" s="333">
        <v>44888.0</v>
      </c>
      <c r="T114" s="169"/>
      <c r="U114" s="169"/>
      <c r="V114" s="45" t="s">
        <v>108</v>
      </c>
      <c r="W114" s="13" t="s">
        <v>934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119</v>
      </c>
      <c r="AC114" s="95"/>
      <c r="AD114" s="95"/>
      <c r="AE114" s="171"/>
      <c r="AF114" s="171"/>
      <c r="AG114" s="171"/>
      <c r="AH114" s="171"/>
      <c r="AI114" s="171"/>
      <c r="AJ114" s="171"/>
      <c r="AK114" s="171"/>
      <c r="AL114" s="171"/>
      <c r="AM114" s="337"/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337"/>
      <c r="AY114" s="171"/>
      <c r="AZ114" s="171"/>
      <c r="BA114" s="171"/>
      <c r="BB114" s="171"/>
      <c r="BC114" s="171"/>
      <c r="BD114" s="171"/>
      <c r="BE114" s="171"/>
      <c r="BF114" s="171"/>
      <c r="BG114" s="171"/>
      <c r="BH114" s="171"/>
      <c r="BI114" s="171"/>
      <c r="BJ114" s="171"/>
      <c r="BK114" s="171"/>
      <c r="BL114" s="171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  <c r="CI114" s="329"/>
    </row>
    <row r="115" ht="15.75" customHeight="1">
      <c r="A115" s="317" t="s">
        <v>2547</v>
      </c>
      <c r="B115" s="239" t="s">
        <v>2876</v>
      </c>
      <c r="C115" s="331" t="s">
        <v>2877</v>
      </c>
      <c r="D115" s="319" t="s">
        <v>2550</v>
      </c>
      <c r="E115" s="319" t="s">
        <v>29</v>
      </c>
      <c r="F115" s="95" t="s">
        <v>2551</v>
      </c>
      <c r="G115" s="44" t="str">
        <f t="shared" si="1"/>
        <v>Augusto</v>
      </c>
      <c r="H115" s="332" t="s">
        <v>186</v>
      </c>
      <c r="I115" s="46" t="s">
        <v>24</v>
      </c>
      <c r="J115" s="319" t="str">
        <f t="shared" si="2"/>
        <v>Não</v>
      </c>
      <c r="K115" s="333">
        <v>43675.0</v>
      </c>
      <c r="L115" s="338">
        <v>44482.0</v>
      </c>
      <c r="M115" s="95" t="s">
        <v>47</v>
      </c>
      <c r="N115" s="334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2563</v>
      </c>
      <c r="S115" s="333">
        <v>43675.0</v>
      </c>
      <c r="T115" s="169"/>
      <c r="U115" s="169"/>
      <c r="V115" s="45" t="s">
        <v>108</v>
      </c>
      <c r="W115" s="13" t="s">
        <v>2878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2765</v>
      </c>
      <c r="AE115" s="171">
        <v>91546.69</v>
      </c>
      <c r="AF115" s="171">
        <v>90736.74</v>
      </c>
      <c r="AG115" s="171">
        <v>88285.68</v>
      </c>
      <c r="AH115" s="171">
        <v>89254.77</v>
      </c>
      <c r="AI115" s="171">
        <v>99472.57</v>
      </c>
      <c r="AJ115" s="171">
        <v>98922.55</v>
      </c>
      <c r="AK115" s="171">
        <v>99216.1</v>
      </c>
      <c r="AL115" s="171">
        <v>96681.72</v>
      </c>
      <c r="AM115" s="337"/>
      <c r="AN115" s="171">
        <v>148.58</v>
      </c>
      <c r="AO115" s="171">
        <v>148.58</v>
      </c>
      <c r="AP115" s="171">
        <v>58.68</v>
      </c>
      <c r="AQ115" s="171">
        <v>58.68</v>
      </c>
      <c r="AR115" s="171">
        <v>58.68</v>
      </c>
      <c r="AS115" s="171">
        <v>58.68</v>
      </c>
      <c r="AT115" s="171">
        <v>58.68</v>
      </c>
      <c r="AU115" s="171">
        <v>58.68</v>
      </c>
      <c r="AV115" s="171">
        <v>58.68</v>
      </c>
      <c r="AW115" s="171"/>
      <c r="AX115" s="337"/>
      <c r="AY115" s="171">
        <v>13.08</v>
      </c>
      <c r="AZ115" s="171">
        <v>13.08</v>
      </c>
      <c r="BA115" s="171">
        <v>13.08</v>
      </c>
      <c r="BB115" s="171"/>
      <c r="BC115" s="171"/>
      <c r="BD115" s="171"/>
      <c r="BE115" s="171"/>
      <c r="BF115" s="171">
        <v>0.0</v>
      </c>
      <c r="BG115" s="171">
        <v>0.0</v>
      </c>
      <c r="BH115" s="171">
        <v>0.0</v>
      </c>
      <c r="BI115" s="171" t="s">
        <v>2566</v>
      </c>
      <c r="BJ115" s="171">
        <v>0.0</v>
      </c>
      <c r="BK115" s="171" t="s">
        <v>2566</v>
      </c>
      <c r="BL115" s="171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  <c r="CI115" s="329"/>
    </row>
    <row r="116" ht="15.75" customHeight="1">
      <c r="A116" s="317" t="s">
        <v>2547</v>
      </c>
      <c r="B116" s="42" t="s">
        <v>2879</v>
      </c>
      <c r="C116" s="366" t="s">
        <v>2880</v>
      </c>
      <c r="D116" s="319" t="s">
        <v>18</v>
      </c>
      <c r="E116" s="319" t="s">
        <v>176</v>
      </c>
      <c r="F116" s="164" t="s">
        <v>177</v>
      </c>
      <c r="G116" s="44" t="str">
        <f t="shared" si="1"/>
        <v>Augusto</v>
      </c>
      <c r="H116" s="332" t="s">
        <v>186</v>
      </c>
      <c r="I116" s="46" t="s">
        <v>24</v>
      </c>
      <c r="J116" s="319" t="str">
        <f t="shared" si="2"/>
        <v>Não</v>
      </c>
      <c r="K116" s="72">
        <v>44365.0</v>
      </c>
      <c r="L116" s="333">
        <v>44781.0</v>
      </c>
      <c r="M116" s="95" t="s">
        <v>47</v>
      </c>
      <c r="N116" s="334">
        <v>0.015</v>
      </c>
      <c r="O116" s="319" t="s">
        <v>48</v>
      </c>
      <c r="P116" s="322">
        <v>0.1</v>
      </c>
      <c r="Q116" s="164" t="str">
        <f>IFERROR(VLOOKUP(F116,'Cadastro de assessores'!A:B,2,FALSE),"Não Cadastrado")</f>
        <v>250</v>
      </c>
      <c r="R116" s="95" t="s">
        <v>2563</v>
      </c>
      <c r="S116" s="72">
        <v>44365.0</v>
      </c>
      <c r="T116" s="50"/>
      <c r="U116" s="50"/>
      <c r="V116" s="45" t="s">
        <v>108</v>
      </c>
      <c r="W116" s="5" t="s">
        <v>2881</v>
      </c>
      <c r="X116" s="164" t="s">
        <v>180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119</v>
      </c>
      <c r="AC116" s="95"/>
      <c r="AD116" s="95" t="s">
        <v>2559</v>
      </c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71"/>
      <c r="AS116" s="171"/>
      <c r="AT116" s="171"/>
      <c r="AU116" s="171"/>
      <c r="AV116" s="171"/>
      <c r="AW116" s="191"/>
      <c r="AX116" s="171">
        <v>99132.52</v>
      </c>
      <c r="AY116" s="171">
        <v>100207.28</v>
      </c>
      <c r="AZ116" s="171">
        <v>98346.03</v>
      </c>
      <c r="BA116" s="171">
        <v>86778.62</v>
      </c>
      <c r="BB116" s="171">
        <v>94528.35</v>
      </c>
      <c r="BC116" s="171">
        <v>95810.92</v>
      </c>
      <c r="BD116" s="171">
        <v>95973.8</v>
      </c>
      <c r="BE116" s="171">
        <v>98603.26</v>
      </c>
      <c r="BF116" s="171">
        <v>99113.29</v>
      </c>
      <c r="BG116" s="171">
        <v>103152.56</v>
      </c>
      <c r="BH116" s="171">
        <v>101419.64</v>
      </c>
      <c r="BI116" s="171">
        <v>101224.86</v>
      </c>
      <c r="BJ116" s="171">
        <v>100356.1</v>
      </c>
      <c r="BK116" s="171">
        <v>101893.24</v>
      </c>
      <c r="BL116" s="171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  <c r="CI116" s="329"/>
    </row>
    <row r="117" ht="15.75" customHeight="1">
      <c r="A117" s="317" t="s">
        <v>2547</v>
      </c>
      <c r="B117" s="61" t="s">
        <v>2882</v>
      </c>
      <c r="C117" s="45">
        <v>334341.0</v>
      </c>
      <c r="D117" s="319" t="s">
        <v>18</v>
      </c>
      <c r="E117" s="319" t="s">
        <v>176</v>
      </c>
      <c r="F117" s="95" t="s">
        <v>177</v>
      </c>
      <c r="G117" s="44" t="str">
        <f t="shared" si="1"/>
        <v>Breno</v>
      </c>
      <c r="H117" s="165" t="s">
        <v>107</v>
      </c>
      <c r="I117" s="46" t="s">
        <v>24</v>
      </c>
      <c r="J117" s="319" t="str">
        <f t="shared" si="2"/>
        <v>Não</v>
      </c>
      <c r="K117" s="333">
        <v>44733.0</v>
      </c>
      <c r="L117" s="333"/>
      <c r="M117" s="95" t="s">
        <v>55</v>
      </c>
      <c r="N117" s="334">
        <v>0.007</v>
      </c>
      <c r="O117" s="319" t="s">
        <v>2552</v>
      </c>
      <c r="P117" s="322">
        <v>0.0</v>
      </c>
      <c r="Q117" s="93" t="str">
        <f>IFERROR(VLOOKUP(F117,'Cadastro de assessores'!A:B,2,FALSE),"Não Cadastrado")</f>
        <v>250</v>
      </c>
      <c r="R117" s="95" t="s">
        <v>107</v>
      </c>
      <c r="S117" s="333">
        <v>44727.0</v>
      </c>
      <c r="T117" s="169"/>
      <c r="U117" s="169"/>
      <c r="V117" s="45" t="s">
        <v>108</v>
      </c>
      <c r="W117" s="5" t="s">
        <v>2883</v>
      </c>
      <c r="X117" s="164" t="s">
        <v>180</v>
      </c>
      <c r="Y117" s="51" t="str">
        <f t="shared" si="3"/>
        <v>Ativo</v>
      </c>
      <c r="Z117" s="325"/>
      <c r="AA117" s="95" t="str">
        <f t="shared" si="4"/>
        <v/>
      </c>
      <c r="AB117" s="13" t="s">
        <v>119</v>
      </c>
      <c r="AC117" s="95"/>
      <c r="AD117" s="95" t="s">
        <v>2609</v>
      </c>
      <c r="AE117" s="171"/>
      <c r="AF117" s="171"/>
      <c r="AG117" s="171"/>
      <c r="AH117" s="171"/>
      <c r="AI117" s="171"/>
      <c r="AJ117" s="171"/>
      <c r="AK117" s="171"/>
      <c r="AL117" s="171"/>
      <c r="AM117" s="171"/>
      <c r="AN117" s="171"/>
      <c r="AO117" s="171"/>
      <c r="AP117" s="171"/>
      <c r="AQ117" s="171"/>
      <c r="AR117" s="171"/>
      <c r="AS117" s="171"/>
      <c r="AT117" s="171"/>
      <c r="AU117" s="171"/>
      <c r="AV117" s="171"/>
      <c r="AW117" s="171"/>
      <c r="AX117" s="337"/>
      <c r="AY117" s="337"/>
      <c r="AZ117" s="337"/>
      <c r="BA117" s="171"/>
      <c r="BB117" s="171"/>
      <c r="BC117" s="171"/>
      <c r="BD117" s="171"/>
      <c r="BE117" s="171"/>
      <c r="BF117" s="171"/>
      <c r="BG117" s="171"/>
      <c r="BH117" s="171"/>
      <c r="BI117" s="171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  <c r="CI117" s="329"/>
    </row>
    <row r="118" ht="15.75" customHeight="1">
      <c r="A118" s="317" t="s">
        <v>2547</v>
      </c>
      <c r="B118" s="235" t="s">
        <v>2884</v>
      </c>
      <c r="C118" s="331" t="s">
        <v>2885</v>
      </c>
      <c r="D118" s="319" t="s">
        <v>2550</v>
      </c>
      <c r="E118" s="319" t="s">
        <v>29</v>
      </c>
      <c r="F118" s="95" t="s">
        <v>2562</v>
      </c>
      <c r="G118" s="44" t="str">
        <f t="shared" si="1"/>
        <v>Augusto</v>
      </c>
      <c r="H118" s="332" t="s">
        <v>186</v>
      </c>
      <c r="I118" s="46" t="s">
        <v>24</v>
      </c>
      <c r="J118" s="319" t="str">
        <f t="shared" si="2"/>
        <v>Não</v>
      </c>
      <c r="K118" s="333">
        <v>43699.0</v>
      </c>
      <c r="L118" s="333">
        <v>43910.0</v>
      </c>
      <c r="M118" s="95" t="s">
        <v>47</v>
      </c>
      <c r="N118" s="334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2563</v>
      </c>
      <c r="S118" s="333">
        <v>43699.0</v>
      </c>
      <c r="T118" s="169"/>
      <c r="U118" s="169"/>
      <c r="V118" s="45" t="s">
        <v>108</v>
      </c>
      <c r="W118" s="13" t="s">
        <v>2886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2675</v>
      </c>
      <c r="AE118" s="171">
        <v>0.0</v>
      </c>
      <c r="AF118" s="171">
        <v>0.0</v>
      </c>
      <c r="AG118" s="171">
        <v>0.0</v>
      </c>
      <c r="AH118" s="171">
        <v>0.0</v>
      </c>
      <c r="AI118" s="171">
        <v>0.0</v>
      </c>
      <c r="AJ118" s="171">
        <v>0.0</v>
      </c>
      <c r="AK118" s="171">
        <v>0.0</v>
      </c>
      <c r="AL118" s="171"/>
      <c r="AM118" s="171"/>
      <c r="AN118" s="171"/>
      <c r="AO118" s="171"/>
      <c r="AP118" s="171"/>
      <c r="AQ118" s="171"/>
      <c r="AR118" s="171"/>
      <c r="AS118" s="171"/>
      <c r="AT118" s="171"/>
      <c r="AU118" s="171"/>
      <c r="AV118" s="171"/>
      <c r="AW118" s="171"/>
      <c r="AX118" s="337"/>
      <c r="AY118" s="337"/>
      <c r="AZ118" s="337"/>
      <c r="BA118" s="171"/>
      <c r="BB118" s="171"/>
      <c r="BC118" s="171"/>
      <c r="BD118" s="171"/>
      <c r="BE118" s="171"/>
      <c r="BF118" s="171">
        <v>0.0</v>
      </c>
      <c r="BG118" s="171">
        <v>0.0</v>
      </c>
      <c r="BH118" s="171">
        <v>0.0</v>
      </c>
      <c r="BI118" s="171" t="s">
        <v>2566</v>
      </c>
      <c r="BJ118" s="171">
        <v>0.0</v>
      </c>
      <c r="BK118" s="171" t="s">
        <v>2566</v>
      </c>
      <c r="BL118" s="171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  <c r="CI118" s="329"/>
    </row>
    <row r="119" ht="15.75" customHeight="1">
      <c r="A119" s="317" t="s">
        <v>2547</v>
      </c>
      <c r="B119" s="344" t="s">
        <v>949</v>
      </c>
      <c r="C119" s="331" t="s">
        <v>2887</v>
      </c>
      <c r="D119" s="319" t="s">
        <v>18</v>
      </c>
      <c r="E119" s="319" t="s">
        <v>176</v>
      </c>
      <c r="F119" s="319" t="s">
        <v>177</v>
      </c>
      <c r="G119" s="44" t="str">
        <f t="shared" si="1"/>
        <v>Augusto</v>
      </c>
      <c r="H119" s="332" t="s">
        <v>147</v>
      </c>
      <c r="I119" s="51" t="s">
        <v>219</v>
      </c>
      <c r="J119" s="319" t="str">
        <f t="shared" si="2"/>
        <v>Não</v>
      </c>
      <c r="K119" s="320">
        <v>44263.0</v>
      </c>
      <c r="L119" s="45"/>
      <c r="M119" s="95" t="s">
        <v>269</v>
      </c>
      <c r="N119" s="334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107</v>
      </c>
      <c r="S119" s="320">
        <v>44263.0</v>
      </c>
      <c r="T119" s="128"/>
      <c r="U119" s="336" t="s">
        <v>2888</v>
      </c>
      <c r="V119" s="45" t="s">
        <v>108</v>
      </c>
      <c r="W119" s="324" t="s">
        <v>952</v>
      </c>
      <c r="X119" s="164" t="s">
        <v>180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110</v>
      </c>
      <c r="AC119" s="95"/>
      <c r="AD119" s="95" t="s">
        <v>2609</v>
      </c>
      <c r="AE119" s="337"/>
      <c r="AF119" s="337"/>
      <c r="AG119" s="337"/>
      <c r="AH119" s="337"/>
      <c r="AI119" s="337"/>
      <c r="AJ119" s="337"/>
      <c r="AK119" s="337"/>
      <c r="AL119" s="337"/>
      <c r="AM119" s="337"/>
      <c r="AN119" s="337"/>
      <c r="AO119" s="337"/>
      <c r="AP119" s="337"/>
      <c r="AQ119" s="337"/>
      <c r="AR119" s="171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1">
        <v>1245456.72</v>
      </c>
      <c r="AY119" s="171">
        <v>1224255.65</v>
      </c>
      <c r="AZ119" s="171">
        <v>1186871.02</v>
      </c>
      <c r="BA119" s="171">
        <v>1091954.56</v>
      </c>
      <c r="BB119" s="171">
        <v>1102303.28</v>
      </c>
      <c r="BC119" s="171">
        <v>1085238.34</v>
      </c>
      <c r="BD119" s="171">
        <v>1097420.48</v>
      </c>
      <c r="BE119" s="171">
        <v>1132103.68</v>
      </c>
      <c r="BF119" s="171">
        <v>1141098.26</v>
      </c>
      <c r="BG119" s="171">
        <v>1203490.89</v>
      </c>
      <c r="BH119" s="171">
        <v>1169343.54</v>
      </c>
      <c r="BI119" s="365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  <c r="CI119" s="329"/>
    </row>
    <row r="120" ht="15.75" customHeight="1">
      <c r="A120" s="317" t="s">
        <v>2547</v>
      </c>
      <c r="B120" s="235" t="s">
        <v>2889</v>
      </c>
      <c r="C120" s="219" t="s">
        <v>2890</v>
      </c>
      <c r="D120" s="319" t="s">
        <v>18</v>
      </c>
      <c r="E120" s="319" t="s">
        <v>176</v>
      </c>
      <c r="F120" s="319" t="s">
        <v>197</v>
      </c>
      <c r="G120" s="44" t="str">
        <f t="shared" si="1"/>
        <v>Augusto</v>
      </c>
      <c r="H120" s="165" t="s">
        <v>107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4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107</v>
      </c>
      <c r="S120" s="320">
        <v>44291.0</v>
      </c>
      <c r="T120" s="336" t="s">
        <v>2891</v>
      </c>
      <c r="U120" s="336" t="s">
        <v>2892</v>
      </c>
      <c r="V120" s="45" t="s">
        <v>108</v>
      </c>
      <c r="W120" s="13" t="s">
        <v>2893</v>
      </c>
      <c r="X120" s="164" t="s">
        <v>180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119</v>
      </c>
      <c r="AC120" s="95"/>
      <c r="AD120" s="95" t="s">
        <v>2559</v>
      </c>
      <c r="AE120" s="337"/>
      <c r="AF120" s="337"/>
      <c r="AG120" s="337"/>
      <c r="AH120" s="337"/>
      <c r="AI120" s="337"/>
      <c r="AJ120" s="337"/>
      <c r="AK120" s="337"/>
      <c r="AL120" s="337"/>
      <c r="AM120" s="337"/>
      <c r="AN120" s="337"/>
      <c r="AO120" s="337"/>
      <c r="AP120" s="337"/>
      <c r="AQ120" s="337"/>
      <c r="AR120" s="171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1">
        <v>1397359.3</v>
      </c>
      <c r="AY120" s="171">
        <v>1382895.07</v>
      </c>
      <c r="AZ120" s="171">
        <v>1130330.72</v>
      </c>
      <c r="BA120" s="171">
        <v>1108698.66</v>
      </c>
      <c r="BB120" s="171">
        <v>1070244.15</v>
      </c>
      <c r="BC120" s="171">
        <v>1060496.31</v>
      </c>
      <c r="BD120" s="171">
        <v>866917.0</v>
      </c>
      <c r="BE120" s="171">
        <v>534965.29</v>
      </c>
      <c r="BF120" s="171">
        <v>495302.66</v>
      </c>
      <c r="BG120" s="171">
        <v>515909.11</v>
      </c>
      <c r="BH120" s="171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  <c r="CI120" s="329"/>
    </row>
    <row r="121" ht="15.75" customHeight="1">
      <c r="A121" s="317" t="s">
        <v>2547</v>
      </c>
      <c r="B121" s="235" t="s">
        <v>960</v>
      </c>
      <c r="C121" s="219" t="s">
        <v>2894</v>
      </c>
      <c r="D121" s="319" t="s">
        <v>18</v>
      </c>
      <c r="E121" s="319" t="s">
        <v>176</v>
      </c>
      <c r="F121" s="319" t="s">
        <v>177</v>
      </c>
      <c r="G121" s="44" t="str">
        <f t="shared" si="1"/>
        <v>Augusto</v>
      </c>
      <c r="H121" s="165" t="s">
        <v>147</v>
      </c>
      <c r="I121" s="51" t="s">
        <v>219</v>
      </c>
      <c r="J121" s="319" t="str">
        <f t="shared" si="2"/>
        <v>Não</v>
      </c>
      <c r="K121" s="320">
        <v>44263.0</v>
      </c>
      <c r="L121" s="95"/>
      <c r="M121" s="95" t="s">
        <v>269</v>
      </c>
      <c r="N121" s="334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107</v>
      </c>
      <c r="S121" s="320">
        <v>44263.0</v>
      </c>
      <c r="T121" s="74"/>
      <c r="U121" s="169"/>
      <c r="V121" s="45" t="s">
        <v>108</v>
      </c>
      <c r="W121" s="13" t="s">
        <v>963</v>
      </c>
      <c r="X121" s="164" t="s">
        <v>180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119</v>
      </c>
      <c r="AC121" s="95"/>
      <c r="AD121" s="95" t="s">
        <v>2609</v>
      </c>
      <c r="AE121" s="337"/>
      <c r="AF121" s="337"/>
      <c r="AG121" s="337"/>
      <c r="AH121" s="337"/>
      <c r="AI121" s="337"/>
      <c r="AJ121" s="337"/>
      <c r="AK121" s="337"/>
      <c r="AL121" s="337"/>
      <c r="AM121" s="337"/>
      <c r="AN121" s="337"/>
      <c r="AO121" s="337"/>
      <c r="AP121" s="337"/>
      <c r="AQ121" s="337"/>
      <c r="AR121" s="171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1">
        <v>740041.95</v>
      </c>
      <c r="AY121" s="171">
        <v>708683.5</v>
      </c>
      <c r="AZ121" s="171">
        <v>675485.04</v>
      </c>
      <c r="BA121" s="171">
        <v>643794.06</v>
      </c>
      <c r="BB121" s="171">
        <v>603275.9</v>
      </c>
      <c r="BC121" s="171">
        <v>584002.85</v>
      </c>
      <c r="BD121" s="171">
        <v>588555.89</v>
      </c>
      <c r="BE121" s="171">
        <v>621108.62</v>
      </c>
      <c r="BF121" s="171">
        <v>624968.56</v>
      </c>
      <c r="BG121" s="171">
        <v>535880.07</v>
      </c>
      <c r="BH121" s="171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  <c r="CI121" s="329"/>
    </row>
    <row r="122" ht="15.75" customHeight="1">
      <c r="A122" s="317" t="s">
        <v>2547</v>
      </c>
      <c r="B122" s="235" t="s">
        <v>2895</v>
      </c>
      <c r="C122" s="331" t="s">
        <v>2896</v>
      </c>
      <c r="D122" s="319" t="s">
        <v>2659</v>
      </c>
      <c r="E122" s="319" t="s">
        <v>29</v>
      </c>
      <c r="F122" s="95" t="s">
        <v>2659</v>
      </c>
      <c r="G122" s="44" t="str">
        <f t="shared" si="1"/>
        <v>Augusto</v>
      </c>
      <c r="H122" s="332" t="s">
        <v>186</v>
      </c>
      <c r="I122" s="46" t="s">
        <v>24</v>
      </c>
      <c r="J122" s="319" t="str">
        <f t="shared" si="2"/>
        <v>Não</v>
      </c>
      <c r="K122" s="338">
        <v>43829.0</v>
      </c>
      <c r="L122" s="333">
        <v>44375.0</v>
      </c>
      <c r="M122" s="95" t="s">
        <v>190</v>
      </c>
      <c r="N122" s="334">
        <v>0.025</v>
      </c>
      <c r="O122" s="319" t="s">
        <v>191</v>
      </c>
      <c r="P122" s="322">
        <v>0.2</v>
      </c>
      <c r="Q122" s="95" t="str">
        <f>IFERROR(VLOOKUP(F122,'Cadastro de assessores'!A:B,2,FALSE),"Não Cadastrado")</f>
        <v>22400</v>
      </c>
      <c r="R122" s="95" t="s">
        <v>2563</v>
      </c>
      <c r="S122" s="338">
        <v>43829.0</v>
      </c>
      <c r="T122" s="169"/>
      <c r="U122" s="169"/>
      <c r="V122" s="45" t="s">
        <v>108</v>
      </c>
      <c r="W122" s="13" t="s">
        <v>2897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2623</v>
      </c>
      <c r="AE122" s="171">
        <v>401894.13</v>
      </c>
      <c r="AF122" s="171">
        <v>379755.7</v>
      </c>
      <c r="AG122" s="171">
        <v>284039.57</v>
      </c>
      <c r="AH122" s="171">
        <v>300678.76</v>
      </c>
      <c r="AI122" s="171">
        <v>312336.75</v>
      </c>
      <c r="AJ122" s="171">
        <v>331301.5</v>
      </c>
      <c r="AK122" s="171">
        <v>355682.71</v>
      </c>
      <c r="AL122" s="171">
        <v>332861.06</v>
      </c>
      <c r="AM122" s="171">
        <v>316447.84</v>
      </c>
      <c r="AN122" s="171">
        <v>321440.48</v>
      </c>
      <c r="AO122" s="171">
        <v>365748.37</v>
      </c>
      <c r="AP122" s="171">
        <v>382843.69</v>
      </c>
      <c r="AQ122" s="171">
        <v>367895.75</v>
      </c>
      <c r="AR122" s="171">
        <v>338322.05</v>
      </c>
      <c r="AS122" s="171">
        <v>327804.7</v>
      </c>
      <c r="AT122" s="171">
        <v>356872.11</v>
      </c>
      <c r="AU122" s="171">
        <v>356938.37</v>
      </c>
      <c r="AV122" s="171">
        <v>358898.73</v>
      </c>
      <c r="AW122" s="171">
        <v>373842.57</v>
      </c>
      <c r="AX122" s="171">
        <v>368874.69</v>
      </c>
      <c r="AY122" s="171">
        <v>13800.5</v>
      </c>
      <c r="AZ122" s="171">
        <v>13551.66</v>
      </c>
      <c r="BA122" s="171">
        <v>13585.85</v>
      </c>
      <c r="BB122" s="171"/>
      <c r="BC122" s="171"/>
      <c r="BD122" s="171"/>
      <c r="BE122" s="171"/>
      <c r="BF122" s="171">
        <v>0.0</v>
      </c>
      <c r="BG122" s="171">
        <v>0.0</v>
      </c>
      <c r="BH122" s="171">
        <v>0.0</v>
      </c>
      <c r="BI122" s="171" t="s">
        <v>2566</v>
      </c>
      <c r="BJ122" s="171">
        <v>0.0</v>
      </c>
      <c r="BK122" s="171" t="s">
        <v>2566</v>
      </c>
      <c r="BL122" s="171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  <c r="CI122" s="329"/>
    </row>
    <row r="123" ht="15.75" customHeight="1">
      <c r="A123" s="317" t="s">
        <v>2547</v>
      </c>
      <c r="B123" s="61" t="s">
        <v>2898</v>
      </c>
      <c r="C123" s="330">
        <v>4398183.0</v>
      </c>
      <c r="D123" s="319" t="s">
        <v>18</v>
      </c>
      <c r="E123" s="319" t="s">
        <v>176</v>
      </c>
      <c r="F123" s="319" t="s">
        <v>197</v>
      </c>
      <c r="G123" s="44" t="str">
        <f t="shared" si="1"/>
        <v>Augusto</v>
      </c>
      <c r="H123" s="165" t="s">
        <v>147</v>
      </c>
      <c r="I123" s="51" t="s">
        <v>219</v>
      </c>
      <c r="J123" s="319" t="str">
        <f t="shared" si="2"/>
        <v>Não</v>
      </c>
      <c r="K123" s="333">
        <v>44602.0</v>
      </c>
      <c r="L123" s="45"/>
      <c r="M123" s="95" t="s">
        <v>47</v>
      </c>
      <c r="N123" s="334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107</v>
      </c>
      <c r="S123" s="333">
        <v>44602.0</v>
      </c>
      <c r="T123" s="74"/>
      <c r="U123" s="169" t="s">
        <v>2899</v>
      </c>
      <c r="V123" s="45" t="s">
        <v>108</v>
      </c>
      <c r="W123" s="5" t="s">
        <v>2900</v>
      </c>
      <c r="X123" s="164" t="s">
        <v>180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119</v>
      </c>
      <c r="AC123" s="95"/>
      <c r="AD123" s="95" t="s">
        <v>2609</v>
      </c>
      <c r="AE123" s="337"/>
      <c r="AF123" s="337"/>
      <c r="AG123" s="337"/>
      <c r="AH123" s="337"/>
      <c r="AI123" s="337"/>
      <c r="AJ123" s="337"/>
      <c r="AK123" s="337"/>
      <c r="AL123" s="337"/>
      <c r="AM123" s="337"/>
      <c r="AN123" s="337"/>
      <c r="AO123" s="337"/>
      <c r="AP123" s="337"/>
      <c r="AQ123" s="337"/>
      <c r="AR123" s="171"/>
      <c r="AS123" s="326"/>
      <c r="AT123" s="326"/>
      <c r="AU123" s="326"/>
      <c r="AV123" s="326"/>
      <c r="AW123" s="326"/>
      <c r="AX123" s="171"/>
      <c r="AY123" s="171"/>
      <c r="AZ123" s="171"/>
      <c r="BA123" s="171"/>
      <c r="BB123" s="171"/>
      <c r="BC123" s="171"/>
      <c r="BD123" s="171"/>
      <c r="BE123" s="171"/>
      <c r="BF123" s="171">
        <v>212229.42</v>
      </c>
      <c r="BG123" s="171">
        <v>215008.49</v>
      </c>
      <c r="BH123" s="171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  <c r="CI123" s="329"/>
    </row>
    <row r="124" ht="15.75" customHeight="1">
      <c r="A124" s="317" t="s">
        <v>2547</v>
      </c>
      <c r="B124" s="235" t="s">
        <v>2901</v>
      </c>
      <c r="C124" s="331" t="s">
        <v>2902</v>
      </c>
      <c r="D124" s="319" t="s">
        <v>18</v>
      </c>
      <c r="E124" s="319" t="s">
        <v>176</v>
      </c>
      <c r="F124" s="95" t="s">
        <v>197</v>
      </c>
      <c r="G124" s="44" t="str">
        <f t="shared" si="1"/>
        <v>Augusto</v>
      </c>
      <c r="H124" s="332" t="s">
        <v>186</v>
      </c>
      <c r="I124" s="46" t="s">
        <v>24</v>
      </c>
      <c r="J124" s="319" t="str">
        <f t="shared" si="2"/>
        <v>Não</v>
      </c>
      <c r="K124" s="338">
        <v>44298.0</v>
      </c>
      <c r="L124" s="333">
        <v>44599.0</v>
      </c>
      <c r="M124" s="95" t="s">
        <v>47</v>
      </c>
      <c r="N124" s="334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2563</v>
      </c>
      <c r="S124" s="338">
        <v>44298.0</v>
      </c>
      <c r="T124" s="169"/>
      <c r="U124" s="169"/>
      <c r="V124" s="45" t="s">
        <v>108</v>
      </c>
      <c r="W124" s="13" t="s">
        <v>2903</v>
      </c>
      <c r="X124" s="95" t="s">
        <v>180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119</v>
      </c>
      <c r="AC124" s="95"/>
      <c r="AD124" s="95" t="s">
        <v>2609</v>
      </c>
      <c r="AE124" s="171"/>
      <c r="AF124" s="171"/>
      <c r="AG124" s="171"/>
      <c r="AH124" s="171"/>
      <c r="AI124" s="171"/>
      <c r="AJ124" s="171"/>
      <c r="AK124" s="171"/>
      <c r="AL124" s="171"/>
      <c r="AM124" s="171"/>
      <c r="AN124" s="171"/>
      <c r="AO124" s="171"/>
      <c r="AP124" s="171"/>
      <c r="AQ124" s="171"/>
      <c r="AR124" s="171"/>
      <c r="AS124" s="171"/>
      <c r="AT124" s="171"/>
      <c r="AU124" s="171"/>
      <c r="AV124" s="171"/>
      <c r="AW124" s="171">
        <v>336927.29</v>
      </c>
      <c r="AX124" s="171">
        <v>335477.07</v>
      </c>
      <c r="AY124" s="171">
        <v>300973.83</v>
      </c>
      <c r="AZ124" s="171">
        <v>295162.0</v>
      </c>
      <c r="BA124" s="171">
        <v>290725.14</v>
      </c>
      <c r="BB124" s="171">
        <v>283268.9</v>
      </c>
      <c r="BC124" s="171">
        <v>225505.95</v>
      </c>
      <c r="BD124" s="171">
        <v>184093.9</v>
      </c>
      <c r="BE124" s="171">
        <v>13893.64</v>
      </c>
      <c r="BF124" s="171">
        <v>-154.4</v>
      </c>
      <c r="BG124" s="171">
        <v>140.38</v>
      </c>
      <c r="BH124" s="171">
        <v>153.8</v>
      </c>
      <c r="BI124" s="171" t="s">
        <v>2566</v>
      </c>
      <c r="BJ124" s="171">
        <v>0.0</v>
      </c>
      <c r="BK124" s="171" t="s">
        <v>2566</v>
      </c>
      <c r="BL124" s="171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  <c r="CI124" s="329"/>
    </row>
    <row r="125" ht="15.75" customHeight="1">
      <c r="A125" s="317" t="s">
        <v>2547</v>
      </c>
      <c r="B125" s="42" t="s">
        <v>2901</v>
      </c>
      <c r="C125" s="330" t="s">
        <v>2904</v>
      </c>
      <c r="D125" s="319" t="s">
        <v>18</v>
      </c>
      <c r="E125" s="319" t="s">
        <v>176</v>
      </c>
      <c r="F125" s="93" t="s">
        <v>197</v>
      </c>
      <c r="G125" s="44" t="str">
        <f t="shared" si="1"/>
        <v>Augusto</v>
      </c>
      <c r="H125" s="165" t="s">
        <v>147</v>
      </c>
      <c r="I125" s="51" t="s">
        <v>219</v>
      </c>
      <c r="J125" s="319" t="str">
        <f t="shared" si="2"/>
        <v>Não</v>
      </c>
      <c r="K125" s="320">
        <v>44383.0</v>
      </c>
      <c r="L125" s="45"/>
      <c r="M125" s="95" t="s">
        <v>190</v>
      </c>
      <c r="N125" s="334">
        <v>0.025</v>
      </c>
      <c r="O125" s="319" t="s">
        <v>191</v>
      </c>
      <c r="P125" s="322">
        <v>0.2</v>
      </c>
      <c r="Q125" s="93" t="str">
        <f>IFERROR(VLOOKUP(F125,'Cadastro de assessores'!A:B,2,FALSE),"Não Cadastrado")</f>
        <v>28411</v>
      </c>
      <c r="R125" s="319" t="s">
        <v>107</v>
      </c>
      <c r="S125" s="320">
        <v>44382.0</v>
      </c>
      <c r="T125" s="50"/>
      <c r="U125" s="50"/>
      <c r="V125" s="45" t="s">
        <v>108</v>
      </c>
      <c r="W125" s="5" t="s">
        <v>2903</v>
      </c>
      <c r="X125" s="164" t="s">
        <v>180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119</v>
      </c>
      <c r="AC125" s="95"/>
      <c r="AD125" s="45" t="s">
        <v>2609</v>
      </c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71"/>
      <c r="AR125" s="326"/>
      <c r="AS125" s="326"/>
      <c r="AT125" s="326"/>
      <c r="AU125" s="326"/>
      <c r="AV125" s="326"/>
      <c r="AW125" s="171"/>
      <c r="AX125" s="191"/>
      <c r="AY125" s="171">
        <v>91437.24</v>
      </c>
      <c r="AZ125" s="171">
        <v>90420.2</v>
      </c>
      <c r="BA125" s="171">
        <v>87399.58</v>
      </c>
      <c r="BB125" s="171">
        <v>81870.99</v>
      </c>
      <c r="BC125" s="171">
        <v>74529.29</v>
      </c>
      <c r="BD125" s="171">
        <v>72837.91</v>
      </c>
      <c r="BE125" s="171">
        <v>76866.11</v>
      </c>
      <c r="BF125" s="171">
        <v>77827.62</v>
      </c>
      <c r="BG125" s="171">
        <v>83664.45</v>
      </c>
      <c r="BH125" s="171">
        <v>79200.4</v>
      </c>
      <c r="BI125" s="365" t="s">
        <v>2566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  <c r="CI125" s="329"/>
    </row>
    <row r="126" ht="15.75" customHeight="1">
      <c r="A126" s="317" t="s">
        <v>2547</v>
      </c>
      <c r="B126" s="42" t="s">
        <v>2905</v>
      </c>
      <c r="C126" s="330" t="s">
        <v>2906</v>
      </c>
      <c r="D126" s="319" t="s">
        <v>18</v>
      </c>
      <c r="E126" s="319" t="s">
        <v>176</v>
      </c>
      <c r="F126" s="319" t="s">
        <v>177</v>
      </c>
      <c r="G126" s="44" t="str">
        <f t="shared" si="1"/>
        <v>Augusto</v>
      </c>
      <c r="H126" s="165" t="s">
        <v>147</v>
      </c>
      <c r="I126" s="51" t="s">
        <v>219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4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147</v>
      </c>
      <c r="S126" s="320">
        <v>44322.0</v>
      </c>
      <c r="T126" s="50"/>
      <c r="U126" s="50"/>
      <c r="V126" s="45" t="s">
        <v>108</v>
      </c>
      <c r="W126" s="5" t="s">
        <v>2907</v>
      </c>
      <c r="X126" s="164" t="s">
        <v>180</v>
      </c>
      <c r="Y126" s="51" t="str">
        <f t="shared" si="3"/>
        <v>Inativo</v>
      </c>
      <c r="Z126" s="325"/>
      <c r="AA126" s="95" t="str">
        <f t="shared" si="4"/>
        <v/>
      </c>
      <c r="AB126" s="13" t="s">
        <v>119</v>
      </c>
      <c r="AC126" s="95"/>
      <c r="AD126" s="95" t="s">
        <v>2700</v>
      </c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71"/>
      <c r="AS126" s="326"/>
      <c r="AT126" s="326"/>
      <c r="AU126" s="326"/>
      <c r="AV126" s="326"/>
      <c r="AW126" s="326">
        <v>90924.45</v>
      </c>
      <c r="AX126" s="171">
        <v>91857.52</v>
      </c>
      <c r="AY126" s="171">
        <v>79864.58</v>
      </c>
      <c r="AZ126" s="171">
        <v>2424.12</v>
      </c>
      <c r="BA126" s="171"/>
      <c r="BB126" s="171">
        <v>0.15</v>
      </c>
      <c r="BC126" s="171">
        <v>0.24</v>
      </c>
      <c r="BD126" s="171">
        <v>0.24</v>
      </c>
      <c r="BE126" s="171"/>
      <c r="BF126" s="171">
        <v>0.0</v>
      </c>
      <c r="BG126" s="171">
        <v>0.0</v>
      </c>
      <c r="BH126" s="171">
        <v>0.0</v>
      </c>
      <c r="BI126" s="327" t="s">
        <v>2566</v>
      </c>
      <c r="BJ126" s="327">
        <v>0.0</v>
      </c>
      <c r="BK126" s="327" t="s">
        <v>2566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  <c r="CI126" s="329"/>
    </row>
    <row r="127" ht="15.75" customHeight="1">
      <c r="A127" s="317" t="s">
        <v>2547</v>
      </c>
      <c r="B127" s="42" t="s">
        <v>993</v>
      </c>
      <c r="C127" s="43" t="s">
        <v>2908</v>
      </c>
      <c r="D127" s="319" t="s">
        <v>18</v>
      </c>
      <c r="E127" s="319" t="s">
        <v>176</v>
      </c>
      <c r="F127" s="319" t="s">
        <v>177</v>
      </c>
      <c r="G127" s="44" t="str">
        <f t="shared" si="1"/>
        <v>Augusto</v>
      </c>
      <c r="H127" s="165" t="s">
        <v>147</v>
      </c>
      <c r="I127" s="51" t="s">
        <v>219</v>
      </c>
      <c r="J127" s="319" t="str">
        <f t="shared" si="2"/>
        <v>Não</v>
      </c>
      <c r="K127" s="320">
        <v>44844.0</v>
      </c>
      <c r="L127" s="95"/>
      <c r="M127" s="95" t="s">
        <v>55</v>
      </c>
      <c r="N127" s="334">
        <v>0.01</v>
      </c>
      <c r="O127" s="319" t="s">
        <v>2552</v>
      </c>
      <c r="P127" s="322">
        <v>0.0</v>
      </c>
      <c r="Q127" s="319" t="str">
        <f>IFERROR(VLOOKUP(F127,'Cadastro de assessores'!A:B,2,FALSE),"Não Cadastrado")</f>
        <v>250</v>
      </c>
      <c r="R127" s="95" t="s">
        <v>107</v>
      </c>
      <c r="S127" s="320">
        <v>44826.0</v>
      </c>
      <c r="T127" s="63"/>
      <c r="U127" s="373" t="s">
        <v>2909</v>
      </c>
      <c r="V127" s="45" t="s">
        <v>108</v>
      </c>
      <c r="W127" s="5" t="s">
        <v>995</v>
      </c>
      <c r="X127" s="5" t="s">
        <v>180</v>
      </c>
      <c r="Y127" s="51" t="str">
        <f t="shared" si="3"/>
        <v>Ativo</v>
      </c>
      <c r="Z127" s="325"/>
      <c r="AA127" s="95" t="str">
        <f t="shared" si="4"/>
        <v/>
      </c>
      <c r="AB127" s="13" t="s">
        <v>119</v>
      </c>
      <c r="AC127" s="95"/>
      <c r="AD127" s="95"/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1"/>
      <c r="AQ127" s="191"/>
      <c r="AR127" s="191"/>
      <c r="AS127" s="326"/>
      <c r="AT127" s="326"/>
      <c r="AU127" s="326"/>
      <c r="AV127" s="191"/>
      <c r="AW127" s="191"/>
      <c r="AX127" s="171"/>
      <c r="AY127" s="171"/>
      <c r="AZ127" s="171"/>
      <c r="BA127" s="171"/>
      <c r="BB127" s="171"/>
      <c r="BC127" s="171"/>
      <c r="BD127" s="171"/>
      <c r="BE127" s="171"/>
      <c r="BF127" s="171"/>
      <c r="BG127" s="171"/>
      <c r="BH127" s="171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  <c r="CI127" s="329"/>
    </row>
    <row r="128" ht="15.75" customHeight="1">
      <c r="A128" s="317" t="s">
        <v>2547</v>
      </c>
      <c r="B128" s="42" t="s">
        <v>996</v>
      </c>
      <c r="C128" s="43" t="s">
        <v>2910</v>
      </c>
      <c r="D128" s="319" t="s">
        <v>18</v>
      </c>
      <c r="E128" s="319" t="s">
        <v>176</v>
      </c>
      <c r="F128" s="93" t="s">
        <v>177</v>
      </c>
      <c r="G128" s="44" t="str">
        <f t="shared" si="1"/>
        <v>Augusto</v>
      </c>
      <c r="H128" s="165" t="s">
        <v>147</v>
      </c>
      <c r="I128" s="51" t="s">
        <v>219</v>
      </c>
      <c r="J128" s="319" t="str">
        <f t="shared" si="2"/>
        <v>Não</v>
      </c>
      <c r="K128" s="320">
        <v>44340.0</v>
      </c>
      <c r="L128" s="95"/>
      <c r="M128" s="95" t="s">
        <v>79</v>
      </c>
      <c r="N128" s="334">
        <v>0.012</v>
      </c>
      <c r="O128" s="319" t="s">
        <v>2552</v>
      </c>
      <c r="P128" s="322">
        <v>0.0</v>
      </c>
      <c r="Q128" s="93" t="str">
        <f>IFERROR(VLOOKUP(F128,'Cadastro de assessores'!A:B,2,FALSE),"Não Cadastrado")</f>
        <v>250</v>
      </c>
      <c r="R128" s="95" t="s">
        <v>107</v>
      </c>
      <c r="S128" s="320">
        <v>44340.0</v>
      </c>
      <c r="T128" s="50"/>
      <c r="U128" s="50"/>
      <c r="V128" s="45" t="s">
        <v>108</v>
      </c>
      <c r="W128" s="5" t="s">
        <v>999</v>
      </c>
      <c r="X128" s="164" t="s">
        <v>180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119</v>
      </c>
      <c r="AC128" s="95"/>
      <c r="AD128" s="95" t="s">
        <v>2609</v>
      </c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/>
      <c r="AQ128" s="191"/>
      <c r="AR128" s="191"/>
      <c r="AS128" s="326"/>
      <c r="AT128" s="326"/>
      <c r="AU128" s="326"/>
      <c r="AV128" s="191"/>
      <c r="AW128" s="191">
        <v>489686.49</v>
      </c>
      <c r="AX128" s="171">
        <v>423617.47</v>
      </c>
      <c r="AY128" s="171">
        <v>466064.53</v>
      </c>
      <c r="AZ128" s="171">
        <v>340350.57</v>
      </c>
      <c r="BA128" s="171">
        <v>309174.83</v>
      </c>
      <c r="BB128" s="171">
        <v>304228.53</v>
      </c>
      <c r="BC128" s="171">
        <v>290378.93</v>
      </c>
      <c r="BD128" s="171">
        <v>304641.26</v>
      </c>
      <c r="BE128" s="171">
        <v>312031.24</v>
      </c>
      <c r="BF128" s="171">
        <v>316240.13</v>
      </c>
      <c r="BG128" s="171">
        <v>325797.56</v>
      </c>
      <c r="BH128" s="171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  <c r="CI128" s="329"/>
    </row>
    <row r="129" ht="15.75" customHeight="1">
      <c r="A129" s="317" t="s">
        <v>2547</v>
      </c>
      <c r="B129" s="344" t="s">
        <v>2911</v>
      </c>
      <c r="C129" s="219" t="s">
        <v>2912</v>
      </c>
      <c r="D129" s="319" t="s">
        <v>18</v>
      </c>
      <c r="E129" s="319" t="s">
        <v>176</v>
      </c>
      <c r="F129" s="319" t="s">
        <v>197</v>
      </c>
      <c r="G129" s="44" t="str">
        <f t="shared" si="1"/>
        <v>Augusto</v>
      </c>
      <c r="H129" s="165" t="s">
        <v>147</v>
      </c>
      <c r="I129" s="51" t="s">
        <v>219</v>
      </c>
      <c r="J129" s="319" t="str">
        <f t="shared" si="2"/>
        <v>Não</v>
      </c>
      <c r="K129" s="320">
        <v>44280.0</v>
      </c>
      <c r="L129" s="45"/>
      <c r="M129" s="95" t="s">
        <v>269</v>
      </c>
      <c r="N129" s="334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107</v>
      </c>
      <c r="S129" s="320">
        <v>44272.0</v>
      </c>
      <c r="T129" s="50"/>
      <c r="U129" s="169"/>
      <c r="V129" s="45" t="s">
        <v>108</v>
      </c>
      <c r="W129" s="324" t="s">
        <v>1012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119</v>
      </c>
      <c r="AC129" s="95"/>
      <c r="AD129" s="95" t="s">
        <v>2596</v>
      </c>
      <c r="AE129" s="337"/>
      <c r="AF129" s="337"/>
      <c r="AG129" s="337"/>
      <c r="AH129" s="337"/>
      <c r="AI129" s="337"/>
      <c r="AJ129" s="337"/>
      <c r="AK129" s="337"/>
      <c r="AL129" s="337"/>
      <c r="AM129" s="337"/>
      <c r="AN129" s="337"/>
      <c r="AO129" s="337"/>
      <c r="AP129" s="337"/>
      <c r="AQ129" s="337"/>
      <c r="AR129" s="171"/>
      <c r="AS129" s="326"/>
      <c r="AT129" s="326">
        <v>417059.31</v>
      </c>
      <c r="AU129" s="326"/>
      <c r="AV129" s="326">
        <v>421900.04</v>
      </c>
      <c r="AW129" s="326">
        <v>440578.46</v>
      </c>
      <c r="AX129" s="171">
        <v>447234.64</v>
      </c>
      <c r="AY129" s="171">
        <v>449690.22</v>
      </c>
      <c r="AZ129" s="171">
        <v>490985.51</v>
      </c>
      <c r="BA129" s="171">
        <v>436358.5</v>
      </c>
      <c r="BB129" s="171">
        <v>456135.79</v>
      </c>
      <c r="BC129" s="171">
        <v>448178.3</v>
      </c>
      <c r="BD129" s="171">
        <v>452319.23</v>
      </c>
      <c r="BE129" s="171">
        <v>406903.62</v>
      </c>
      <c r="BF129" s="171">
        <v>410212.95</v>
      </c>
      <c r="BG129" s="171">
        <v>422864.91</v>
      </c>
      <c r="BH129" s="171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  <c r="CI129" s="329"/>
    </row>
    <row r="130" ht="15.75" customHeight="1">
      <c r="A130" s="317" t="s">
        <v>2547</v>
      </c>
      <c r="B130" s="344" t="s">
        <v>1013</v>
      </c>
      <c r="C130" s="330" t="s">
        <v>2913</v>
      </c>
      <c r="D130" s="319" t="s">
        <v>18</v>
      </c>
      <c r="E130" s="319" t="s">
        <v>176</v>
      </c>
      <c r="F130" s="319" t="s">
        <v>177</v>
      </c>
      <c r="G130" s="44" t="str">
        <f t="shared" si="1"/>
        <v>Augusto</v>
      </c>
      <c r="H130" s="332" t="s">
        <v>186</v>
      </c>
      <c r="I130" s="46" t="s">
        <v>24</v>
      </c>
      <c r="J130" s="319" t="str">
        <f t="shared" si="2"/>
        <v>Não</v>
      </c>
      <c r="K130" s="95" t="s">
        <v>2600</v>
      </c>
      <c r="L130" s="123">
        <v>44858.0</v>
      </c>
      <c r="M130" s="45" t="s">
        <v>2914</v>
      </c>
      <c r="N130" s="334">
        <v>0.01</v>
      </c>
      <c r="O130" s="319" t="s">
        <v>2552</v>
      </c>
      <c r="P130" s="322">
        <v>0.0</v>
      </c>
      <c r="Q130" s="319" t="str">
        <f>IFERROR(VLOOKUP(F130,'Cadastro de assessores'!A:B,2,FALSE),"Não Cadastrado")</f>
        <v>250</v>
      </c>
      <c r="R130" s="319" t="s">
        <v>147</v>
      </c>
      <c r="S130" s="95" t="s">
        <v>2600</v>
      </c>
      <c r="T130" s="169"/>
      <c r="U130" s="169"/>
      <c r="V130" s="45" t="s">
        <v>108</v>
      </c>
      <c r="W130" s="324" t="s">
        <v>2903</v>
      </c>
      <c r="X130" s="164" t="s">
        <v>180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2609</v>
      </c>
      <c r="AE130" s="337"/>
      <c r="AF130" s="337"/>
      <c r="AG130" s="337"/>
      <c r="AH130" s="337"/>
      <c r="AI130" s="337"/>
      <c r="AJ130" s="337"/>
      <c r="AK130" s="337"/>
      <c r="AL130" s="337"/>
      <c r="AM130" s="337"/>
      <c r="AN130" s="337"/>
      <c r="AO130" s="337"/>
      <c r="AP130" s="337"/>
      <c r="AQ130" s="337"/>
      <c r="AR130" s="171"/>
      <c r="AS130" s="326"/>
      <c r="AT130" s="326"/>
      <c r="AU130" s="326"/>
      <c r="AV130" s="326"/>
      <c r="AW130" s="326"/>
      <c r="AX130" s="171"/>
      <c r="AY130" s="171"/>
      <c r="AZ130" s="171"/>
      <c r="BA130" s="171"/>
      <c r="BB130" s="171"/>
      <c r="BC130" s="171">
        <v>377128.2</v>
      </c>
      <c r="BD130" s="171">
        <v>379912.22</v>
      </c>
      <c r="BE130" s="171">
        <v>392174.66</v>
      </c>
      <c r="BF130" s="171">
        <v>0.0</v>
      </c>
      <c r="BG130" s="171">
        <v>0.0</v>
      </c>
      <c r="BH130" s="171">
        <v>0.0</v>
      </c>
      <c r="BI130" s="327" t="s">
        <v>2566</v>
      </c>
      <c r="BJ130" s="327">
        <v>0.0</v>
      </c>
      <c r="BK130" s="327" t="s">
        <v>2566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  <c r="CI130" s="329"/>
    </row>
    <row r="131" ht="15.75" customHeight="1">
      <c r="A131" s="317" t="s">
        <v>2547</v>
      </c>
      <c r="B131" s="344" t="s">
        <v>2915</v>
      </c>
      <c r="C131" s="331" t="s">
        <v>2916</v>
      </c>
      <c r="D131" s="319" t="s">
        <v>18</v>
      </c>
      <c r="E131" s="319" t="s">
        <v>176</v>
      </c>
      <c r="F131" s="319" t="s">
        <v>177</v>
      </c>
      <c r="G131" s="44" t="str">
        <f t="shared" si="1"/>
        <v>Augusto</v>
      </c>
      <c r="H131" s="332" t="s">
        <v>147</v>
      </c>
      <c r="I131" s="51" t="s">
        <v>219</v>
      </c>
      <c r="J131" s="319" t="str">
        <f t="shared" si="2"/>
        <v>Não</v>
      </c>
      <c r="K131" s="320">
        <v>44266.0</v>
      </c>
      <c r="L131" s="45"/>
      <c r="M131" s="95" t="s">
        <v>269</v>
      </c>
      <c r="N131" s="334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107</v>
      </c>
      <c r="S131" s="320">
        <v>44252.0</v>
      </c>
      <c r="T131" s="63"/>
      <c r="U131" s="336" t="s">
        <v>2917</v>
      </c>
      <c r="V131" s="45" t="s">
        <v>108</v>
      </c>
      <c r="W131" s="324" t="s">
        <v>2903</v>
      </c>
      <c r="X131" s="164" t="s">
        <v>180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119</v>
      </c>
      <c r="AC131" s="95"/>
      <c r="AD131" s="95" t="s">
        <v>2609</v>
      </c>
      <c r="AE131" s="337"/>
      <c r="AF131" s="337"/>
      <c r="AG131" s="337"/>
      <c r="AH131" s="337"/>
      <c r="AI131" s="337"/>
      <c r="AJ131" s="337"/>
      <c r="AK131" s="337"/>
      <c r="AL131" s="337"/>
      <c r="AM131" s="337"/>
      <c r="AN131" s="337"/>
      <c r="AO131" s="337"/>
      <c r="AP131" s="337"/>
      <c r="AQ131" s="337"/>
      <c r="AR131" s="171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1">
        <v>420138.16</v>
      </c>
      <c r="AY131" s="171">
        <v>413133.82</v>
      </c>
      <c r="AZ131" s="171">
        <v>400513.29</v>
      </c>
      <c r="BA131" s="171">
        <v>355952.91</v>
      </c>
      <c r="BB131" s="171">
        <v>383022.45</v>
      </c>
      <c r="BC131" s="171"/>
      <c r="BD131" s="171"/>
      <c r="BE131" s="171"/>
      <c r="BF131" s="171">
        <v>394896.75</v>
      </c>
      <c r="BG131" s="171">
        <v>416016.92</v>
      </c>
      <c r="BH131" s="171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  <c r="CI131" s="329"/>
    </row>
    <row r="132" ht="15.75" customHeight="1">
      <c r="A132" s="317" t="s">
        <v>2547</v>
      </c>
      <c r="B132" s="235" t="s">
        <v>2918</v>
      </c>
      <c r="C132" s="331" t="s">
        <v>2919</v>
      </c>
      <c r="D132" s="319" t="s">
        <v>18</v>
      </c>
      <c r="E132" s="319" t="s">
        <v>176</v>
      </c>
      <c r="F132" s="95" t="s">
        <v>177</v>
      </c>
      <c r="G132" s="44" t="str">
        <f t="shared" si="1"/>
        <v>Augusto</v>
      </c>
      <c r="H132" s="332" t="s">
        <v>186</v>
      </c>
      <c r="I132" s="46" t="s">
        <v>24</v>
      </c>
      <c r="J132" s="319" t="str">
        <f t="shared" si="2"/>
        <v>Não</v>
      </c>
      <c r="K132" s="333">
        <v>44280.0</v>
      </c>
      <c r="L132" s="72">
        <v>44580.0</v>
      </c>
      <c r="M132" s="95" t="s">
        <v>269</v>
      </c>
      <c r="N132" s="334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2563</v>
      </c>
      <c r="S132" s="333">
        <v>44280.0</v>
      </c>
      <c r="T132" s="169"/>
      <c r="U132" s="169"/>
      <c r="V132" s="45" t="s">
        <v>108</v>
      </c>
      <c r="W132" s="13" t="s">
        <v>2920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2921</v>
      </c>
      <c r="AE132" s="337"/>
      <c r="AF132" s="337"/>
      <c r="AG132" s="337"/>
      <c r="AH132" s="337"/>
      <c r="AI132" s="337"/>
      <c r="AJ132" s="337"/>
      <c r="AK132" s="337"/>
      <c r="AL132" s="337"/>
      <c r="AM132" s="337"/>
      <c r="AN132" s="337"/>
      <c r="AO132" s="337"/>
      <c r="AP132" s="337"/>
      <c r="AQ132" s="337"/>
      <c r="AR132" s="171"/>
      <c r="AS132" s="171">
        <v>612189.27</v>
      </c>
      <c r="AT132" s="171">
        <v>620233.35</v>
      </c>
      <c r="AU132" s="171"/>
      <c r="AV132" s="171">
        <v>717347.06</v>
      </c>
      <c r="AW132" s="171">
        <v>738290.09</v>
      </c>
      <c r="AX132" s="171">
        <v>733323.3</v>
      </c>
      <c r="AY132" s="171">
        <v>721372.57</v>
      </c>
      <c r="AZ132" s="171">
        <v>701552.22</v>
      </c>
      <c r="BA132" s="171">
        <v>649615.97</v>
      </c>
      <c r="BB132" s="171">
        <v>652980.85</v>
      </c>
      <c r="BC132" s="171">
        <v>642210.98</v>
      </c>
      <c r="BD132" s="171">
        <v>648751.76</v>
      </c>
      <c r="BE132" s="171"/>
      <c r="BF132" s="171">
        <v>0.0</v>
      </c>
      <c r="BG132" s="171">
        <v>0.0</v>
      </c>
      <c r="BH132" s="171">
        <v>0.0</v>
      </c>
      <c r="BI132" s="171" t="s">
        <v>2566</v>
      </c>
      <c r="BJ132" s="171">
        <v>0.0</v>
      </c>
      <c r="BK132" s="171" t="s">
        <v>2566</v>
      </c>
      <c r="BL132" s="171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  <c r="CI132" s="329"/>
    </row>
    <row r="133" ht="15.75" customHeight="1">
      <c r="A133" s="317" t="s">
        <v>2547</v>
      </c>
      <c r="B133" s="368" t="s">
        <v>2922</v>
      </c>
      <c r="C133" s="71" t="s">
        <v>2923</v>
      </c>
      <c r="D133" s="319" t="s">
        <v>18</v>
      </c>
      <c r="E133" s="319" t="s">
        <v>29</v>
      </c>
      <c r="F133" s="319" t="s">
        <v>2605</v>
      </c>
      <c r="G133" s="44" t="str">
        <f t="shared" si="1"/>
        <v>Breno</v>
      </c>
      <c r="H133" s="165" t="s">
        <v>107</v>
      </c>
      <c r="I133" s="46" t="s">
        <v>24</v>
      </c>
      <c r="J133" s="319" t="str">
        <f t="shared" si="2"/>
        <v>Não</v>
      </c>
      <c r="K133" s="333">
        <v>45013.0</v>
      </c>
      <c r="L133" s="45"/>
      <c r="M133" s="95" t="s">
        <v>55</v>
      </c>
      <c r="N133" s="334">
        <v>0.01</v>
      </c>
      <c r="O133" s="319" t="s">
        <v>2552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3"/>
      <c r="T133" s="169"/>
      <c r="U133" s="169"/>
      <c r="V133" s="45" t="s">
        <v>108</v>
      </c>
      <c r="W133" s="374" t="s">
        <v>2924</v>
      </c>
      <c r="X133" s="5" t="s">
        <v>791</v>
      </c>
      <c r="Y133" s="51" t="str">
        <f t="shared" si="3"/>
        <v>Ativo</v>
      </c>
      <c r="Z133" s="325"/>
      <c r="AA133" s="95" t="str">
        <f t="shared" si="4"/>
        <v/>
      </c>
      <c r="AB133" s="13" t="s">
        <v>119</v>
      </c>
      <c r="AC133" s="95"/>
      <c r="AD133" s="95"/>
      <c r="AE133" s="337"/>
      <c r="AF133" s="337"/>
      <c r="AG133" s="337"/>
      <c r="AH133" s="337"/>
      <c r="AI133" s="337"/>
      <c r="AJ133" s="337"/>
      <c r="AK133" s="337"/>
      <c r="AL133" s="337"/>
      <c r="AM133" s="337"/>
      <c r="AN133" s="337"/>
      <c r="AO133" s="337"/>
      <c r="AP133" s="337"/>
      <c r="AQ133" s="337"/>
      <c r="AR133" s="337"/>
      <c r="AS133" s="337"/>
      <c r="AT133" s="171"/>
      <c r="AU133" s="171"/>
      <c r="AV133" s="171"/>
      <c r="AW133" s="171"/>
      <c r="AX133" s="171"/>
      <c r="AY133" s="171"/>
      <c r="AZ133" s="171"/>
      <c r="BA133" s="171"/>
      <c r="BB133" s="171"/>
      <c r="BC133" s="171"/>
      <c r="BD133" s="171"/>
      <c r="BE133" s="171"/>
      <c r="BF133" s="171"/>
      <c r="BG133" s="171"/>
      <c r="BH133" s="171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  <c r="CI133" s="329"/>
    </row>
    <row r="134" ht="15.75" customHeight="1">
      <c r="A134" s="317" t="s">
        <v>2547</v>
      </c>
      <c r="B134" s="235" t="s">
        <v>2925</v>
      </c>
      <c r="C134" s="219" t="s">
        <v>2926</v>
      </c>
      <c r="D134" s="319" t="s">
        <v>18</v>
      </c>
      <c r="E134" s="319" t="s">
        <v>176</v>
      </c>
      <c r="F134" s="319" t="s">
        <v>197</v>
      </c>
      <c r="G134" s="44" t="str">
        <f t="shared" si="1"/>
        <v>Augusto</v>
      </c>
      <c r="H134" s="332" t="s">
        <v>186</v>
      </c>
      <c r="I134" s="46" t="s">
        <v>24</v>
      </c>
      <c r="J134" s="319" t="str">
        <f t="shared" si="2"/>
        <v>Não</v>
      </c>
      <c r="K134" s="333">
        <v>44272.0</v>
      </c>
      <c r="L134" s="82">
        <v>44970.0</v>
      </c>
      <c r="M134" s="95" t="s">
        <v>55</v>
      </c>
      <c r="N134" s="334">
        <v>0.007</v>
      </c>
      <c r="O134" s="319" t="s">
        <v>2552</v>
      </c>
      <c r="P134" s="322">
        <v>0.0</v>
      </c>
      <c r="Q134" s="319" t="str">
        <f>IFERROR(VLOOKUP(F134,'Cadastro de assessores'!A:B,2,FALSE),"Não Cadastrado")</f>
        <v>28411</v>
      </c>
      <c r="R134" s="95" t="s">
        <v>107</v>
      </c>
      <c r="S134" s="333">
        <v>44239.0</v>
      </c>
      <c r="T134" s="74"/>
      <c r="U134" s="169" t="s">
        <v>2927</v>
      </c>
      <c r="V134" s="45" t="s">
        <v>369</v>
      </c>
      <c r="W134" s="13" t="s">
        <v>2928</v>
      </c>
      <c r="X134" s="164" t="s">
        <v>180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119</v>
      </c>
      <c r="AC134" s="95"/>
      <c r="AD134" s="95" t="s">
        <v>2769</v>
      </c>
      <c r="AE134" s="337"/>
      <c r="AF134" s="337"/>
      <c r="AG134" s="337"/>
      <c r="AH134" s="337"/>
      <c r="AI134" s="337"/>
      <c r="AJ134" s="337"/>
      <c r="AK134" s="337"/>
      <c r="AL134" s="337"/>
      <c r="AM134" s="337"/>
      <c r="AN134" s="337"/>
      <c r="AO134" s="337"/>
      <c r="AP134" s="337"/>
      <c r="AQ134" s="337"/>
      <c r="AR134" s="337"/>
      <c r="AS134" s="337"/>
      <c r="AT134" s="171">
        <v>374689.33</v>
      </c>
      <c r="AU134" s="171">
        <v>378079.68</v>
      </c>
      <c r="AV134" s="171">
        <v>379592.31</v>
      </c>
      <c r="AW134" s="171">
        <v>438169.9</v>
      </c>
      <c r="AX134" s="171">
        <v>485601.21</v>
      </c>
      <c r="AY134" s="171">
        <v>477651.54</v>
      </c>
      <c r="AZ134" s="171">
        <v>462739.87</v>
      </c>
      <c r="BA134" s="171">
        <v>451256.16</v>
      </c>
      <c r="BB134" s="171">
        <v>432672.5</v>
      </c>
      <c r="BC134" s="171">
        <v>423156.8</v>
      </c>
      <c r="BD134" s="171">
        <v>420992.09</v>
      </c>
      <c r="BE134" s="171">
        <v>433350.0</v>
      </c>
      <c r="BF134" s="171">
        <v>436157.85</v>
      </c>
      <c r="BG134" s="171">
        <v>457691.57</v>
      </c>
      <c r="BH134" s="171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  <c r="CI134" s="329"/>
    </row>
    <row r="135" ht="15.75" customHeight="1">
      <c r="A135" s="317" t="s">
        <v>2547</v>
      </c>
      <c r="B135" s="61" t="s">
        <v>2929</v>
      </c>
      <c r="C135" s="144" t="s">
        <v>2930</v>
      </c>
      <c r="D135" s="319" t="s">
        <v>18</v>
      </c>
      <c r="E135" s="319" t="s">
        <v>29</v>
      </c>
      <c r="F135" s="319" t="s">
        <v>2931</v>
      </c>
      <c r="G135" s="44" t="str">
        <f t="shared" si="1"/>
        <v>Augusto</v>
      </c>
      <c r="H135" s="165" t="s">
        <v>147</v>
      </c>
      <c r="I135" s="51" t="s">
        <v>219</v>
      </c>
      <c r="J135" s="319" t="str">
        <f t="shared" si="2"/>
        <v>Não</v>
      </c>
      <c r="K135" s="333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108</v>
      </c>
      <c r="W135" s="5" t="s">
        <v>2932</v>
      </c>
      <c r="X135" s="5" t="s">
        <v>152</v>
      </c>
      <c r="Y135" s="51" t="str">
        <f t="shared" si="3"/>
        <v>Ativo</v>
      </c>
      <c r="Z135" s="325"/>
      <c r="AA135" s="95" t="str">
        <f t="shared" si="4"/>
        <v/>
      </c>
      <c r="AB135" s="13" t="s">
        <v>119</v>
      </c>
      <c r="AC135" s="95"/>
      <c r="AD135" s="95"/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1"/>
      <c r="AQ135" s="191"/>
      <c r="AR135" s="337"/>
      <c r="AS135" s="171"/>
      <c r="AT135" s="171"/>
      <c r="AU135" s="171"/>
      <c r="AV135" s="171"/>
      <c r="AW135" s="171"/>
      <c r="AX135" s="171"/>
      <c r="AY135" s="171"/>
      <c r="AZ135" s="171"/>
      <c r="BA135" s="171"/>
      <c r="BB135" s="171"/>
      <c r="BC135" s="171"/>
      <c r="BD135" s="171"/>
      <c r="BE135" s="171"/>
      <c r="BF135" s="171"/>
      <c r="BG135" s="171"/>
      <c r="BH135" s="171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  <c r="CI135" s="329"/>
    </row>
    <row r="136" ht="15.75" customHeight="1">
      <c r="A136" s="317" t="s">
        <v>2547</v>
      </c>
      <c r="B136" s="235" t="s">
        <v>1030</v>
      </c>
      <c r="C136" s="219" t="s">
        <v>2933</v>
      </c>
      <c r="D136" s="319" t="s">
        <v>18</v>
      </c>
      <c r="E136" s="319" t="s">
        <v>176</v>
      </c>
      <c r="F136" s="319" t="s">
        <v>532</v>
      </c>
      <c r="G136" s="44" t="str">
        <f t="shared" si="1"/>
        <v>Bruno</v>
      </c>
      <c r="H136" s="332" t="s">
        <v>107</v>
      </c>
      <c r="I136" s="46" t="s">
        <v>24</v>
      </c>
      <c r="J136" s="319" t="str">
        <f t="shared" si="2"/>
        <v>Sim</v>
      </c>
      <c r="K136" s="333">
        <v>44677.0</v>
      </c>
      <c r="L136" s="45"/>
      <c r="M136" s="95" t="s">
        <v>55</v>
      </c>
      <c r="N136" s="334">
        <v>0.007</v>
      </c>
      <c r="O136" s="319" t="s">
        <v>2552</v>
      </c>
      <c r="P136" s="322">
        <v>0.0</v>
      </c>
      <c r="Q136" s="319">
        <f>IFERROR(VLOOKUP(F136,'Cadastro de assessores'!A:B,2,FALSE),"Não Cadastrado")</f>
        <v>12362</v>
      </c>
      <c r="R136" s="95" t="s">
        <v>107</v>
      </c>
      <c r="S136" s="333">
        <v>44622.0</v>
      </c>
      <c r="T136" s="336" t="s">
        <v>2934</v>
      </c>
      <c r="U136" s="169"/>
      <c r="V136" s="45" t="s">
        <v>108</v>
      </c>
      <c r="W136" s="13" t="s">
        <v>1033</v>
      </c>
      <c r="X136" s="164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110</v>
      </c>
      <c r="AC136" s="95"/>
      <c r="AD136" s="95" t="s">
        <v>2760</v>
      </c>
      <c r="AE136" s="337"/>
      <c r="AF136" s="337"/>
      <c r="AG136" s="337"/>
      <c r="AH136" s="337"/>
      <c r="AI136" s="337"/>
      <c r="AJ136" s="337"/>
      <c r="AK136" s="337"/>
      <c r="AL136" s="337"/>
      <c r="AM136" s="337"/>
      <c r="AN136" s="337"/>
      <c r="AO136" s="337"/>
      <c r="AP136" s="337"/>
      <c r="AQ136" s="337"/>
      <c r="AR136" s="337"/>
      <c r="AS136" s="337"/>
      <c r="AT136" s="171"/>
      <c r="AU136" s="171"/>
      <c r="AV136" s="171"/>
      <c r="AW136" s="171"/>
      <c r="AX136" s="171"/>
      <c r="AY136" s="171"/>
      <c r="AZ136" s="171"/>
      <c r="BA136" s="171"/>
      <c r="BB136" s="171"/>
      <c r="BC136" s="171"/>
      <c r="BD136" s="171"/>
      <c r="BE136" s="171"/>
      <c r="BF136" s="171"/>
      <c r="BG136" s="171"/>
      <c r="BH136" s="171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5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  <c r="CI136" s="329"/>
    </row>
    <row r="137" ht="15.75" customHeight="1">
      <c r="A137" s="317" t="s">
        <v>2547</v>
      </c>
      <c r="B137" s="61" t="s">
        <v>1030</v>
      </c>
      <c r="C137" s="366" t="s">
        <v>2935</v>
      </c>
      <c r="D137" s="319" t="s">
        <v>18</v>
      </c>
      <c r="E137" s="319" t="s">
        <v>176</v>
      </c>
      <c r="F137" s="95" t="s">
        <v>532</v>
      </c>
      <c r="G137" s="44" t="str">
        <f t="shared" si="1"/>
        <v>Augusto</v>
      </c>
      <c r="H137" s="332" t="s">
        <v>186</v>
      </c>
      <c r="I137" s="46" t="s">
        <v>24</v>
      </c>
      <c r="J137" s="319" t="str">
        <f t="shared" si="2"/>
        <v>Não</v>
      </c>
      <c r="K137" s="333">
        <v>44603.0</v>
      </c>
      <c r="L137" s="72">
        <v>44638.0</v>
      </c>
      <c r="M137" s="95" t="s">
        <v>55</v>
      </c>
      <c r="N137" s="334">
        <v>0.007</v>
      </c>
      <c r="O137" s="319" t="s">
        <v>2552</v>
      </c>
      <c r="P137" s="322">
        <v>0.0</v>
      </c>
      <c r="Q137" s="95">
        <f>IFERROR(VLOOKUP(F137,'Cadastro de assessores'!A:B,2,FALSE),"Não Cadastrado")</f>
        <v>12362</v>
      </c>
      <c r="R137" s="95" t="s">
        <v>2563</v>
      </c>
      <c r="S137" s="333">
        <v>44603.0</v>
      </c>
      <c r="T137" s="169"/>
      <c r="U137" s="169"/>
      <c r="V137" s="45" t="s">
        <v>108</v>
      </c>
      <c r="W137" s="5" t="s">
        <v>1033</v>
      </c>
      <c r="X137" s="164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2760</v>
      </c>
      <c r="AE137" s="337"/>
      <c r="AF137" s="337"/>
      <c r="AG137" s="337"/>
      <c r="AH137" s="337"/>
      <c r="AI137" s="337"/>
      <c r="AJ137" s="337"/>
      <c r="AK137" s="337"/>
      <c r="AL137" s="337"/>
      <c r="AM137" s="337"/>
      <c r="AN137" s="337"/>
      <c r="AO137" s="337"/>
      <c r="AP137" s="337"/>
      <c r="AQ137" s="337"/>
      <c r="AR137" s="171"/>
      <c r="AS137" s="171"/>
      <c r="AT137" s="171"/>
      <c r="AU137" s="171"/>
      <c r="AV137" s="171"/>
      <c r="AW137" s="171"/>
      <c r="AX137" s="171"/>
      <c r="AY137" s="171"/>
      <c r="AZ137" s="171"/>
      <c r="BA137" s="171"/>
      <c r="BB137" s="171"/>
      <c r="BC137" s="171"/>
      <c r="BD137" s="171"/>
      <c r="BE137" s="171"/>
      <c r="BF137" s="171">
        <v>150091.1</v>
      </c>
      <c r="BG137" s="171">
        <v>25161.36</v>
      </c>
      <c r="BH137" s="171">
        <v>0.0</v>
      </c>
      <c r="BI137" s="171" t="s">
        <v>2566</v>
      </c>
      <c r="BJ137" s="171">
        <v>0.0</v>
      </c>
      <c r="BK137" s="171">
        <v>0.0</v>
      </c>
      <c r="BL137" s="171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  <c r="CI137" s="329"/>
    </row>
    <row r="138" ht="15.75" customHeight="1">
      <c r="A138" s="317" t="s">
        <v>2547</v>
      </c>
      <c r="B138" s="61" t="s">
        <v>1030</v>
      </c>
      <c r="C138" s="366" t="s">
        <v>2936</v>
      </c>
      <c r="D138" s="319" t="s">
        <v>18</v>
      </c>
      <c r="E138" s="319" t="s">
        <v>176</v>
      </c>
      <c r="F138" s="95" t="s">
        <v>532</v>
      </c>
      <c r="G138" s="44" t="str">
        <f t="shared" si="1"/>
        <v>Augusto</v>
      </c>
      <c r="H138" s="332" t="s">
        <v>186</v>
      </c>
      <c r="I138" s="46" t="s">
        <v>24</v>
      </c>
      <c r="J138" s="319" t="str">
        <f t="shared" si="2"/>
        <v>Não</v>
      </c>
      <c r="K138" s="333">
        <v>44603.0</v>
      </c>
      <c r="L138" s="72">
        <v>44638.0</v>
      </c>
      <c r="M138" s="45" t="s">
        <v>2914</v>
      </c>
      <c r="N138" s="334">
        <v>0.01</v>
      </c>
      <c r="O138" s="319" t="s">
        <v>2552</v>
      </c>
      <c r="P138" s="322">
        <v>0.0</v>
      </c>
      <c r="Q138" s="95">
        <f>IFERROR(VLOOKUP(F138,'Cadastro de assessores'!A:B,2,FALSE),"Não Cadastrado")</f>
        <v>12362</v>
      </c>
      <c r="R138" s="95" t="s">
        <v>2563</v>
      </c>
      <c r="S138" s="333">
        <v>44603.0</v>
      </c>
      <c r="T138" s="169"/>
      <c r="U138" s="169"/>
      <c r="V138" s="45" t="s">
        <v>108</v>
      </c>
      <c r="W138" s="5" t="s">
        <v>1033</v>
      </c>
      <c r="X138" s="164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2760</v>
      </c>
      <c r="AE138" s="337"/>
      <c r="AF138" s="337"/>
      <c r="AG138" s="337"/>
      <c r="AH138" s="337"/>
      <c r="AI138" s="337"/>
      <c r="AJ138" s="337"/>
      <c r="AK138" s="337"/>
      <c r="AL138" s="337"/>
      <c r="AM138" s="337"/>
      <c r="AN138" s="337"/>
      <c r="AO138" s="337"/>
      <c r="AP138" s="337"/>
      <c r="AQ138" s="337"/>
      <c r="AR138" s="171"/>
      <c r="AS138" s="171"/>
      <c r="AT138" s="171"/>
      <c r="AU138" s="171"/>
      <c r="AV138" s="171"/>
      <c r="AW138" s="171"/>
      <c r="AX138" s="171"/>
      <c r="AY138" s="171"/>
      <c r="AZ138" s="171"/>
      <c r="BA138" s="171"/>
      <c r="BB138" s="171"/>
      <c r="BC138" s="171"/>
      <c r="BD138" s="171"/>
      <c r="BE138" s="171"/>
      <c r="BF138" s="171">
        <v>0.0</v>
      </c>
      <c r="BG138" s="171">
        <v>0.0</v>
      </c>
      <c r="BH138" s="171">
        <v>0.0</v>
      </c>
      <c r="BI138" s="171" t="s">
        <v>2566</v>
      </c>
      <c r="BJ138" s="171">
        <v>0.0</v>
      </c>
      <c r="BK138" s="171">
        <v>0.0</v>
      </c>
      <c r="BL138" s="171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  <c r="CI138" s="329"/>
    </row>
    <row r="139" ht="15.75" customHeight="1">
      <c r="A139" s="317" t="s">
        <v>2547</v>
      </c>
      <c r="B139" s="344" t="s">
        <v>2937</v>
      </c>
      <c r="C139" s="331" t="s">
        <v>2938</v>
      </c>
      <c r="D139" s="319" t="s">
        <v>18</v>
      </c>
      <c r="E139" s="319" t="s">
        <v>176</v>
      </c>
      <c r="F139" s="319" t="s">
        <v>177</v>
      </c>
      <c r="G139" s="44" t="str">
        <f t="shared" si="1"/>
        <v>Augusto</v>
      </c>
      <c r="H139" s="332" t="s">
        <v>186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269</v>
      </c>
      <c r="N139" s="334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107</v>
      </c>
      <c r="S139" s="320">
        <v>44260.0</v>
      </c>
      <c r="T139" s="169"/>
      <c r="U139" s="169"/>
      <c r="V139" s="45" t="s">
        <v>108</v>
      </c>
      <c r="W139" s="324" t="s">
        <v>2939</v>
      </c>
      <c r="X139" s="164" t="s">
        <v>180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119</v>
      </c>
      <c r="AC139" s="95"/>
      <c r="AD139" s="95" t="s">
        <v>2609</v>
      </c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  <c r="AO139" s="337"/>
      <c r="AP139" s="337"/>
      <c r="AQ139" s="337"/>
      <c r="AR139" s="171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1">
        <v>108183.27</v>
      </c>
      <c r="AY139" s="171">
        <v>109541.89</v>
      </c>
      <c r="AZ139" s="171">
        <v>110394.27</v>
      </c>
      <c r="BA139" s="171">
        <v>108068.77</v>
      </c>
      <c r="BB139" s="171">
        <v>104683.72</v>
      </c>
      <c r="BC139" s="171">
        <v>102641.09</v>
      </c>
      <c r="BD139" s="171">
        <v>103349.24</v>
      </c>
      <c r="BE139" s="171">
        <v>106456.74</v>
      </c>
      <c r="BF139" s="171">
        <v>6552.5</v>
      </c>
      <c r="BG139" s="171">
        <v>6271.24</v>
      </c>
      <c r="BH139" s="171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  <c r="CI139" s="329"/>
    </row>
    <row r="140" ht="15.75" customHeight="1">
      <c r="A140" s="317" t="s">
        <v>2547</v>
      </c>
      <c r="B140" s="235" t="s">
        <v>2940</v>
      </c>
      <c r="C140" s="331" t="s">
        <v>2941</v>
      </c>
      <c r="D140" s="319" t="s">
        <v>2550</v>
      </c>
      <c r="E140" s="319" t="s">
        <v>29</v>
      </c>
      <c r="F140" s="95" t="s">
        <v>2551</v>
      </c>
      <c r="G140" s="44" t="str">
        <f t="shared" si="1"/>
        <v>Augusto</v>
      </c>
      <c r="H140" s="332" t="s">
        <v>186</v>
      </c>
      <c r="I140" s="46" t="s">
        <v>24</v>
      </c>
      <c r="J140" s="319" t="str">
        <f t="shared" si="2"/>
        <v>Não</v>
      </c>
      <c r="K140" s="333">
        <v>43888.0</v>
      </c>
      <c r="L140" s="333">
        <v>44264.0</v>
      </c>
      <c r="M140" s="95" t="s">
        <v>47</v>
      </c>
      <c r="N140" s="334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2563</v>
      </c>
      <c r="S140" s="333">
        <v>43888.0</v>
      </c>
      <c r="T140" s="169"/>
      <c r="U140" s="169"/>
      <c r="V140" s="45" t="s">
        <v>108</v>
      </c>
      <c r="W140" s="13" t="s">
        <v>2814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2942</v>
      </c>
      <c r="AE140" s="171">
        <v>0.0</v>
      </c>
      <c r="AF140" s="171">
        <v>290359.18</v>
      </c>
      <c r="AG140" s="171">
        <v>263785.63</v>
      </c>
      <c r="AH140" s="171">
        <v>271975.02</v>
      </c>
      <c r="AI140" s="171">
        <v>277876.53</v>
      </c>
      <c r="AJ140" s="171">
        <v>279452.43</v>
      </c>
      <c r="AK140" s="171">
        <v>264680.11</v>
      </c>
      <c r="AL140" s="171">
        <v>218124.15</v>
      </c>
      <c r="AM140" s="171">
        <v>193392.94</v>
      </c>
      <c r="AN140" s="171">
        <v>193377.1</v>
      </c>
      <c r="AO140" s="171">
        <v>174906.55</v>
      </c>
      <c r="AP140" s="171">
        <v>147990.89</v>
      </c>
      <c r="AQ140" s="171">
        <v>146065.84</v>
      </c>
      <c r="AR140" s="171">
        <v>111979.59</v>
      </c>
      <c r="AS140" s="171">
        <v>110264.85</v>
      </c>
      <c r="AT140" s="171">
        <v>84379.64</v>
      </c>
      <c r="AU140" s="171">
        <v>84129.2</v>
      </c>
      <c r="AV140" s="171">
        <v>84445.35</v>
      </c>
      <c r="AW140" s="171">
        <v>10613.69</v>
      </c>
      <c r="AX140" s="171">
        <v>215.16</v>
      </c>
      <c r="AY140" s="337"/>
      <c r="AZ140" s="337">
        <v>5.87</v>
      </c>
      <c r="BA140" s="171">
        <v>5.87</v>
      </c>
      <c r="BB140" s="171"/>
      <c r="BC140" s="171"/>
      <c r="BD140" s="171"/>
      <c r="BE140" s="171"/>
      <c r="BF140" s="171">
        <v>0.0</v>
      </c>
      <c r="BG140" s="171">
        <v>0.0</v>
      </c>
      <c r="BH140" s="171">
        <v>0.0</v>
      </c>
      <c r="BI140" s="171" t="s">
        <v>2566</v>
      </c>
      <c r="BJ140" s="171">
        <v>0.0</v>
      </c>
      <c r="BK140" s="171" t="s">
        <v>2566</v>
      </c>
      <c r="BL140" s="171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  <c r="CI140" s="329"/>
    </row>
    <row r="141" ht="15.75" customHeight="1">
      <c r="A141" s="317" t="s">
        <v>2547</v>
      </c>
      <c r="B141" s="235" t="s">
        <v>2943</v>
      </c>
      <c r="C141" s="331" t="s">
        <v>2944</v>
      </c>
      <c r="D141" s="319" t="s">
        <v>18</v>
      </c>
      <c r="E141" s="319" t="s">
        <v>176</v>
      </c>
      <c r="F141" s="95" t="s">
        <v>177</v>
      </c>
      <c r="G141" s="44" t="str">
        <f t="shared" si="1"/>
        <v>Augusto</v>
      </c>
      <c r="H141" s="332" t="s">
        <v>186</v>
      </c>
      <c r="I141" s="46" t="s">
        <v>24</v>
      </c>
      <c r="J141" s="319" t="str">
        <f t="shared" si="2"/>
        <v>Não</v>
      </c>
      <c r="K141" s="333">
        <v>44272.0</v>
      </c>
      <c r="L141" s="333">
        <v>44595.0</v>
      </c>
      <c r="M141" s="95" t="s">
        <v>2945</v>
      </c>
      <c r="N141" s="334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2563</v>
      </c>
      <c r="S141" s="333">
        <v>44272.0</v>
      </c>
      <c r="T141" s="323"/>
      <c r="U141" s="169"/>
      <c r="V141" s="45" t="s">
        <v>108</v>
      </c>
      <c r="W141" s="13" t="s">
        <v>2946</v>
      </c>
      <c r="X141" s="95" t="s">
        <v>180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2609</v>
      </c>
      <c r="AE141" s="171"/>
      <c r="AF141" s="171"/>
      <c r="AG141" s="171"/>
      <c r="AH141" s="171"/>
      <c r="AI141" s="171"/>
      <c r="AJ141" s="171"/>
      <c r="AK141" s="171"/>
      <c r="AL141" s="171"/>
      <c r="AM141" s="171"/>
      <c r="AN141" s="171"/>
      <c r="AO141" s="171"/>
      <c r="AP141" s="171"/>
      <c r="AQ141" s="171"/>
      <c r="AR141" s="171"/>
      <c r="AS141" s="171">
        <v>4622546.27</v>
      </c>
      <c r="AT141" s="171">
        <v>4648976.67</v>
      </c>
      <c r="AU141" s="171"/>
      <c r="AV141" s="171">
        <v>4700009.87</v>
      </c>
      <c r="AW141" s="171">
        <v>4801393.77</v>
      </c>
      <c r="AX141" s="171">
        <v>4742514.73</v>
      </c>
      <c r="AY141" s="337">
        <v>3440319.83</v>
      </c>
      <c r="AZ141" s="337">
        <v>1206147.81</v>
      </c>
      <c r="BA141" s="171">
        <v>505992.72</v>
      </c>
      <c r="BB141" s="171">
        <v>496441.65</v>
      </c>
      <c r="BC141" s="171">
        <v>497295.23</v>
      </c>
      <c r="BD141" s="171">
        <v>458710.28</v>
      </c>
      <c r="BE141" s="171">
        <v>956.87</v>
      </c>
      <c r="BF141" s="171">
        <v>0.0</v>
      </c>
      <c r="BG141" s="171">
        <v>0.0</v>
      </c>
      <c r="BH141" s="171">
        <v>0.0</v>
      </c>
      <c r="BI141" s="171" t="s">
        <v>2566</v>
      </c>
      <c r="BJ141" s="171">
        <v>0.0</v>
      </c>
      <c r="BK141" s="171" t="s">
        <v>2566</v>
      </c>
      <c r="BL141" s="171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  <c r="CI141" s="329"/>
    </row>
    <row r="142" ht="15.75" customHeight="1">
      <c r="A142" s="317" t="s">
        <v>2547</v>
      </c>
      <c r="B142" s="239" t="s">
        <v>2947</v>
      </c>
      <c r="C142" s="331" t="s">
        <v>2948</v>
      </c>
      <c r="D142" s="319" t="s">
        <v>2550</v>
      </c>
      <c r="E142" s="319" t="s">
        <v>29</v>
      </c>
      <c r="F142" s="95" t="s">
        <v>2562</v>
      </c>
      <c r="G142" s="44" t="str">
        <f t="shared" si="1"/>
        <v>Augusto</v>
      </c>
      <c r="H142" s="332" t="s">
        <v>186</v>
      </c>
      <c r="I142" s="46" t="s">
        <v>24</v>
      </c>
      <c r="J142" s="319" t="str">
        <f t="shared" si="2"/>
        <v>Não</v>
      </c>
      <c r="K142" s="333">
        <v>43531.0</v>
      </c>
      <c r="L142" s="355">
        <v>43899.0</v>
      </c>
      <c r="M142" s="95" t="s">
        <v>190</v>
      </c>
      <c r="N142" s="334">
        <v>0.02</v>
      </c>
      <c r="O142" s="319" t="s">
        <v>191</v>
      </c>
      <c r="P142" s="322">
        <v>0.2</v>
      </c>
      <c r="Q142" s="95" t="str">
        <f>IFERROR(VLOOKUP(F142,'Cadastro de assessores'!A:B,2,FALSE),"Não Cadastrado")</f>
        <v>2971</v>
      </c>
      <c r="R142" s="95" t="s">
        <v>2563</v>
      </c>
      <c r="S142" s="333">
        <v>43531.0</v>
      </c>
      <c r="T142" s="169"/>
      <c r="U142" s="169"/>
      <c r="V142" s="45" t="s">
        <v>108</v>
      </c>
      <c r="W142" s="13" t="s">
        <v>2949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2623</v>
      </c>
      <c r="AE142" s="171">
        <v>498402.97</v>
      </c>
      <c r="AF142" s="171">
        <v>25240.54</v>
      </c>
      <c r="AG142" s="171">
        <v>0.0</v>
      </c>
      <c r="AH142" s="171">
        <v>0.0</v>
      </c>
      <c r="AI142" s="171">
        <v>1611.53</v>
      </c>
      <c r="AJ142" s="171">
        <v>0.0</v>
      </c>
      <c r="AK142" s="171">
        <v>0.0</v>
      </c>
      <c r="AL142" s="171"/>
      <c r="AM142" s="171"/>
      <c r="AN142" s="171"/>
      <c r="AO142" s="171"/>
      <c r="AP142" s="171"/>
      <c r="AQ142" s="171"/>
      <c r="AR142" s="171"/>
      <c r="AS142" s="171"/>
      <c r="AT142" s="171"/>
      <c r="AU142" s="171"/>
      <c r="AV142" s="171"/>
      <c r="AW142" s="171"/>
      <c r="AX142" s="337"/>
      <c r="AY142" s="337"/>
      <c r="AZ142" s="337"/>
      <c r="BA142" s="171"/>
      <c r="BB142" s="171"/>
      <c r="BC142" s="171"/>
      <c r="BD142" s="171"/>
      <c r="BE142" s="171"/>
      <c r="BF142" s="171">
        <v>0.0</v>
      </c>
      <c r="BG142" s="171">
        <v>0.0</v>
      </c>
      <c r="BH142" s="171">
        <v>0.0</v>
      </c>
      <c r="BI142" s="171" t="s">
        <v>2566</v>
      </c>
      <c r="BJ142" s="171">
        <v>0.0</v>
      </c>
      <c r="BK142" s="171" t="s">
        <v>2566</v>
      </c>
      <c r="BL142" s="171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  <c r="CI142" s="329"/>
    </row>
    <row r="143" ht="15.75" customHeight="1">
      <c r="A143" s="317" t="s">
        <v>2547</v>
      </c>
      <c r="B143" s="235" t="s">
        <v>2947</v>
      </c>
      <c r="C143" s="318" t="s">
        <v>2950</v>
      </c>
      <c r="D143" s="319" t="s">
        <v>2550</v>
      </c>
      <c r="E143" s="319" t="s">
        <v>29</v>
      </c>
      <c r="F143" s="319" t="s">
        <v>2562</v>
      </c>
      <c r="G143" s="44" t="str">
        <f t="shared" si="1"/>
        <v>Augusto</v>
      </c>
      <c r="H143" s="332" t="s">
        <v>147</v>
      </c>
      <c r="I143" s="51" t="s">
        <v>219</v>
      </c>
      <c r="J143" s="319" t="str">
        <f t="shared" si="2"/>
        <v>Sim</v>
      </c>
      <c r="K143" s="320">
        <v>43531.0</v>
      </c>
      <c r="L143" s="95"/>
      <c r="M143" s="13" t="s">
        <v>723</v>
      </c>
      <c r="N143" s="334">
        <v>0.015</v>
      </c>
      <c r="O143" s="319" t="s">
        <v>2552</v>
      </c>
      <c r="P143" s="322">
        <v>0.0</v>
      </c>
      <c r="Q143" s="319" t="str">
        <f>IFERROR(VLOOKUP(F143,'Cadastro de assessores'!A:B,2,FALSE),"Não Cadastrado")</f>
        <v>2971</v>
      </c>
      <c r="R143" s="95" t="s">
        <v>107</v>
      </c>
      <c r="S143" s="320">
        <v>43531.0</v>
      </c>
      <c r="T143" s="336" t="s">
        <v>2951</v>
      </c>
      <c r="U143" s="345" t="s">
        <v>2952</v>
      </c>
      <c r="V143" s="45" t="s">
        <v>108</v>
      </c>
      <c r="W143" s="13" t="s">
        <v>2949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110</v>
      </c>
      <c r="AC143" s="95"/>
      <c r="AD143" s="95" t="s">
        <v>2623</v>
      </c>
      <c r="AE143" s="171">
        <v>1042709.73</v>
      </c>
      <c r="AF143" s="171">
        <v>1626891.95</v>
      </c>
      <c r="AG143" s="171">
        <v>1496871.83</v>
      </c>
      <c r="AH143" s="171">
        <v>1528776.6</v>
      </c>
      <c r="AI143" s="171">
        <v>1660113.58</v>
      </c>
      <c r="AJ143" s="171">
        <v>1701005.2</v>
      </c>
      <c r="AK143" s="171">
        <v>1797945.15</v>
      </c>
      <c r="AL143" s="171">
        <v>0.0</v>
      </c>
      <c r="AM143" s="171">
        <v>1776921.49</v>
      </c>
      <c r="AN143" s="171">
        <v>1777214.04</v>
      </c>
      <c r="AO143" s="171">
        <v>1871289.88</v>
      </c>
      <c r="AP143" s="171">
        <v>1770151.05</v>
      </c>
      <c r="AQ143" s="171">
        <v>1750569.58</v>
      </c>
      <c r="AR143" s="171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1">
        <v>1894223.28</v>
      </c>
      <c r="AY143" s="171">
        <v>1878301.26</v>
      </c>
      <c r="AZ143" s="171">
        <v>1843300.7</v>
      </c>
      <c r="BA143" s="171">
        <v>1814447.0</v>
      </c>
      <c r="BB143" s="171">
        <v>1771370.22</v>
      </c>
      <c r="BC143" s="171">
        <v>1755427.07</v>
      </c>
      <c r="BD143" s="171">
        <v>1757999.42</v>
      </c>
      <c r="BE143" s="171">
        <v>1801648.2</v>
      </c>
      <c r="BF143" s="171">
        <v>1849957.59</v>
      </c>
      <c r="BG143" s="171">
        <v>2162038.25</v>
      </c>
      <c r="BH143" s="171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  <c r="CI143" s="329"/>
    </row>
    <row r="144" ht="15.75" customHeight="1">
      <c r="A144" s="317" t="s">
        <v>2547</v>
      </c>
      <c r="B144" s="239" t="s">
        <v>2947</v>
      </c>
      <c r="C144" s="331" t="s">
        <v>2953</v>
      </c>
      <c r="D144" s="319" t="s">
        <v>2550</v>
      </c>
      <c r="E144" s="319" t="s">
        <v>29</v>
      </c>
      <c r="F144" s="95" t="s">
        <v>2562</v>
      </c>
      <c r="G144" s="44" t="str">
        <f t="shared" si="1"/>
        <v>Augusto</v>
      </c>
      <c r="H144" s="332" t="s">
        <v>186</v>
      </c>
      <c r="I144" s="46" t="s">
        <v>24</v>
      </c>
      <c r="J144" s="319" t="str">
        <f t="shared" si="2"/>
        <v>Não</v>
      </c>
      <c r="K144" s="333">
        <v>43550.0</v>
      </c>
      <c r="L144" s="355">
        <v>43899.0</v>
      </c>
      <c r="M144" s="95" t="s">
        <v>190</v>
      </c>
      <c r="N144" s="334">
        <v>0.025</v>
      </c>
      <c r="O144" s="319" t="s">
        <v>191</v>
      </c>
      <c r="P144" s="322">
        <v>0.2</v>
      </c>
      <c r="Q144" s="95" t="str">
        <f>IFERROR(VLOOKUP(F144,'Cadastro de assessores'!A:B,2,FALSE),"Não Cadastrado")</f>
        <v>2971</v>
      </c>
      <c r="R144" s="95" t="s">
        <v>2563</v>
      </c>
      <c r="S144" s="333">
        <v>43550.0</v>
      </c>
      <c r="T144" s="169"/>
      <c r="U144" s="169"/>
      <c r="V144" s="45" t="s">
        <v>108</v>
      </c>
      <c r="W144" s="13" t="s">
        <v>2949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2623</v>
      </c>
      <c r="AE144" s="171">
        <v>0.0</v>
      </c>
      <c r="AF144" s="171">
        <v>0.0</v>
      </c>
      <c r="AG144" s="171">
        <v>0.0</v>
      </c>
      <c r="AH144" s="171">
        <v>0.0</v>
      </c>
      <c r="AI144" s="171">
        <v>0.0</v>
      </c>
      <c r="AJ144" s="171">
        <v>0.0</v>
      </c>
      <c r="AK144" s="171">
        <v>0.0</v>
      </c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71"/>
      <c r="AX144" s="337"/>
      <c r="AY144" s="337"/>
      <c r="AZ144" s="337"/>
      <c r="BA144" s="171"/>
      <c r="BB144" s="171"/>
      <c r="BC144" s="171"/>
      <c r="BD144" s="171"/>
      <c r="BE144" s="171"/>
      <c r="BF144" s="171">
        <v>0.0</v>
      </c>
      <c r="BG144" s="171">
        <v>0.0</v>
      </c>
      <c r="BH144" s="171">
        <v>0.0</v>
      </c>
      <c r="BI144" s="171" t="s">
        <v>2566</v>
      </c>
      <c r="BJ144" s="171">
        <v>0.0</v>
      </c>
      <c r="BK144" s="171" t="s">
        <v>2566</v>
      </c>
      <c r="BL144" s="171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  <c r="CI144" s="329"/>
    </row>
    <row r="145" ht="15.75" customHeight="1">
      <c r="A145" s="317" t="s">
        <v>2547</v>
      </c>
      <c r="B145" s="239" t="s">
        <v>2954</v>
      </c>
      <c r="C145" s="331" t="s">
        <v>2955</v>
      </c>
      <c r="D145" s="319" t="s">
        <v>2659</v>
      </c>
      <c r="E145" s="319" t="s">
        <v>29</v>
      </c>
      <c r="F145" s="95" t="s">
        <v>2659</v>
      </c>
      <c r="G145" s="44" t="str">
        <f t="shared" si="1"/>
        <v>Augusto</v>
      </c>
      <c r="H145" s="332" t="s">
        <v>186</v>
      </c>
      <c r="I145" s="46" t="s">
        <v>24</v>
      </c>
      <c r="J145" s="319" t="str">
        <f t="shared" si="2"/>
        <v>Não</v>
      </c>
      <c r="K145" s="333">
        <v>43875.0</v>
      </c>
      <c r="L145" s="333">
        <v>44634.0</v>
      </c>
      <c r="M145" s="95" t="s">
        <v>190</v>
      </c>
      <c r="N145" s="334">
        <v>0.025</v>
      </c>
      <c r="O145" s="319" t="s">
        <v>191</v>
      </c>
      <c r="P145" s="322">
        <v>0.2</v>
      </c>
      <c r="Q145" s="95" t="str">
        <f>IFERROR(VLOOKUP(F145,'Cadastro de assessores'!A:B,2,FALSE),"Não Cadastrado")</f>
        <v>22400</v>
      </c>
      <c r="R145" s="95" t="s">
        <v>2563</v>
      </c>
      <c r="S145" s="333">
        <v>43875.0</v>
      </c>
      <c r="T145" s="169"/>
      <c r="U145" s="169"/>
      <c r="V145" s="45" t="s">
        <v>108</v>
      </c>
      <c r="W145" s="13" t="s">
        <v>2956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119</v>
      </c>
      <c r="AC145" s="95"/>
      <c r="AD145" s="95" t="s">
        <v>2602</v>
      </c>
      <c r="AE145" s="171">
        <v>0.0</v>
      </c>
      <c r="AF145" s="171">
        <v>124195.07</v>
      </c>
      <c r="AG145" s="171">
        <v>92319.58</v>
      </c>
      <c r="AH145" s="171">
        <v>96801.62</v>
      </c>
      <c r="AI145" s="171">
        <v>99787.73</v>
      </c>
      <c r="AJ145" s="171">
        <v>153704.79</v>
      </c>
      <c r="AK145" s="171">
        <v>163680.66</v>
      </c>
      <c r="AL145" s="171">
        <v>152284.07</v>
      </c>
      <c r="AM145" s="171">
        <v>144702.14</v>
      </c>
      <c r="AN145" s="171">
        <v>146569.41</v>
      </c>
      <c r="AO145" s="171">
        <v>165953.14</v>
      </c>
      <c r="AP145" s="171">
        <v>173816.32</v>
      </c>
      <c r="AQ145" s="171">
        <v>168399.93</v>
      </c>
      <c r="AR145" s="171">
        <v>155567.35</v>
      </c>
      <c r="AS145" s="171">
        <v>150718.01</v>
      </c>
      <c r="AT145" s="171">
        <v>164431.02</v>
      </c>
      <c r="AU145" s="171">
        <v>164783.28</v>
      </c>
      <c r="AV145" s="171">
        <v>165638.87</v>
      </c>
      <c r="AW145" s="171">
        <v>172765.77</v>
      </c>
      <c r="AX145" s="171">
        <v>170345.65</v>
      </c>
      <c r="AY145" s="171">
        <v>165717.96</v>
      </c>
      <c r="AZ145" s="171">
        <v>158637.43</v>
      </c>
      <c r="BA145" s="171">
        <v>151121.37</v>
      </c>
      <c r="BB145" s="171">
        <v>141299.37</v>
      </c>
      <c r="BC145" s="171">
        <v>137135.02</v>
      </c>
      <c r="BD145" s="171">
        <v>137110.57</v>
      </c>
      <c r="BE145" s="171">
        <v>143391.24</v>
      </c>
      <c r="BF145" s="171">
        <v>145638.46</v>
      </c>
      <c r="BG145" s="171">
        <v>156121.71</v>
      </c>
      <c r="BH145" s="171">
        <v>100685.29</v>
      </c>
      <c r="BI145" s="171" t="s">
        <v>2566</v>
      </c>
      <c r="BJ145" s="171">
        <v>0.0</v>
      </c>
      <c r="BK145" s="171" t="s">
        <v>2566</v>
      </c>
      <c r="BL145" s="171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  <c r="CI145" s="329"/>
    </row>
    <row r="146" ht="15.75" customHeight="1">
      <c r="A146" s="317" t="s">
        <v>2547</v>
      </c>
      <c r="B146" s="61" t="s">
        <v>1059</v>
      </c>
      <c r="C146" s="330" t="s">
        <v>2957</v>
      </c>
      <c r="D146" s="319" t="s">
        <v>18</v>
      </c>
      <c r="E146" s="319" t="s">
        <v>176</v>
      </c>
      <c r="F146" s="93" t="s">
        <v>197</v>
      </c>
      <c r="G146" s="44" t="str">
        <f t="shared" si="1"/>
        <v>Augusto</v>
      </c>
      <c r="H146" s="165" t="s">
        <v>147</v>
      </c>
      <c r="I146" s="51" t="s">
        <v>219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4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107</v>
      </c>
      <c r="S146" s="72">
        <v>44418.0</v>
      </c>
      <c r="T146" s="63"/>
      <c r="U146" s="60" t="s">
        <v>2958</v>
      </c>
      <c r="V146" s="45" t="s">
        <v>108</v>
      </c>
      <c r="W146" s="5" t="s">
        <v>1061</v>
      </c>
      <c r="X146" s="164" t="s">
        <v>180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119</v>
      </c>
      <c r="AC146" s="95"/>
      <c r="AD146" s="95" t="s">
        <v>2609</v>
      </c>
      <c r="AE146" s="234"/>
      <c r="AF146" s="234"/>
      <c r="AG146" s="234"/>
      <c r="AH146" s="234"/>
      <c r="AI146" s="234"/>
      <c r="AJ146" s="234"/>
      <c r="AK146" s="234"/>
      <c r="AL146" s="234"/>
      <c r="AM146" s="234"/>
      <c r="AN146" s="234"/>
      <c r="AO146" s="234"/>
      <c r="AP146" s="191"/>
      <c r="AQ146" s="191"/>
      <c r="AR146" s="326"/>
      <c r="AS146" s="326"/>
      <c r="AT146" s="326"/>
      <c r="AU146" s="191"/>
      <c r="AV146" s="191"/>
      <c r="AW146" s="171"/>
      <c r="AX146" s="171"/>
      <c r="AY146" s="191"/>
      <c r="AZ146" s="191">
        <v>124633.28</v>
      </c>
      <c r="BA146" s="171">
        <v>103731.2</v>
      </c>
      <c r="BB146" s="171">
        <v>124342.32</v>
      </c>
      <c r="BC146" s="171">
        <v>123124.57</v>
      </c>
      <c r="BD146" s="171">
        <v>123902.45</v>
      </c>
      <c r="BE146" s="171">
        <v>126610.66</v>
      </c>
      <c r="BF146" s="171">
        <v>127388.77</v>
      </c>
      <c r="BG146" s="171">
        <v>133821.21</v>
      </c>
      <c r="BH146" s="171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  <c r="CI146" s="329"/>
    </row>
    <row r="147" ht="15.75" customHeight="1">
      <c r="A147" s="317" t="s">
        <v>2547</v>
      </c>
      <c r="B147" s="61" t="s">
        <v>2959</v>
      </c>
      <c r="C147" s="164">
        <v>4575859.0</v>
      </c>
      <c r="D147" s="319" t="s">
        <v>18</v>
      </c>
      <c r="E147" s="319" t="s">
        <v>176</v>
      </c>
      <c r="F147" s="164" t="s">
        <v>197</v>
      </c>
      <c r="G147" s="44" t="str">
        <f t="shared" si="1"/>
        <v>Augusto</v>
      </c>
      <c r="H147" s="332" t="s">
        <v>186</v>
      </c>
      <c r="I147" s="46" t="s">
        <v>24</v>
      </c>
      <c r="J147" s="319" t="str">
        <f t="shared" si="2"/>
        <v>Não</v>
      </c>
      <c r="K147" s="333">
        <v>44503.0</v>
      </c>
      <c r="L147" s="72">
        <v>44602.0</v>
      </c>
      <c r="M147" s="95" t="s">
        <v>47</v>
      </c>
      <c r="N147" s="334">
        <v>0.015</v>
      </c>
      <c r="O147" s="319" t="s">
        <v>48</v>
      </c>
      <c r="P147" s="322">
        <v>0.1</v>
      </c>
      <c r="Q147" s="164" t="str">
        <f>IFERROR(VLOOKUP(F147,'Cadastro de assessores'!A:B,2,FALSE),"Não Cadastrado")</f>
        <v>28411</v>
      </c>
      <c r="R147" s="95" t="s">
        <v>2563</v>
      </c>
      <c r="S147" s="333">
        <v>44503.0</v>
      </c>
      <c r="T147" s="169"/>
      <c r="U147" s="169"/>
      <c r="V147" s="45" t="s">
        <v>108</v>
      </c>
      <c r="W147" s="5" t="s">
        <v>2960</v>
      </c>
      <c r="X147" s="164" t="s">
        <v>180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2961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1"/>
      <c r="AP147" s="191"/>
      <c r="AQ147" s="191"/>
      <c r="AR147" s="171"/>
      <c r="AS147" s="171"/>
      <c r="AT147" s="171"/>
      <c r="AU147" s="191"/>
      <c r="AV147" s="191"/>
      <c r="AW147" s="171"/>
      <c r="AX147" s="171"/>
      <c r="AY147" s="171"/>
      <c r="AZ147" s="171"/>
      <c r="BA147" s="171"/>
      <c r="BB147" s="171">
        <v>363485.86</v>
      </c>
      <c r="BC147" s="171">
        <v>364044.73</v>
      </c>
      <c r="BD147" s="171">
        <v>360845.15</v>
      </c>
      <c r="BE147" s="171">
        <v>367301.76</v>
      </c>
      <c r="BF147" s="171">
        <v>0.0</v>
      </c>
      <c r="BG147" s="171">
        <v>0.0</v>
      </c>
      <c r="BH147" s="171">
        <v>0.0</v>
      </c>
      <c r="BI147" s="171" t="s">
        <v>2566</v>
      </c>
      <c r="BJ147" s="171">
        <v>0.0</v>
      </c>
      <c r="BK147" s="171">
        <v>0.0</v>
      </c>
      <c r="BL147" s="171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  <c r="CI147" s="329"/>
    </row>
    <row r="148" ht="15.75" customHeight="1">
      <c r="A148" s="317" t="s">
        <v>2547</v>
      </c>
      <c r="B148" s="61" t="s">
        <v>2959</v>
      </c>
      <c r="C148" s="164">
        <v>4576103.0</v>
      </c>
      <c r="D148" s="319" t="s">
        <v>18</v>
      </c>
      <c r="E148" s="319" t="s">
        <v>176</v>
      </c>
      <c r="F148" s="164" t="s">
        <v>197</v>
      </c>
      <c r="G148" s="44" t="str">
        <f t="shared" si="1"/>
        <v>Augusto</v>
      </c>
      <c r="H148" s="332" t="s">
        <v>186</v>
      </c>
      <c r="I148" s="46" t="s">
        <v>24</v>
      </c>
      <c r="J148" s="319" t="str">
        <f t="shared" si="2"/>
        <v>Não</v>
      </c>
      <c r="K148" s="333">
        <v>44503.0</v>
      </c>
      <c r="L148" s="72">
        <v>44602.0</v>
      </c>
      <c r="M148" s="95" t="s">
        <v>47</v>
      </c>
      <c r="N148" s="334">
        <v>0.015</v>
      </c>
      <c r="O148" s="319" t="s">
        <v>48</v>
      </c>
      <c r="P148" s="322">
        <v>0.1</v>
      </c>
      <c r="Q148" s="164" t="str">
        <f>IFERROR(VLOOKUP(F148,'Cadastro de assessores'!A:B,2,FALSE),"Não Cadastrado")</f>
        <v>28411</v>
      </c>
      <c r="R148" s="95" t="s">
        <v>2563</v>
      </c>
      <c r="S148" s="333">
        <v>44503.0</v>
      </c>
      <c r="T148" s="169"/>
      <c r="U148" s="169"/>
      <c r="V148" s="45" t="s">
        <v>108</v>
      </c>
      <c r="W148" s="5" t="s">
        <v>2960</v>
      </c>
      <c r="X148" s="164" t="s">
        <v>180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2961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1"/>
      <c r="AP148" s="191"/>
      <c r="AQ148" s="191"/>
      <c r="AR148" s="171"/>
      <c r="AS148" s="171"/>
      <c r="AT148" s="171"/>
      <c r="AU148" s="191"/>
      <c r="AV148" s="191"/>
      <c r="AW148" s="171"/>
      <c r="AX148" s="171"/>
      <c r="AY148" s="171"/>
      <c r="AZ148" s="171"/>
      <c r="BA148" s="171"/>
      <c r="BB148" s="171">
        <v>108242.92</v>
      </c>
      <c r="BC148" s="171">
        <v>108027.55</v>
      </c>
      <c r="BD148" s="171">
        <v>107323.97</v>
      </c>
      <c r="BE148" s="171">
        <v>109316.32</v>
      </c>
      <c r="BF148" s="171">
        <v>0.0</v>
      </c>
      <c r="BG148" s="171">
        <v>0.0</v>
      </c>
      <c r="BH148" s="171">
        <v>0.0</v>
      </c>
      <c r="BI148" s="171" t="s">
        <v>2566</v>
      </c>
      <c r="BJ148" s="171">
        <v>0.0</v>
      </c>
      <c r="BK148" s="171">
        <v>0.0</v>
      </c>
      <c r="BL148" s="171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  <c r="CI148" s="329"/>
    </row>
    <row r="149" ht="15.75" customHeight="1">
      <c r="A149" s="317" t="s">
        <v>2547</v>
      </c>
      <c r="B149" s="61" t="s">
        <v>2959</v>
      </c>
      <c r="C149" s="164">
        <v>4576138.0</v>
      </c>
      <c r="D149" s="319" t="s">
        <v>18</v>
      </c>
      <c r="E149" s="319" t="s">
        <v>176</v>
      </c>
      <c r="F149" s="164" t="s">
        <v>197</v>
      </c>
      <c r="G149" s="44" t="str">
        <f t="shared" si="1"/>
        <v>Augusto</v>
      </c>
      <c r="H149" s="332" t="s">
        <v>186</v>
      </c>
      <c r="I149" s="46" t="s">
        <v>24</v>
      </c>
      <c r="J149" s="319" t="str">
        <f t="shared" si="2"/>
        <v>Não</v>
      </c>
      <c r="K149" s="333">
        <v>44503.0</v>
      </c>
      <c r="L149" s="72">
        <v>44602.0</v>
      </c>
      <c r="M149" s="95" t="s">
        <v>47</v>
      </c>
      <c r="N149" s="334">
        <v>0.015</v>
      </c>
      <c r="O149" s="319" t="s">
        <v>48</v>
      </c>
      <c r="P149" s="322">
        <v>0.1</v>
      </c>
      <c r="Q149" s="164" t="str">
        <f>IFERROR(VLOOKUP(F149,'Cadastro de assessores'!A:B,2,FALSE),"Não Cadastrado")</f>
        <v>28411</v>
      </c>
      <c r="R149" s="95" t="s">
        <v>2563</v>
      </c>
      <c r="S149" s="333">
        <v>44503.0</v>
      </c>
      <c r="T149" s="169"/>
      <c r="U149" s="169"/>
      <c r="V149" s="45" t="s">
        <v>108</v>
      </c>
      <c r="W149" s="5" t="s">
        <v>2960</v>
      </c>
      <c r="X149" s="164" t="s">
        <v>180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2961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1"/>
      <c r="AP149" s="191"/>
      <c r="AQ149" s="191"/>
      <c r="AR149" s="171"/>
      <c r="AS149" s="171"/>
      <c r="AT149" s="171"/>
      <c r="AU149" s="191"/>
      <c r="AV149" s="191"/>
      <c r="AW149" s="171"/>
      <c r="AX149" s="171"/>
      <c r="AY149" s="171"/>
      <c r="AZ149" s="171"/>
      <c r="BA149" s="171"/>
      <c r="BB149" s="171">
        <v>108242.92</v>
      </c>
      <c r="BC149" s="171">
        <v>108022.7</v>
      </c>
      <c r="BD149" s="171">
        <v>107296.08</v>
      </c>
      <c r="BE149" s="171">
        <v>109194.05</v>
      </c>
      <c r="BF149" s="171">
        <v>0.0</v>
      </c>
      <c r="BG149" s="171">
        <v>0.0</v>
      </c>
      <c r="BH149" s="171">
        <v>0.0</v>
      </c>
      <c r="BI149" s="171" t="s">
        <v>2566</v>
      </c>
      <c r="BJ149" s="171">
        <v>0.0</v>
      </c>
      <c r="BK149" s="171">
        <v>0.0</v>
      </c>
      <c r="BL149" s="171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  <c r="CI149" s="329"/>
    </row>
    <row r="150" ht="15.75" customHeight="1">
      <c r="A150" s="317" t="s">
        <v>2547</v>
      </c>
      <c r="B150" s="61" t="s">
        <v>2959</v>
      </c>
      <c r="C150" s="164">
        <v>4576189.0</v>
      </c>
      <c r="D150" s="319" t="s">
        <v>18</v>
      </c>
      <c r="E150" s="319" t="s">
        <v>176</v>
      </c>
      <c r="F150" s="164" t="s">
        <v>197</v>
      </c>
      <c r="G150" s="44" t="str">
        <f t="shared" si="1"/>
        <v>Augusto</v>
      </c>
      <c r="H150" s="332" t="s">
        <v>186</v>
      </c>
      <c r="I150" s="46" t="s">
        <v>24</v>
      </c>
      <c r="J150" s="319" t="str">
        <f t="shared" si="2"/>
        <v>Não</v>
      </c>
      <c r="K150" s="333">
        <v>44503.0</v>
      </c>
      <c r="L150" s="72">
        <v>44602.0</v>
      </c>
      <c r="M150" s="95" t="s">
        <v>47</v>
      </c>
      <c r="N150" s="334">
        <v>0.015</v>
      </c>
      <c r="O150" s="319" t="s">
        <v>48</v>
      </c>
      <c r="P150" s="322">
        <v>0.1</v>
      </c>
      <c r="Q150" s="164" t="str">
        <f>IFERROR(VLOOKUP(F150,'Cadastro de assessores'!A:B,2,FALSE),"Não Cadastrado")</f>
        <v>28411</v>
      </c>
      <c r="R150" s="95" t="s">
        <v>2563</v>
      </c>
      <c r="S150" s="333">
        <v>44503.0</v>
      </c>
      <c r="T150" s="169"/>
      <c r="U150" s="169"/>
      <c r="V150" s="45" t="s">
        <v>108</v>
      </c>
      <c r="W150" s="5" t="s">
        <v>2960</v>
      </c>
      <c r="X150" s="164" t="s">
        <v>180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2961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1"/>
      <c r="AP150" s="191"/>
      <c r="AQ150" s="191"/>
      <c r="AR150" s="171"/>
      <c r="AS150" s="171"/>
      <c r="AT150" s="171"/>
      <c r="AU150" s="191"/>
      <c r="AV150" s="191"/>
      <c r="AW150" s="171"/>
      <c r="AX150" s="171"/>
      <c r="AY150" s="171"/>
      <c r="AZ150" s="171"/>
      <c r="BA150" s="171"/>
      <c r="BB150" s="171">
        <v>108242.92</v>
      </c>
      <c r="BC150" s="171">
        <v>108022.7</v>
      </c>
      <c r="BD150" s="171">
        <v>107320.46</v>
      </c>
      <c r="BE150" s="171">
        <v>109250.07</v>
      </c>
      <c r="BF150" s="171">
        <v>0.0</v>
      </c>
      <c r="BG150" s="171">
        <v>0.0</v>
      </c>
      <c r="BH150" s="171">
        <v>0.0</v>
      </c>
      <c r="BI150" s="171" t="s">
        <v>2566</v>
      </c>
      <c r="BJ150" s="171">
        <v>0.0</v>
      </c>
      <c r="BK150" s="171">
        <v>0.0</v>
      </c>
      <c r="BL150" s="171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  <c r="CI150" s="329"/>
    </row>
    <row r="151" ht="15.75" customHeight="1">
      <c r="A151" s="317" t="s">
        <v>2547</v>
      </c>
      <c r="B151" s="42" t="s">
        <v>2962</v>
      </c>
      <c r="C151" s="45">
        <v>4576189.0</v>
      </c>
      <c r="D151" s="319" t="s">
        <v>18</v>
      </c>
      <c r="E151" s="319" t="s">
        <v>176</v>
      </c>
      <c r="F151" s="45" t="s">
        <v>177</v>
      </c>
      <c r="G151" s="44" t="str">
        <f t="shared" si="1"/>
        <v>Augusto</v>
      </c>
      <c r="H151" s="332" t="s">
        <v>186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2563</v>
      </c>
      <c r="S151" s="72">
        <v>44333.0</v>
      </c>
      <c r="T151" s="74"/>
      <c r="U151" s="74"/>
      <c r="V151" s="45" t="s">
        <v>108</v>
      </c>
      <c r="W151" s="5" t="s">
        <v>2963</v>
      </c>
      <c r="X151" s="45" t="s">
        <v>180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2559</v>
      </c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201">
        <v>126233.28</v>
      </c>
      <c r="AX151" s="191">
        <v>126977.97</v>
      </c>
      <c r="AY151" s="191">
        <v>126214.79</v>
      </c>
      <c r="AZ151" s="191">
        <v>124244.61</v>
      </c>
      <c r="BA151" s="191">
        <v>123200.24</v>
      </c>
      <c r="BB151" s="191">
        <v>78769.12</v>
      </c>
      <c r="BC151" s="191">
        <v>3928.79</v>
      </c>
      <c r="BD151" s="191"/>
      <c r="BE151" s="191"/>
      <c r="BF151" s="191">
        <v>0.0</v>
      </c>
      <c r="BG151" s="191">
        <v>0.0</v>
      </c>
      <c r="BH151" s="191">
        <v>0.0</v>
      </c>
      <c r="BI151" s="191" t="s">
        <v>2566</v>
      </c>
      <c r="BJ151" s="191">
        <v>0.0</v>
      </c>
      <c r="BK151" s="191" t="s">
        <v>2566</v>
      </c>
      <c r="BL151" s="191">
        <v>0.0</v>
      </c>
      <c r="BM151" s="376">
        <v>0.0</v>
      </c>
      <c r="BN151" s="376">
        <v>0.0</v>
      </c>
      <c r="BO151" s="376">
        <v>0.0</v>
      </c>
      <c r="BP151" s="376">
        <v>0.0</v>
      </c>
      <c r="BQ151" s="376">
        <v>0.0</v>
      </c>
      <c r="BR151" s="376">
        <v>0.0</v>
      </c>
      <c r="BS151" s="376">
        <v>0.0</v>
      </c>
      <c r="BT151" s="376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  <c r="CI151" s="329"/>
    </row>
    <row r="152" ht="15.75" customHeight="1">
      <c r="A152" s="317" t="s">
        <v>2547</v>
      </c>
      <c r="B152" s="235" t="s">
        <v>2964</v>
      </c>
      <c r="C152" s="331" t="s">
        <v>2965</v>
      </c>
      <c r="D152" s="319" t="s">
        <v>2550</v>
      </c>
      <c r="E152" s="319" t="s">
        <v>29</v>
      </c>
      <c r="F152" s="95" t="s">
        <v>2551</v>
      </c>
      <c r="G152" s="44" t="str">
        <f t="shared" si="1"/>
        <v>Augusto</v>
      </c>
      <c r="H152" s="332" t="s">
        <v>186</v>
      </c>
      <c r="I152" s="46" t="s">
        <v>24</v>
      </c>
      <c r="J152" s="319" t="str">
        <f t="shared" si="2"/>
        <v>Não</v>
      </c>
      <c r="K152" s="333">
        <v>43859.0</v>
      </c>
      <c r="L152" s="333">
        <v>44418.0</v>
      </c>
      <c r="M152" s="95" t="s">
        <v>79</v>
      </c>
      <c r="N152" s="334">
        <v>0.012</v>
      </c>
      <c r="O152" s="319" t="s">
        <v>2552</v>
      </c>
      <c r="P152" s="322">
        <v>0.0</v>
      </c>
      <c r="Q152" s="95" t="str">
        <f>IFERROR(VLOOKUP(F152,'Cadastro de assessores'!A:B,2,FALSE),"Não Cadastrado")</f>
        <v>17573</v>
      </c>
      <c r="R152" s="95" t="s">
        <v>2563</v>
      </c>
      <c r="S152" s="333">
        <v>43859.0</v>
      </c>
      <c r="T152" s="169"/>
      <c r="U152" s="169"/>
      <c r="V152" s="45" t="s">
        <v>108</v>
      </c>
      <c r="W152" s="13" t="s">
        <v>2966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2656</v>
      </c>
      <c r="AE152" s="171">
        <v>298537.83</v>
      </c>
      <c r="AF152" s="171">
        <v>295829.91</v>
      </c>
      <c r="AG152" s="171">
        <v>444392.84</v>
      </c>
      <c r="AH152" s="171">
        <v>447603.67</v>
      </c>
      <c r="AI152" s="171">
        <v>452429.96</v>
      </c>
      <c r="AJ152" s="171">
        <v>457308.16</v>
      </c>
      <c r="AK152" s="171">
        <v>461039.38</v>
      </c>
      <c r="AL152" s="171">
        <v>455980.92</v>
      </c>
      <c r="AM152" s="171">
        <v>450328.11</v>
      </c>
      <c r="AN152" s="171">
        <v>449812.92</v>
      </c>
      <c r="AO152" s="171">
        <v>465430.02</v>
      </c>
      <c r="AP152" s="171">
        <v>470101.02</v>
      </c>
      <c r="AQ152" s="171">
        <v>467671.67</v>
      </c>
      <c r="AR152" s="171">
        <v>460128.81</v>
      </c>
      <c r="AS152" s="171">
        <v>456835.51</v>
      </c>
      <c r="AT152" s="171">
        <v>460257.45</v>
      </c>
      <c r="AU152" s="171">
        <v>464158.34</v>
      </c>
      <c r="AV152" s="171">
        <v>464393.07</v>
      </c>
      <c r="AW152" s="171">
        <v>468957.11</v>
      </c>
      <c r="AX152" s="171">
        <v>468601.48</v>
      </c>
      <c r="AY152" s="171">
        <v>467689.84</v>
      </c>
      <c r="AZ152" s="171">
        <v>467802.98</v>
      </c>
      <c r="BA152" s="171">
        <v>281479.77</v>
      </c>
      <c r="BB152" s="171"/>
      <c r="BC152" s="171"/>
      <c r="BD152" s="171"/>
      <c r="BE152" s="171"/>
      <c r="BF152" s="171">
        <v>0.0</v>
      </c>
      <c r="BG152" s="171">
        <v>0.0</v>
      </c>
      <c r="BH152" s="171">
        <v>0.0</v>
      </c>
      <c r="BI152" s="171" t="s">
        <v>2566</v>
      </c>
      <c r="BJ152" s="171">
        <v>0.0</v>
      </c>
      <c r="BK152" s="171" t="s">
        <v>2566</v>
      </c>
      <c r="BL152" s="171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  <c r="CI152" s="329"/>
    </row>
    <row r="153" ht="15.75" customHeight="1">
      <c r="A153" s="317" t="s">
        <v>2547</v>
      </c>
      <c r="B153" s="239" t="s">
        <v>2967</v>
      </c>
      <c r="C153" s="331" t="s">
        <v>2968</v>
      </c>
      <c r="D153" s="319" t="s">
        <v>18</v>
      </c>
      <c r="E153" s="319" t="s">
        <v>29</v>
      </c>
      <c r="F153" s="95" t="s">
        <v>60</v>
      </c>
      <c r="G153" s="44" t="str">
        <f t="shared" si="1"/>
        <v>Augusto</v>
      </c>
      <c r="H153" s="332" t="s">
        <v>186</v>
      </c>
      <c r="I153" s="46" t="s">
        <v>24</v>
      </c>
      <c r="J153" s="319" t="str">
        <f t="shared" si="2"/>
        <v>Não</v>
      </c>
      <c r="K153" s="338">
        <v>43420.0</v>
      </c>
      <c r="L153" s="333">
        <v>44309.0</v>
      </c>
      <c r="M153" s="95" t="s">
        <v>269</v>
      </c>
      <c r="N153" s="334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2563</v>
      </c>
      <c r="S153" s="338">
        <v>43420.0</v>
      </c>
      <c r="T153" s="377"/>
      <c r="U153" s="169" t="s">
        <v>2969</v>
      </c>
      <c r="V153" s="45" t="s">
        <v>108</v>
      </c>
      <c r="W153" s="13" t="s">
        <v>2970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2942</v>
      </c>
      <c r="AE153" s="171">
        <v>184910.07</v>
      </c>
      <c r="AF153" s="171">
        <v>179564.56</v>
      </c>
      <c r="AG153" s="171">
        <v>164786.12</v>
      </c>
      <c r="AH153" s="171">
        <v>146437.91</v>
      </c>
      <c r="AI153" s="171">
        <v>148675.23</v>
      </c>
      <c r="AJ153" s="171">
        <v>151484.65</v>
      </c>
      <c r="AK153" s="171">
        <v>154265.85</v>
      </c>
      <c r="AL153" s="171">
        <v>150579.97</v>
      </c>
      <c r="AM153" s="171">
        <v>148239.73</v>
      </c>
      <c r="AN153" s="171">
        <v>147105.81</v>
      </c>
      <c r="AO153" s="171">
        <v>154348.13</v>
      </c>
      <c r="AP153" s="171">
        <v>158193.51</v>
      </c>
      <c r="AQ153" s="171">
        <v>154063.5</v>
      </c>
      <c r="AR153" s="171">
        <v>149214.67</v>
      </c>
      <c r="AS153" s="171">
        <v>147362.33</v>
      </c>
      <c r="AT153" s="171">
        <v>152841.38</v>
      </c>
      <c r="AU153" s="171">
        <v>79.42</v>
      </c>
      <c r="AV153" s="171">
        <v>79.42</v>
      </c>
      <c r="AW153" s="171"/>
      <c r="AX153" s="171">
        <v>28.09</v>
      </c>
      <c r="AY153" s="171">
        <v>28.09</v>
      </c>
      <c r="AZ153" s="171">
        <v>28.09</v>
      </c>
      <c r="BA153" s="171">
        <v>28.09</v>
      </c>
      <c r="BB153" s="171">
        <v>28.09</v>
      </c>
      <c r="BC153" s="171">
        <v>28.09</v>
      </c>
      <c r="BD153" s="171">
        <v>28.09</v>
      </c>
      <c r="BE153" s="171"/>
      <c r="BF153" s="171">
        <v>0.0</v>
      </c>
      <c r="BG153" s="171">
        <v>0.0</v>
      </c>
      <c r="BH153" s="171">
        <v>0.0</v>
      </c>
      <c r="BI153" s="171" t="s">
        <v>2566</v>
      </c>
      <c r="BJ153" s="171">
        <v>0.0</v>
      </c>
      <c r="BK153" s="171" t="s">
        <v>2566</v>
      </c>
      <c r="BL153" s="171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  <c r="CI153" s="329"/>
    </row>
    <row r="154" ht="15.75" customHeight="1">
      <c r="A154" s="317" t="s">
        <v>2547</v>
      </c>
      <c r="B154" s="42" t="s">
        <v>2971</v>
      </c>
      <c r="C154" s="330" t="s">
        <v>2972</v>
      </c>
      <c r="D154" s="319" t="s">
        <v>18</v>
      </c>
      <c r="E154" s="319" t="s">
        <v>176</v>
      </c>
      <c r="F154" s="319" t="s">
        <v>177</v>
      </c>
      <c r="G154" s="44" t="str">
        <f t="shared" si="1"/>
        <v>Augusto</v>
      </c>
      <c r="H154" s="332" t="s">
        <v>186</v>
      </c>
      <c r="I154" s="46" t="s">
        <v>24</v>
      </c>
      <c r="J154" s="319" t="str">
        <f t="shared" si="2"/>
        <v>Não</v>
      </c>
      <c r="K154" s="320">
        <v>44321.0</v>
      </c>
      <c r="L154" s="333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107</v>
      </c>
      <c r="S154" s="320">
        <v>44321.0</v>
      </c>
      <c r="T154" s="50"/>
      <c r="U154" s="50"/>
      <c r="V154" s="45" t="s">
        <v>108</v>
      </c>
      <c r="W154" s="5" t="s">
        <v>2973</v>
      </c>
      <c r="X154" s="164" t="s">
        <v>180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119</v>
      </c>
      <c r="AC154" s="95"/>
      <c r="AD154" s="95" t="s">
        <v>2609</v>
      </c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71"/>
      <c r="AS154" s="326"/>
      <c r="AT154" s="326"/>
      <c r="AU154" s="326"/>
      <c r="AV154" s="326"/>
      <c r="AW154" s="326">
        <v>173074.87</v>
      </c>
      <c r="AX154" s="171">
        <v>176844.78</v>
      </c>
      <c r="AY154" s="171">
        <v>179531.08</v>
      </c>
      <c r="AZ154" s="171">
        <v>181313.76</v>
      </c>
      <c r="BA154" s="171">
        <v>166132.23</v>
      </c>
      <c r="BB154" s="171">
        <v>176615.85</v>
      </c>
      <c r="BC154" s="171">
        <v>175135.7</v>
      </c>
      <c r="BD154" s="171">
        <v>174838.5</v>
      </c>
      <c r="BE154" s="171">
        <v>178412.48</v>
      </c>
      <c r="BF154" s="171">
        <v>48891.78</v>
      </c>
      <c r="BG154" s="171">
        <v>39678.14</v>
      </c>
      <c r="BH154" s="171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  <c r="CI154" s="329"/>
    </row>
    <row r="155" ht="15.75" customHeight="1">
      <c r="A155" s="317" t="s">
        <v>2547</v>
      </c>
      <c r="B155" s="42" t="s">
        <v>2974</v>
      </c>
      <c r="C155" s="366" t="s">
        <v>2975</v>
      </c>
      <c r="D155" s="319" t="s">
        <v>18</v>
      </c>
      <c r="E155" s="319" t="s">
        <v>176</v>
      </c>
      <c r="F155" s="95" t="s">
        <v>197</v>
      </c>
      <c r="G155" s="44" t="str">
        <f t="shared" si="1"/>
        <v>Augusto</v>
      </c>
      <c r="H155" s="332" t="s">
        <v>186</v>
      </c>
      <c r="I155" s="46" t="s">
        <v>24</v>
      </c>
      <c r="J155" s="319" t="str">
        <f t="shared" si="2"/>
        <v>Não</v>
      </c>
      <c r="K155" s="333">
        <v>44319.0</v>
      </c>
      <c r="L155" s="123">
        <v>44487.0</v>
      </c>
      <c r="M155" s="95" t="s">
        <v>269</v>
      </c>
      <c r="N155" s="334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2563</v>
      </c>
      <c r="S155" s="333">
        <v>44319.0</v>
      </c>
      <c r="T155" s="169"/>
      <c r="U155" s="169"/>
      <c r="V155" s="45" t="s">
        <v>108</v>
      </c>
      <c r="W155" s="5" t="s">
        <v>2976</v>
      </c>
      <c r="X155" s="164" t="s">
        <v>180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2609</v>
      </c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71"/>
      <c r="AS155" s="171"/>
      <c r="AT155" s="171"/>
      <c r="AU155" s="171"/>
      <c r="AV155" s="171"/>
      <c r="AW155" s="171">
        <v>184854.58</v>
      </c>
      <c r="AX155" s="171">
        <v>183521.13</v>
      </c>
      <c r="AY155" s="171">
        <v>180756.61</v>
      </c>
      <c r="AZ155" s="171">
        <v>187906.7</v>
      </c>
      <c r="BA155" s="171">
        <v>168203.81</v>
      </c>
      <c r="BB155" s="171"/>
      <c r="BC155" s="171"/>
      <c r="BD155" s="171"/>
      <c r="BE155" s="171"/>
      <c r="BF155" s="171">
        <v>0.0</v>
      </c>
      <c r="BG155" s="171">
        <v>0.0</v>
      </c>
      <c r="BH155" s="171">
        <v>0.0</v>
      </c>
      <c r="BI155" s="171" t="s">
        <v>2566</v>
      </c>
      <c r="BJ155" s="171">
        <v>0.0</v>
      </c>
      <c r="BK155" s="171" t="s">
        <v>2566</v>
      </c>
      <c r="BL155" s="171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  <c r="CI155" s="329"/>
    </row>
    <row r="156" ht="15.75" customHeight="1">
      <c r="A156" s="317" t="s">
        <v>2547</v>
      </c>
      <c r="B156" s="317" t="s">
        <v>2977</v>
      </c>
      <c r="C156" s="331" t="s">
        <v>2978</v>
      </c>
      <c r="D156" s="319" t="s">
        <v>18</v>
      </c>
      <c r="E156" s="319" t="s">
        <v>176</v>
      </c>
      <c r="F156" s="95" t="s">
        <v>197</v>
      </c>
      <c r="G156" s="44" t="str">
        <f t="shared" si="1"/>
        <v>Augusto</v>
      </c>
      <c r="H156" s="332" t="s">
        <v>147</v>
      </c>
      <c r="I156" s="51" t="s">
        <v>219</v>
      </c>
      <c r="J156" s="319" t="str">
        <f t="shared" si="2"/>
        <v>Sim</v>
      </c>
      <c r="K156" s="320">
        <v>44665.0</v>
      </c>
      <c r="L156" s="95"/>
      <c r="M156" s="95" t="s">
        <v>269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107</v>
      </c>
      <c r="S156" s="320">
        <v>44665.0</v>
      </c>
      <c r="T156" s="336" t="s">
        <v>2979</v>
      </c>
      <c r="U156" s="169"/>
      <c r="V156" s="45" t="s">
        <v>108</v>
      </c>
      <c r="W156" s="324" t="s">
        <v>2980</v>
      </c>
      <c r="X156" s="95" t="s">
        <v>180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119</v>
      </c>
      <c r="AC156" s="95"/>
      <c r="AD156" s="95" t="s">
        <v>2678</v>
      </c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1"/>
      <c r="AS156" s="326"/>
      <c r="AT156" s="326"/>
      <c r="AU156" s="326"/>
      <c r="AV156" s="326"/>
      <c r="AW156" s="326"/>
      <c r="AX156" s="171"/>
      <c r="AY156" s="171"/>
      <c r="AZ156" s="171"/>
      <c r="BA156" s="171"/>
      <c r="BB156" s="171"/>
      <c r="BC156" s="171"/>
      <c r="BD156" s="171"/>
      <c r="BE156" s="171"/>
      <c r="BF156" s="171"/>
      <c r="BG156" s="171">
        <v>100590.39</v>
      </c>
      <c r="BH156" s="171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  <c r="CI156" s="329"/>
    </row>
    <row r="157" ht="15.75" customHeight="1">
      <c r="A157" s="317" t="s">
        <v>2547</v>
      </c>
      <c r="B157" s="317" t="s">
        <v>2981</v>
      </c>
      <c r="C157" s="331" t="s">
        <v>2982</v>
      </c>
      <c r="D157" s="319" t="s">
        <v>2550</v>
      </c>
      <c r="E157" s="319" t="s">
        <v>29</v>
      </c>
      <c r="F157" s="319" t="s">
        <v>2551</v>
      </c>
      <c r="G157" s="44" t="str">
        <f t="shared" si="1"/>
        <v>Augusto</v>
      </c>
      <c r="H157" s="165" t="s">
        <v>147</v>
      </c>
      <c r="I157" s="51" t="s">
        <v>219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107</v>
      </c>
      <c r="S157" s="320">
        <v>43703.0</v>
      </c>
      <c r="T157" s="169" t="s">
        <v>2589</v>
      </c>
      <c r="U157" s="323" t="s">
        <v>2983</v>
      </c>
      <c r="V157" s="45" t="s">
        <v>108</v>
      </c>
      <c r="W157" s="324" t="s">
        <v>2984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119</v>
      </c>
      <c r="AC157" s="95"/>
      <c r="AD157" s="95" t="s">
        <v>2842</v>
      </c>
      <c r="AE157" s="171">
        <v>1230285.87</v>
      </c>
      <c r="AF157" s="171">
        <v>1196668.03</v>
      </c>
      <c r="AG157" s="171">
        <v>1123936.0</v>
      </c>
      <c r="AH157" s="171">
        <v>1019910.22</v>
      </c>
      <c r="AI157" s="171">
        <v>1018782.82</v>
      </c>
      <c r="AJ157" s="171">
        <v>924214.59</v>
      </c>
      <c r="AK157" s="171">
        <v>941268.72</v>
      </c>
      <c r="AL157" s="171">
        <v>708730.57</v>
      </c>
      <c r="AM157" s="171">
        <v>701627.31</v>
      </c>
      <c r="AN157" s="171">
        <v>689579.16</v>
      </c>
      <c r="AO157" s="171">
        <v>693113.96</v>
      </c>
      <c r="AP157" s="171">
        <v>688903.98</v>
      </c>
      <c r="AQ157" s="171">
        <v>467672.88</v>
      </c>
      <c r="AR157" s="171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1">
        <v>312990.56</v>
      </c>
      <c r="AY157" s="171">
        <v>288181.64</v>
      </c>
      <c r="AZ157" s="171">
        <v>270133.05</v>
      </c>
      <c r="BA157" s="171">
        <v>243979.55</v>
      </c>
      <c r="BB157" s="171">
        <v>233001.21</v>
      </c>
      <c r="BC157" s="171">
        <v>226795.52</v>
      </c>
      <c r="BD157" s="171">
        <v>203065.1</v>
      </c>
      <c r="BE157" s="171">
        <v>205481.9</v>
      </c>
      <c r="BF157" s="171">
        <v>202842.3</v>
      </c>
      <c r="BG157" s="171">
        <v>196857.42</v>
      </c>
      <c r="BH157" s="171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  <c r="CI157" s="329"/>
    </row>
    <row r="158" ht="15.75" customHeight="1">
      <c r="A158" s="317" t="s">
        <v>2547</v>
      </c>
      <c r="B158" s="317" t="s">
        <v>2981</v>
      </c>
      <c r="C158" s="331" t="s">
        <v>2985</v>
      </c>
      <c r="D158" s="319" t="s">
        <v>2550</v>
      </c>
      <c r="E158" s="319" t="s">
        <v>29</v>
      </c>
      <c r="F158" s="319" t="s">
        <v>2551</v>
      </c>
      <c r="G158" s="44" t="str">
        <f t="shared" si="1"/>
        <v>Augusto</v>
      </c>
      <c r="H158" s="165" t="s">
        <v>147</v>
      </c>
      <c r="I158" s="51" t="s">
        <v>219</v>
      </c>
      <c r="J158" s="319" t="str">
        <f t="shared" si="2"/>
        <v>Não</v>
      </c>
      <c r="K158" s="320">
        <v>43704.0</v>
      </c>
      <c r="L158" s="95"/>
      <c r="M158" s="95" t="s">
        <v>79</v>
      </c>
      <c r="N158" s="321">
        <v>0.012</v>
      </c>
      <c r="O158" s="319" t="s">
        <v>2552</v>
      </c>
      <c r="P158" s="322">
        <v>0.0</v>
      </c>
      <c r="Q158" s="319" t="str">
        <f>IFERROR(VLOOKUP(F158,'Cadastro de assessores'!A:B,2,FALSE),"Não Cadastrado")</f>
        <v>17573</v>
      </c>
      <c r="R158" s="319" t="s">
        <v>107</v>
      </c>
      <c r="S158" s="320">
        <v>43704.0</v>
      </c>
      <c r="T158" s="74"/>
      <c r="U158" s="169" t="s">
        <v>2986</v>
      </c>
      <c r="V158" s="45" t="s">
        <v>108</v>
      </c>
      <c r="W158" s="324" t="s">
        <v>2984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119</v>
      </c>
      <c r="AC158" s="95"/>
      <c r="AD158" s="95" t="s">
        <v>2842</v>
      </c>
      <c r="AE158" s="337"/>
      <c r="AF158" s="337"/>
      <c r="AG158" s="337"/>
      <c r="AH158" s="171"/>
      <c r="AI158" s="171"/>
      <c r="AJ158" s="337"/>
      <c r="AK158" s="337"/>
      <c r="AL158" s="171">
        <v>118778.82</v>
      </c>
      <c r="AM158" s="171">
        <v>117492.1</v>
      </c>
      <c r="AN158" s="171">
        <v>97244.24</v>
      </c>
      <c r="AO158" s="171">
        <v>89971.79</v>
      </c>
      <c r="AP158" s="171">
        <v>85276.84</v>
      </c>
      <c r="AQ158" s="171">
        <v>78236.16</v>
      </c>
      <c r="AR158" s="171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1">
        <v>78535.89</v>
      </c>
      <c r="AY158" s="171">
        <v>48081.3</v>
      </c>
      <c r="AZ158" s="171">
        <v>46118.35</v>
      </c>
      <c r="BA158" s="171">
        <v>37873.34</v>
      </c>
      <c r="BB158" s="171">
        <v>37398.31</v>
      </c>
      <c r="BC158" s="171">
        <v>7085.46</v>
      </c>
      <c r="BD158" s="171">
        <v>7107.7</v>
      </c>
      <c r="BE158" s="171">
        <v>7487.68</v>
      </c>
      <c r="BF158" s="171">
        <v>7724.06</v>
      </c>
      <c r="BG158" s="171">
        <v>7974.85</v>
      </c>
      <c r="BH158" s="171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  <c r="CI158" s="329"/>
    </row>
    <row r="159" ht="15.75" customHeight="1">
      <c r="A159" s="317" t="s">
        <v>2547</v>
      </c>
      <c r="B159" s="235" t="s">
        <v>2987</v>
      </c>
      <c r="C159" s="331" t="s">
        <v>2988</v>
      </c>
      <c r="D159" s="319" t="s">
        <v>2550</v>
      </c>
      <c r="E159" s="319" t="s">
        <v>29</v>
      </c>
      <c r="F159" s="95" t="s">
        <v>2551</v>
      </c>
      <c r="G159" s="44" t="str">
        <f t="shared" si="1"/>
        <v>Augusto</v>
      </c>
      <c r="H159" s="332" t="s">
        <v>186</v>
      </c>
      <c r="I159" s="46" t="s">
        <v>24</v>
      </c>
      <c r="J159" s="319" t="str">
        <f t="shared" si="2"/>
        <v>Não</v>
      </c>
      <c r="K159" s="333">
        <v>43692.0</v>
      </c>
      <c r="L159" s="333">
        <v>44505.0</v>
      </c>
      <c r="M159" s="95" t="s">
        <v>47</v>
      </c>
      <c r="N159" s="334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2563</v>
      </c>
      <c r="S159" s="333">
        <v>43692.0</v>
      </c>
      <c r="T159" s="169"/>
      <c r="U159" s="74"/>
      <c r="V159" s="45" t="s">
        <v>108</v>
      </c>
      <c r="W159" s="13" t="s">
        <v>2989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2623</v>
      </c>
      <c r="AE159" s="171">
        <v>400422.77</v>
      </c>
      <c r="AF159" s="171">
        <v>395290.18</v>
      </c>
      <c r="AG159" s="171">
        <v>377285.2</v>
      </c>
      <c r="AH159" s="171">
        <v>382929.98</v>
      </c>
      <c r="AI159" s="171">
        <v>385405.56</v>
      </c>
      <c r="AJ159" s="171">
        <v>388895.31</v>
      </c>
      <c r="AK159" s="171">
        <v>394635.52</v>
      </c>
      <c r="AL159" s="171">
        <v>389383.38</v>
      </c>
      <c r="AM159" s="171">
        <v>385268.07</v>
      </c>
      <c r="AN159" s="171">
        <v>386552.02</v>
      </c>
      <c r="AO159" s="171">
        <v>396042.79</v>
      </c>
      <c r="AP159" s="171">
        <v>399685.9</v>
      </c>
      <c r="AQ159" s="171">
        <v>397933.91</v>
      </c>
      <c r="AR159" s="171">
        <v>391473.88</v>
      </c>
      <c r="AS159" s="171">
        <v>388722.82</v>
      </c>
      <c r="AT159" s="171">
        <v>395369.79</v>
      </c>
      <c r="AU159" s="171">
        <v>395606.78</v>
      </c>
      <c r="AV159" s="171">
        <v>395762.39</v>
      </c>
      <c r="AW159" s="171">
        <v>399867.24</v>
      </c>
      <c r="AX159" s="171">
        <v>399432.69</v>
      </c>
      <c r="AY159" s="171">
        <v>398303.09</v>
      </c>
      <c r="AZ159" s="171">
        <v>395608.53</v>
      </c>
      <c r="BA159" s="171">
        <v>391042.04</v>
      </c>
      <c r="BB159" s="171">
        <v>385086.87</v>
      </c>
      <c r="BC159" s="171"/>
      <c r="BD159" s="171"/>
      <c r="BE159" s="171"/>
      <c r="BF159" s="171">
        <v>0.0</v>
      </c>
      <c r="BG159" s="171">
        <v>0.0</v>
      </c>
      <c r="BH159" s="171">
        <v>0.0</v>
      </c>
      <c r="BI159" s="171" t="s">
        <v>2566</v>
      </c>
      <c r="BJ159" s="171">
        <v>0.0</v>
      </c>
      <c r="BK159" s="171" t="s">
        <v>2566</v>
      </c>
      <c r="BL159" s="171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  <c r="CI159" s="329"/>
    </row>
    <row r="160" ht="15.75" customHeight="1">
      <c r="A160" s="317" t="s">
        <v>2547</v>
      </c>
      <c r="B160" s="235" t="s">
        <v>2990</v>
      </c>
      <c r="C160" s="331" t="s">
        <v>2991</v>
      </c>
      <c r="D160" s="319" t="s">
        <v>2550</v>
      </c>
      <c r="E160" s="319" t="s">
        <v>29</v>
      </c>
      <c r="F160" s="319" t="s">
        <v>2551</v>
      </c>
      <c r="G160" s="44" t="str">
        <f t="shared" si="1"/>
        <v>Augusto</v>
      </c>
      <c r="H160" s="165" t="s">
        <v>147</v>
      </c>
      <c r="I160" s="51" t="s">
        <v>219</v>
      </c>
      <c r="J160" s="319" t="str">
        <f t="shared" si="2"/>
        <v>Não</v>
      </c>
      <c r="K160" s="320">
        <v>43875.0</v>
      </c>
      <c r="L160" s="95"/>
      <c r="M160" s="95" t="s">
        <v>79</v>
      </c>
      <c r="N160" s="321">
        <v>0.012</v>
      </c>
      <c r="O160" s="319" t="s">
        <v>2552</v>
      </c>
      <c r="P160" s="322">
        <v>0.0</v>
      </c>
      <c r="Q160" s="319" t="str">
        <f>IFERROR(VLOOKUP(F160,'Cadastro de assessores'!A:B,2,FALSE),"Não Cadastrado")</f>
        <v>17573</v>
      </c>
      <c r="R160" s="319" t="s">
        <v>107</v>
      </c>
      <c r="S160" s="320">
        <v>43875.0</v>
      </c>
      <c r="T160" s="169"/>
      <c r="U160" s="169" t="s">
        <v>2992</v>
      </c>
      <c r="V160" s="45" t="s">
        <v>108</v>
      </c>
      <c r="W160" s="13" t="s">
        <v>2993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119</v>
      </c>
      <c r="AC160" s="95"/>
      <c r="AD160" s="95" t="s">
        <v>2602</v>
      </c>
      <c r="AE160" s="171">
        <v>0.0</v>
      </c>
      <c r="AF160" s="171">
        <v>198314.93</v>
      </c>
      <c r="AG160" s="171">
        <v>189268.2</v>
      </c>
      <c r="AH160" s="171">
        <v>191716.18</v>
      </c>
      <c r="AI160" s="171">
        <v>193158.44</v>
      </c>
      <c r="AJ160" s="171">
        <v>193944.31</v>
      </c>
      <c r="AK160" s="171">
        <v>196266.39</v>
      </c>
      <c r="AL160" s="171">
        <v>193737.65</v>
      </c>
      <c r="AM160" s="171">
        <v>195722.03</v>
      </c>
      <c r="AN160" s="171">
        <v>191505.9</v>
      </c>
      <c r="AO160" s="171">
        <v>94491.15</v>
      </c>
      <c r="AP160" s="171">
        <v>95218.97</v>
      </c>
      <c r="AQ160" s="171">
        <v>94481.67</v>
      </c>
      <c r="AR160" s="171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1">
        <v>93418.22</v>
      </c>
      <c r="AY160" s="171">
        <v>93231.42</v>
      </c>
      <c r="AZ160" s="171">
        <v>92455.72</v>
      </c>
      <c r="BA160" s="171">
        <v>73572.75</v>
      </c>
      <c r="BB160" s="171">
        <v>47612.14</v>
      </c>
      <c r="BC160" s="171">
        <v>47913.17</v>
      </c>
      <c r="BD160" s="171">
        <v>48144.27</v>
      </c>
      <c r="BE160" s="171">
        <v>49186.79</v>
      </c>
      <c r="BF160" s="171">
        <v>8201.67</v>
      </c>
      <c r="BG160" s="171">
        <v>8719.92</v>
      </c>
      <c r="BH160" s="171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  <c r="CI160" s="329"/>
    </row>
    <row r="161" ht="15.75" customHeight="1">
      <c r="A161" s="317" t="s">
        <v>2547</v>
      </c>
      <c r="B161" s="235" t="s">
        <v>2994</v>
      </c>
      <c r="C161" s="331" t="s">
        <v>2995</v>
      </c>
      <c r="D161" s="319" t="s">
        <v>2550</v>
      </c>
      <c r="E161" s="319" t="s">
        <v>29</v>
      </c>
      <c r="F161" s="95" t="s">
        <v>2562</v>
      </c>
      <c r="G161" s="44" t="str">
        <f t="shared" si="1"/>
        <v>Augusto</v>
      </c>
      <c r="H161" s="332" t="s">
        <v>186</v>
      </c>
      <c r="I161" s="46" t="s">
        <v>24</v>
      </c>
      <c r="J161" s="319" t="str">
        <f t="shared" si="2"/>
        <v>Não</v>
      </c>
      <c r="K161" s="338">
        <v>43752.0</v>
      </c>
      <c r="L161" s="338">
        <v>44517.0</v>
      </c>
      <c r="M161" s="95" t="s">
        <v>47</v>
      </c>
      <c r="N161" s="334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2563</v>
      </c>
      <c r="S161" s="338">
        <v>43752.0</v>
      </c>
      <c r="T161" s="169"/>
      <c r="U161" s="74"/>
      <c r="V161" s="45" t="s">
        <v>108</v>
      </c>
      <c r="W161" s="13" t="s">
        <v>2996</v>
      </c>
      <c r="X161" s="95" t="s">
        <v>284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2997</v>
      </c>
      <c r="AE161" s="171">
        <v>134446.18</v>
      </c>
      <c r="AF161" s="171">
        <v>234449.26</v>
      </c>
      <c r="AG161" s="171">
        <v>225422.57</v>
      </c>
      <c r="AH161" s="171">
        <v>228620.88</v>
      </c>
      <c r="AI161" s="171">
        <v>230534.3</v>
      </c>
      <c r="AJ161" s="171">
        <v>233220.57</v>
      </c>
      <c r="AK161" s="171">
        <v>237295.46</v>
      </c>
      <c r="AL161" s="171">
        <v>234410.05</v>
      </c>
      <c r="AM161" s="171">
        <v>232049.99</v>
      </c>
      <c r="AN161" s="171">
        <v>352485.42</v>
      </c>
      <c r="AO161" s="171">
        <v>371923.48</v>
      </c>
      <c r="AP161" s="171">
        <v>378615.1</v>
      </c>
      <c r="AQ161" s="171">
        <v>373674.05</v>
      </c>
      <c r="AR161" s="171">
        <v>359951.74</v>
      </c>
      <c r="AS161" s="171">
        <v>354514.66</v>
      </c>
      <c r="AT161" s="171">
        <v>367915.57</v>
      </c>
      <c r="AU161" s="171">
        <v>368447.7</v>
      </c>
      <c r="AV161" s="171">
        <v>368835.97</v>
      </c>
      <c r="AW161" s="171">
        <v>482967.81</v>
      </c>
      <c r="AX161" s="171">
        <v>430458.15</v>
      </c>
      <c r="AY161" s="171">
        <v>395446.0</v>
      </c>
      <c r="AZ161" s="171">
        <v>386977.41</v>
      </c>
      <c r="BA161" s="171">
        <v>357514.68</v>
      </c>
      <c r="BB161" s="171">
        <v>333758.21</v>
      </c>
      <c r="BC161" s="171"/>
      <c r="BD161" s="171"/>
      <c r="BE161" s="171"/>
      <c r="BF161" s="171">
        <v>0.0</v>
      </c>
      <c r="BG161" s="171">
        <v>0.0</v>
      </c>
      <c r="BH161" s="171">
        <v>0.0</v>
      </c>
      <c r="BI161" s="171" t="s">
        <v>2566</v>
      </c>
      <c r="BJ161" s="171">
        <v>0.0</v>
      </c>
      <c r="BK161" s="171" t="s">
        <v>2566</v>
      </c>
      <c r="BL161" s="171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  <c r="CI161" s="329"/>
    </row>
    <row r="162" ht="15.75" customHeight="1">
      <c r="A162" s="317" t="s">
        <v>2547</v>
      </c>
      <c r="B162" s="344" t="s">
        <v>1143</v>
      </c>
      <c r="C162" s="331" t="s">
        <v>2998</v>
      </c>
      <c r="D162" s="319" t="s">
        <v>18</v>
      </c>
      <c r="E162" s="319" t="s">
        <v>176</v>
      </c>
      <c r="F162" s="319" t="s">
        <v>177</v>
      </c>
      <c r="G162" s="44" t="str">
        <f t="shared" si="1"/>
        <v>Augusto</v>
      </c>
      <c r="H162" s="332" t="s">
        <v>147</v>
      </c>
      <c r="I162" s="51" t="s">
        <v>219</v>
      </c>
      <c r="J162" s="319" t="str">
        <f t="shared" si="2"/>
        <v>Sim</v>
      </c>
      <c r="K162" s="320">
        <v>44263.0</v>
      </c>
      <c r="L162" s="95"/>
      <c r="M162" s="95" t="s">
        <v>269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107</v>
      </c>
      <c r="S162" s="320">
        <v>44253.0</v>
      </c>
      <c r="T162" s="336" t="s">
        <v>2999</v>
      </c>
      <c r="U162" s="345" t="s">
        <v>3000</v>
      </c>
      <c r="V162" s="45" t="s">
        <v>108</v>
      </c>
      <c r="W162" s="324" t="s">
        <v>1146</v>
      </c>
      <c r="X162" s="164" t="s">
        <v>180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119</v>
      </c>
      <c r="AC162" s="95"/>
      <c r="AD162" s="95" t="s">
        <v>2629</v>
      </c>
      <c r="AE162" s="337"/>
      <c r="AF162" s="337"/>
      <c r="AG162" s="337"/>
      <c r="AH162" s="337"/>
      <c r="AI162" s="337"/>
      <c r="AJ162" s="337"/>
      <c r="AK162" s="337"/>
      <c r="AL162" s="337"/>
      <c r="AM162" s="337"/>
      <c r="AN162" s="337"/>
      <c r="AO162" s="337"/>
      <c r="AP162" s="337"/>
      <c r="AQ162" s="337"/>
      <c r="AR162" s="171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1">
        <v>141209.45</v>
      </c>
      <c r="AY162" s="171">
        <v>470827.25</v>
      </c>
      <c r="AZ162" s="171">
        <v>464321.95</v>
      </c>
      <c r="BA162" s="171">
        <v>452777.06</v>
      </c>
      <c r="BB162" s="171">
        <v>487963.45</v>
      </c>
      <c r="BC162" s="171">
        <v>505843.55</v>
      </c>
      <c r="BD162" s="171">
        <v>529557.28</v>
      </c>
      <c r="BE162" s="171">
        <v>599849.83</v>
      </c>
      <c r="BF162" s="171">
        <v>643812.22</v>
      </c>
      <c r="BG162" s="171">
        <v>705176.49</v>
      </c>
      <c r="BH162" s="171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  <c r="CI162" s="329"/>
    </row>
    <row r="163" ht="15.75" customHeight="1">
      <c r="A163" s="317" t="s">
        <v>2547</v>
      </c>
      <c r="B163" s="344" t="s">
        <v>1143</v>
      </c>
      <c r="C163" s="71" t="s">
        <v>3001</v>
      </c>
      <c r="D163" s="319" t="s">
        <v>18</v>
      </c>
      <c r="E163" s="319" t="s">
        <v>176</v>
      </c>
      <c r="F163" s="93" t="s">
        <v>177</v>
      </c>
      <c r="G163" s="44" t="str">
        <f t="shared" si="1"/>
        <v>Augusto</v>
      </c>
      <c r="H163" s="165" t="s">
        <v>147</v>
      </c>
      <c r="I163" s="51" t="s">
        <v>219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147</v>
      </c>
      <c r="S163" s="320">
        <v>44396.0</v>
      </c>
      <c r="T163" s="50"/>
      <c r="U163" s="50"/>
      <c r="V163" s="45" t="s">
        <v>108</v>
      </c>
      <c r="W163" s="324" t="s">
        <v>1146</v>
      </c>
      <c r="X163" s="164" t="s">
        <v>180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119</v>
      </c>
      <c r="AC163" s="95"/>
      <c r="AD163" s="95" t="s">
        <v>2629</v>
      </c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71"/>
      <c r="AR163" s="326"/>
      <c r="AS163" s="326"/>
      <c r="AT163" s="326"/>
      <c r="AU163" s="326"/>
      <c r="AV163" s="326"/>
      <c r="AW163" s="171"/>
      <c r="AX163" s="191"/>
      <c r="AY163" s="171">
        <v>5007.52</v>
      </c>
      <c r="AZ163" s="171">
        <v>5029.95</v>
      </c>
      <c r="BA163" s="171">
        <v>5039.69</v>
      </c>
      <c r="BB163" s="171">
        <v>12056.26</v>
      </c>
      <c r="BC163" s="171">
        <v>18130.58</v>
      </c>
      <c r="BD163" s="171">
        <v>18245.94</v>
      </c>
      <c r="BE163" s="171">
        <v>18377.9</v>
      </c>
      <c r="BF163" s="171">
        <v>22533.02</v>
      </c>
      <c r="BG163" s="171">
        <v>28760.13</v>
      </c>
      <c r="BH163" s="171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  <c r="CI163" s="329"/>
    </row>
    <row r="164" ht="15.75" customHeight="1">
      <c r="A164" s="317" t="s">
        <v>2547</v>
      </c>
      <c r="B164" s="235" t="s">
        <v>1149</v>
      </c>
      <c r="C164" s="330" t="s">
        <v>3002</v>
      </c>
      <c r="D164" s="319" t="s">
        <v>18</v>
      </c>
      <c r="E164" s="319" t="s">
        <v>176</v>
      </c>
      <c r="F164" s="319" t="s">
        <v>2634</v>
      </c>
      <c r="G164" s="44" t="str">
        <f t="shared" si="1"/>
        <v>Augusto</v>
      </c>
      <c r="H164" s="165" t="s">
        <v>147</v>
      </c>
      <c r="I164" s="51" t="s">
        <v>219</v>
      </c>
      <c r="J164" s="319" t="str">
        <f t="shared" si="2"/>
        <v>Não</v>
      </c>
      <c r="K164" s="320">
        <v>44671.0</v>
      </c>
      <c r="L164" s="95"/>
      <c r="M164" s="95" t="s">
        <v>79</v>
      </c>
      <c r="N164" s="321">
        <v>0.012</v>
      </c>
      <c r="O164" s="319" t="s">
        <v>2552</v>
      </c>
      <c r="P164" s="322">
        <v>0.0</v>
      </c>
      <c r="Q164" s="319" t="str">
        <f>IFERROR(VLOOKUP(F164,'Cadastro de assessores'!A:B,2,FALSE),"Não Cadastrado")</f>
        <v>22066</v>
      </c>
      <c r="R164" s="319" t="s">
        <v>107</v>
      </c>
      <c r="S164" s="320">
        <v>44671.0</v>
      </c>
      <c r="T164" s="169"/>
      <c r="U164" s="169"/>
      <c r="V164" s="45" t="s">
        <v>108</v>
      </c>
      <c r="W164" s="13" t="s">
        <v>1151</v>
      </c>
      <c r="X164" s="164" t="s">
        <v>180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119</v>
      </c>
      <c r="AC164" s="95"/>
      <c r="AD164" s="95" t="s">
        <v>2609</v>
      </c>
      <c r="AE164" s="337"/>
      <c r="AF164" s="337"/>
      <c r="AG164" s="337"/>
      <c r="AH164" s="337"/>
      <c r="AI164" s="337"/>
      <c r="AJ164" s="337"/>
      <c r="AK164" s="337"/>
      <c r="AL164" s="337"/>
      <c r="AM164" s="337"/>
      <c r="AN164" s="337"/>
      <c r="AO164" s="337"/>
      <c r="AP164" s="337"/>
      <c r="AQ164" s="337"/>
      <c r="AR164" s="171"/>
      <c r="AS164" s="326"/>
      <c r="AT164" s="326"/>
      <c r="AU164" s="326"/>
      <c r="AV164" s="326"/>
      <c r="AW164" s="326"/>
      <c r="AX164" s="171"/>
      <c r="AY164" s="171"/>
      <c r="AZ164" s="171"/>
      <c r="BA164" s="171"/>
      <c r="BB164" s="171"/>
      <c r="BC164" s="171"/>
      <c r="BD164" s="171"/>
      <c r="BE164" s="171"/>
      <c r="BF164" s="171"/>
      <c r="BG164" s="171"/>
      <c r="BH164" s="171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  <c r="CI164" s="329"/>
    </row>
    <row r="165" ht="15.75" customHeight="1">
      <c r="A165" s="317" t="s">
        <v>2547</v>
      </c>
      <c r="B165" s="235" t="s">
        <v>3003</v>
      </c>
      <c r="C165" s="219" t="s">
        <v>3004</v>
      </c>
      <c r="D165" s="319" t="s">
        <v>18</v>
      </c>
      <c r="E165" s="319" t="s">
        <v>176</v>
      </c>
      <c r="F165" s="95" t="s">
        <v>177</v>
      </c>
      <c r="G165" s="44" t="str">
        <f t="shared" si="1"/>
        <v>Augusto</v>
      </c>
      <c r="H165" s="332" t="s">
        <v>147</v>
      </c>
      <c r="I165" s="51" t="s">
        <v>219</v>
      </c>
      <c r="J165" s="319" t="str">
        <f t="shared" si="2"/>
        <v>Não</v>
      </c>
      <c r="K165" s="320">
        <v>44291.0</v>
      </c>
      <c r="L165" s="95"/>
      <c r="M165" s="95" t="s">
        <v>79</v>
      </c>
      <c r="N165" s="321">
        <v>0.012</v>
      </c>
      <c r="O165" s="319" t="s">
        <v>2552</v>
      </c>
      <c r="P165" s="322">
        <v>0.0</v>
      </c>
      <c r="Q165" s="319" t="str">
        <f>IFERROR(VLOOKUP(F165,'Cadastro de assessores'!A:B,2,FALSE),"Não Cadastrado")</f>
        <v>250</v>
      </c>
      <c r="R165" s="319" t="s">
        <v>107</v>
      </c>
      <c r="S165" s="320">
        <v>44291.0</v>
      </c>
      <c r="T165" s="63"/>
      <c r="U165" s="169" t="s">
        <v>3005</v>
      </c>
      <c r="V165" s="45" t="s">
        <v>108</v>
      </c>
      <c r="W165" s="13" t="s">
        <v>1158</v>
      </c>
      <c r="X165" s="164" t="s">
        <v>180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119</v>
      </c>
      <c r="AC165" s="95"/>
      <c r="AD165" s="95" t="s">
        <v>2609</v>
      </c>
      <c r="AE165" s="337"/>
      <c r="AF165" s="337"/>
      <c r="AG165" s="337"/>
      <c r="AH165" s="337"/>
      <c r="AI165" s="337"/>
      <c r="AJ165" s="337"/>
      <c r="AK165" s="337"/>
      <c r="AL165" s="337"/>
      <c r="AM165" s="337"/>
      <c r="AN165" s="337"/>
      <c r="AO165" s="337"/>
      <c r="AP165" s="337"/>
      <c r="AQ165" s="337"/>
      <c r="AR165" s="171"/>
      <c r="AS165" s="326"/>
      <c r="AT165" s="326">
        <v>335990.77</v>
      </c>
      <c r="AU165" s="326"/>
      <c r="AV165" s="326">
        <v>339283.25</v>
      </c>
      <c r="AW165" s="326">
        <v>342343.33</v>
      </c>
      <c r="AX165" s="171">
        <v>343939.81</v>
      </c>
      <c r="AY165" s="171">
        <v>342416.43</v>
      </c>
      <c r="AZ165" s="171">
        <v>339698.21</v>
      </c>
      <c r="BA165" s="171">
        <v>295130.66</v>
      </c>
      <c r="BB165" s="171">
        <v>330877.88</v>
      </c>
      <c r="BC165" s="171">
        <v>329048.32</v>
      </c>
      <c r="BD165" s="171">
        <v>329635.42</v>
      </c>
      <c r="BE165" s="171">
        <v>332448.68</v>
      </c>
      <c r="BF165" s="171">
        <v>334600.71</v>
      </c>
      <c r="BG165" s="171">
        <v>344066.72</v>
      </c>
      <c r="BH165" s="171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  <c r="CI165" s="329"/>
    </row>
    <row r="166" ht="15.75" customHeight="1">
      <c r="A166" s="317" t="s">
        <v>2547</v>
      </c>
      <c r="B166" s="235" t="s">
        <v>3006</v>
      </c>
      <c r="C166" s="331" t="s">
        <v>3007</v>
      </c>
      <c r="D166" s="319" t="s">
        <v>18</v>
      </c>
      <c r="E166" s="319" t="s">
        <v>176</v>
      </c>
      <c r="F166" s="319" t="s">
        <v>197</v>
      </c>
      <c r="G166" s="44" t="str">
        <f t="shared" si="1"/>
        <v>Augusto</v>
      </c>
      <c r="H166" s="165" t="s">
        <v>147</v>
      </c>
      <c r="I166" s="51" t="s">
        <v>219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107</v>
      </c>
      <c r="S166" s="320">
        <v>44228.0</v>
      </c>
      <c r="T166" s="63"/>
      <c r="U166" s="336" t="s">
        <v>3008</v>
      </c>
      <c r="V166" s="45" t="s">
        <v>108</v>
      </c>
      <c r="W166" s="13" t="s">
        <v>1176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110</v>
      </c>
      <c r="AC166" s="95"/>
      <c r="AD166" s="95" t="s">
        <v>2675</v>
      </c>
      <c r="AE166" s="337"/>
      <c r="AF166" s="337"/>
      <c r="AG166" s="337"/>
      <c r="AH166" s="337"/>
      <c r="AI166" s="337"/>
      <c r="AJ166" s="337"/>
      <c r="AK166" s="337"/>
      <c r="AL166" s="337"/>
      <c r="AM166" s="337"/>
      <c r="AN166" s="337"/>
      <c r="AO166" s="337"/>
      <c r="AP166" s="337"/>
      <c r="AQ166" s="337"/>
      <c r="AR166" s="171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1">
        <v>1232501.24</v>
      </c>
      <c r="AY166" s="171">
        <v>1219835.27</v>
      </c>
      <c r="AZ166" s="171">
        <v>1195873.98</v>
      </c>
      <c r="BA166" s="171">
        <v>1157176.72</v>
      </c>
      <c r="BB166" s="171">
        <v>1141724.87</v>
      </c>
      <c r="BC166" s="171">
        <v>1130173.04</v>
      </c>
      <c r="BD166" s="171">
        <v>1142763.69</v>
      </c>
      <c r="BE166" s="171">
        <v>1167571.64</v>
      </c>
      <c r="BF166" s="171">
        <v>1174433.86</v>
      </c>
      <c r="BG166" s="171">
        <v>1226346.39</v>
      </c>
      <c r="BH166" s="171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  <c r="CI166" s="329"/>
    </row>
    <row r="167" ht="15.75" customHeight="1">
      <c r="A167" s="317" t="s">
        <v>2547</v>
      </c>
      <c r="B167" s="317" t="s">
        <v>3009</v>
      </c>
      <c r="C167" s="318" t="s">
        <v>3010</v>
      </c>
      <c r="D167" s="319" t="s">
        <v>2659</v>
      </c>
      <c r="E167" s="319" t="s">
        <v>29</v>
      </c>
      <c r="F167" s="319" t="s">
        <v>2659</v>
      </c>
      <c r="G167" s="44" t="str">
        <f t="shared" si="1"/>
        <v>Augusto</v>
      </c>
      <c r="H167" s="332" t="s">
        <v>186</v>
      </c>
      <c r="I167" s="46" t="s">
        <v>24</v>
      </c>
      <c r="J167" s="319" t="str">
        <f t="shared" si="2"/>
        <v>Não</v>
      </c>
      <c r="K167" s="320">
        <v>43375.0</v>
      </c>
      <c r="L167" s="355">
        <v>44952.0</v>
      </c>
      <c r="M167" s="95" t="s">
        <v>190</v>
      </c>
      <c r="N167" s="321">
        <v>0.01</v>
      </c>
      <c r="O167" s="319" t="s">
        <v>191</v>
      </c>
      <c r="P167" s="322">
        <v>0.2</v>
      </c>
      <c r="Q167" s="319" t="str">
        <f>IFERROR(VLOOKUP(F167,'Cadastro de assessores'!A:B,2,FALSE),"Não Cadastrado")</f>
        <v>22400</v>
      </c>
      <c r="R167" s="319" t="s">
        <v>107</v>
      </c>
      <c r="S167" s="320">
        <v>43375.0</v>
      </c>
      <c r="T167" s="169"/>
      <c r="U167" s="169"/>
      <c r="V167" s="45" t="s">
        <v>108</v>
      </c>
      <c r="W167" s="324" t="s">
        <v>3011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119</v>
      </c>
      <c r="AC167" s="95"/>
      <c r="AD167" s="95" t="s">
        <v>2675</v>
      </c>
      <c r="AE167" s="171">
        <v>411209.91</v>
      </c>
      <c r="AF167" s="171">
        <v>394780.2</v>
      </c>
      <c r="AG167" s="171">
        <v>286785.23</v>
      </c>
      <c r="AH167" s="171">
        <v>301761.68</v>
      </c>
      <c r="AI167" s="171">
        <v>362220.34</v>
      </c>
      <c r="AJ167" s="171">
        <v>431644.7</v>
      </c>
      <c r="AK167" s="171">
        <v>473003.48</v>
      </c>
      <c r="AL167" s="171">
        <v>438718.4</v>
      </c>
      <c r="AM167" s="171">
        <v>414649.49</v>
      </c>
      <c r="AN167" s="171">
        <v>426964.58</v>
      </c>
      <c r="AO167" s="171">
        <v>480173.03</v>
      </c>
      <c r="AP167" s="171">
        <v>605615.55</v>
      </c>
      <c r="AQ167" s="171">
        <v>588350.95</v>
      </c>
      <c r="AR167" s="171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1">
        <v>592451.27</v>
      </c>
      <c r="AY167" s="171">
        <v>575709.57</v>
      </c>
      <c r="AZ167" s="171">
        <v>550708.68</v>
      </c>
      <c r="BA167" s="171">
        <v>523915.92</v>
      </c>
      <c r="BB167" s="171">
        <v>493376.84</v>
      </c>
      <c r="BC167" s="171">
        <v>478811.61</v>
      </c>
      <c r="BD167" s="171">
        <v>481188.72</v>
      </c>
      <c r="BE167" s="171">
        <v>523465.58</v>
      </c>
      <c r="BF167" s="171">
        <v>542667.54</v>
      </c>
      <c r="BG167" s="171">
        <v>577803.59</v>
      </c>
      <c r="BH167" s="171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  <c r="CI167" s="329"/>
    </row>
    <row r="168" ht="15.75" customHeight="1">
      <c r="A168" s="317" t="s">
        <v>2547</v>
      </c>
      <c r="B168" s="42" t="s">
        <v>1182</v>
      </c>
      <c r="C168" s="330" t="s">
        <v>3012</v>
      </c>
      <c r="D168" s="319" t="s">
        <v>18</v>
      </c>
      <c r="E168" s="319" t="s">
        <v>176</v>
      </c>
      <c r="F168" s="319" t="s">
        <v>177</v>
      </c>
      <c r="G168" s="44" t="str">
        <f t="shared" si="1"/>
        <v>Augusto</v>
      </c>
      <c r="H168" s="165" t="s">
        <v>147</v>
      </c>
      <c r="I168" s="51" t="s">
        <v>219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107</v>
      </c>
      <c r="S168" s="320">
        <v>44319.0</v>
      </c>
      <c r="T168" s="63"/>
      <c r="U168" s="60" t="s">
        <v>3013</v>
      </c>
      <c r="V168" s="45" t="s">
        <v>108</v>
      </c>
      <c r="W168" s="5" t="s">
        <v>1184</v>
      </c>
      <c r="X168" s="164" t="s">
        <v>180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119</v>
      </c>
      <c r="AC168" s="95"/>
      <c r="AD168" s="95" t="s">
        <v>2609</v>
      </c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71"/>
      <c r="AS168" s="171"/>
      <c r="AT168" s="171"/>
      <c r="AU168" s="171"/>
      <c r="AV168" s="171"/>
      <c r="AW168" s="171">
        <v>777093.28</v>
      </c>
      <c r="AX168" s="171">
        <v>744414.54</v>
      </c>
      <c r="AY168" s="171">
        <v>738530.97</v>
      </c>
      <c r="AZ168" s="171">
        <v>724815.86</v>
      </c>
      <c r="BA168" s="171">
        <v>712604.42</v>
      </c>
      <c r="BB168" s="171">
        <v>659555.67</v>
      </c>
      <c r="BC168" s="171">
        <v>650852.57</v>
      </c>
      <c r="BD168" s="171">
        <v>654900.89</v>
      </c>
      <c r="BE168" s="171">
        <v>669858.31</v>
      </c>
      <c r="BF168" s="171">
        <v>675958.05</v>
      </c>
      <c r="BG168" s="171">
        <v>665383.99</v>
      </c>
      <c r="BH168" s="171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  <c r="CI168" s="329"/>
    </row>
    <row r="169" ht="15.75" customHeight="1">
      <c r="A169" s="317" t="s">
        <v>2547</v>
      </c>
      <c r="B169" s="42" t="s">
        <v>1190</v>
      </c>
      <c r="C169" s="330" t="s">
        <v>3014</v>
      </c>
      <c r="D169" s="319" t="s">
        <v>18</v>
      </c>
      <c r="E169" s="319" t="s">
        <v>176</v>
      </c>
      <c r="F169" s="319" t="s">
        <v>177</v>
      </c>
      <c r="G169" s="44" t="str">
        <f t="shared" si="1"/>
        <v>Augusto</v>
      </c>
      <c r="H169" s="165" t="s">
        <v>147</v>
      </c>
      <c r="I169" s="51" t="s">
        <v>219</v>
      </c>
      <c r="J169" s="319" t="str">
        <f t="shared" si="2"/>
        <v>Sim</v>
      </c>
      <c r="K169" s="320">
        <v>44319.0</v>
      </c>
      <c r="L169" s="95"/>
      <c r="M169" s="95" t="s">
        <v>190</v>
      </c>
      <c r="N169" s="321">
        <v>0.015</v>
      </c>
      <c r="O169" s="319" t="s">
        <v>191</v>
      </c>
      <c r="P169" s="322">
        <v>0.2</v>
      </c>
      <c r="Q169" s="319" t="str">
        <f>IFERROR(VLOOKUP(F169,'Cadastro de assessores'!A:B,2,FALSE),"Não Cadastrado")</f>
        <v>250</v>
      </c>
      <c r="R169" s="319" t="s">
        <v>107</v>
      </c>
      <c r="S169" s="320">
        <v>44319.0</v>
      </c>
      <c r="T169" s="60" t="s">
        <v>3015</v>
      </c>
      <c r="U169" s="323" t="s">
        <v>3016</v>
      </c>
      <c r="V169" s="45" t="s">
        <v>108</v>
      </c>
      <c r="W169" s="5" t="s">
        <v>1192</v>
      </c>
      <c r="X169" s="164" t="s">
        <v>180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119</v>
      </c>
      <c r="AC169" s="95"/>
      <c r="AD169" s="95" t="s">
        <v>2609</v>
      </c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71"/>
      <c r="AS169" s="171"/>
      <c r="AT169" s="171"/>
      <c r="AU169" s="171"/>
      <c r="AV169" s="171"/>
      <c r="AW169" s="171">
        <v>308695.87</v>
      </c>
      <c r="AX169" s="171">
        <v>305913.61</v>
      </c>
      <c r="AY169" s="171">
        <v>298653.95</v>
      </c>
      <c r="AZ169" s="171">
        <v>283996.83</v>
      </c>
      <c r="BA169" s="171">
        <v>270279.89</v>
      </c>
      <c r="BB169" s="171">
        <v>252892.06</v>
      </c>
      <c r="BC169" s="171">
        <v>244738.56</v>
      </c>
      <c r="BD169" s="171">
        <v>246351.2</v>
      </c>
      <c r="BE169" s="171">
        <v>261284.29</v>
      </c>
      <c r="BF169" s="171">
        <v>263910.69</v>
      </c>
      <c r="BG169" s="171">
        <v>281887.28</v>
      </c>
      <c r="BH169" s="171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  <c r="CI169" s="329"/>
    </row>
    <row r="170" ht="15.75" customHeight="1">
      <c r="A170" s="317" t="s">
        <v>2547</v>
      </c>
      <c r="B170" s="239" t="s">
        <v>3017</v>
      </c>
      <c r="C170" s="331" t="s">
        <v>3018</v>
      </c>
      <c r="D170" s="319" t="s">
        <v>2550</v>
      </c>
      <c r="E170" s="319" t="s">
        <v>29</v>
      </c>
      <c r="F170" s="95" t="s">
        <v>2562</v>
      </c>
      <c r="G170" s="44" t="str">
        <f t="shared" si="1"/>
        <v>Augusto</v>
      </c>
      <c r="H170" s="332" t="s">
        <v>186</v>
      </c>
      <c r="I170" s="46" t="s">
        <v>24</v>
      </c>
      <c r="J170" s="319" t="str">
        <f t="shared" si="2"/>
        <v>Não</v>
      </c>
      <c r="K170" s="338">
        <v>43822.0</v>
      </c>
      <c r="L170" s="333">
        <v>44007.0</v>
      </c>
      <c r="M170" s="95" t="s">
        <v>47</v>
      </c>
      <c r="N170" s="334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2563</v>
      </c>
      <c r="S170" s="338">
        <v>43822.0</v>
      </c>
      <c r="T170" s="169"/>
      <c r="U170" s="169"/>
      <c r="V170" s="45" t="s">
        <v>108</v>
      </c>
      <c r="W170" s="13" t="s">
        <v>3019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2602</v>
      </c>
      <c r="AE170" s="171">
        <v>121315.32</v>
      </c>
      <c r="AF170" s="171">
        <v>118087.92</v>
      </c>
      <c r="AG170" s="171">
        <v>116174.16</v>
      </c>
      <c r="AH170" s="171">
        <v>117664.22</v>
      </c>
      <c r="AI170" s="171">
        <v>120144.24</v>
      </c>
      <c r="AJ170" s="171">
        <v>0.0</v>
      </c>
      <c r="AK170" s="171">
        <v>0.0</v>
      </c>
      <c r="AL170" s="171"/>
      <c r="AM170" s="171"/>
      <c r="AN170" s="171"/>
      <c r="AO170" s="171"/>
      <c r="AP170" s="171"/>
      <c r="AQ170" s="171"/>
      <c r="AR170" s="171"/>
      <c r="AS170" s="171"/>
      <c r="AT170" s="171"/>
      <c r="AU170" s="171"/>
      <c r="AV170" s="171"/>
      <c r="AW170" s="171"/>
      <c r="AX170" s="337"/>
      <c r="AY170" s="337"/>
      <c r="AZ170" s="337"/>
      <c r="BA170" s="171"/>
      <c r="BB170" s="171"/>
      <c r="BC170" s="171"/>
      <c r="BD170" s="171"/>
      <c r="BE170" s="171"/>
      <c r="BF170" s="171">
        <v>0.0</v>
      </c>
      <c r="BG170" s="171">
        <v>0.0</v>
      </c>
      <c r="BH170" s="171">
        <v>0.0</v>
      </c>
      <c r="BI170" s="171" t="s">
        <v>2566</v>
      </c>
      <c r="BJ170" s="171">
        <v>0.0</v>
      </c>
      <c r="BK170" s="171" t="s">
        <v>2566</v>
      </c>
      <c r="BL170" s="171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  <c r="CI170" s="329"/>
    </row>
    <row r="171" ht="15.75" customHeight="1">
      <c r="A171" s="317" t="s">
        <v>2547</v>
      </c>
      <c r="B171" s="61" t="s">
        <v>3020</v>
      </c>
      <c r="C171" s="342">
        <v>4458399.0</v>
      </c>
      <c r="D171" s="319" t="s">
        <v>18</v>
      </c>
      <c r="E171" s="319" t="s">
        <v>176</v>
      </c>
      <c r="F171" s="319" t="s">
        <v>197</v>
      </c>
      <c r="G171" s="44" t="str">
        <f t="shared" si="1"/>
        <v>Augusto</v>
      </c>
      <c r="H171" s="332" t="s">
        <v>147</v>
      </c>
      <c r="I171" s="51" t="s">
        <v>219</v>
      </c>
      <c r="J171" s="319" t="str">
        <f t="shared" si="2"/>
        <v>Não</v>
      </c>
      <c r="K171" s="123">
        <v>44489.0</v>
      </c>
      <c r="L171" s="45"/>
      <c r="M171" s="95" t="s">
        <v>79</v>
      </c>
      <c r="N171" s="321">
        <v>0.012</v>
      </c>
      <c r="O171" s="319" t="s">
        <v>2552</v>
      </c>
      <c r="P171" s="322">
        <v>0.0</v>
      </c>
      <c r="Q171" s="319" t="str">
        <f>IFERROR(VLOOKUP(F171,'Cadastro de assessores'!A:B,2,FALSE),"Não Cadastrado")</f>
        <v>28411</v>
      </c>
      <c r="R171" s="319" t="s">
        <v>107</v>
      </c>
      <c r="S171" s="123">
        <v>44483.0</v>
      </c>
      <c r="T171" s="50"/>
      <c r="U171" s="50"/>
      <c r="V171" s="45" t="s">
        <v>108</v>
      </c>
      <c r="W171" s="5" t="s">
        <v>3021</v>
      </c>
      <c r="X171" s="164" t="s">
        <v>180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119</v>
      </c>
      <c r="AC171" s="95"/>
      <c r="AD171" s="95" t="s">
        <v>2559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7"/>
      <c r="AX171" s="326"/>
      <c r="AY171" s="326"/>
      <c r="AZ171" s="326"/>
      <c r="BA171" s="171"/>
      <c r="BB171" s="171">
        <v>208224.25</v>
      </c>
      <c r="BC171" s="171">
        <v>207172.41</v>
      </c>
      <c r="BD171" s="171">
        <v>207028.19</v>
      </c>
      <c r="BE171" s="171">
        <v>208219.71</v>
      </c>
      <c r="BF171" s="171">
        <v>209456.89</v>
      </c>
      <c r="BG171" s="171">
        <v>215636.62</v>
      </c>
      <c r="BH171" s="171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  <c r="CI171" s="329"/>
    </row>
    <row r="172" ht="15.75" customHeight="1">
      <c r="A172" s="317" t="s">
        <v>2547</v>
      </c>
      <c r="B172" s="239" t="s">
        <v>3022</v>
      </c>
      <c r="C172" s="331" t="s">
        <v>3023</v>
      </c>
      <c r="D172" s="319" t="s">
        <v>2550</v>
      </c>
      <c r="E172" s="319" t="s">
        <v>29</v>
      </c>
      <c r="F172" s="95" t="s">
        <v>2551</v>
      </c>
      <c r="G172" s="44" t="str">
        <f t="shared" si="1"/>
        <v>Augusto</v>
      </c>
      <c r="H172" s="332" t="s">
        <v>186</v>
      </c>
      <c r="I172" s="46" t="s">
        <v>24</v>
      </c>
      <c r="J172" s="319" t="str">
        <f t="shared" si="2"/>
        <v>Não</v>
      </c>
      <c r="K172" s="333">
        <v>43620.0</v>
      </c>
      <c r="L172" s="338">
        <v>44482.0</v>
      </c>
      <c r="M172" s="95" t="s">
        <v>190</v>
      </c>
      <c r="N172" s="334">
        <v>0.02</v>
      </c>
      <c r="O172" s="319" t="s">
        <v>191</v>
      </c>
      <c r="P172" s="322">
        <v>0.2</v>
      </c>
      <c r="Q172" s="95" t="str">
        <f>IFERROR(VLOOKUP(F172,'Cadastro de assessores'!A:B,2,FALSE),"Não Cadastrado")</f>
        <v>17573</v>
      </c>
      <c r="R172" s="95" t="s">
        <v>2563</v>
      </c>
      <c r="S172" s="333">
        <v>43620.0</v>
      </c>
      <c r="T172" s="169"/>
      <c r="U172" s="169"/>
      <c r="V172" s="45" t="s">
        <v>108</v>
      </c>
      <c r="W172" s="13" t="s">
        <v>3024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2675</v>
      </c>
      <c r="AE172" s="171">
        <v>218181.02</v>
      </c>
      <c r="AF172" s="171">
        <v>215493.89</v>
      </c>
      <c r="AG172" s="171">
        <v>206730.32</v>
      </c>
      <c r="AH172" s="171">
        <v>208832.87</v>
      </c>
      <c r="AI172" s="171">
        <v>210251.13</v>
      </c>
      <c r="AJ172" s="171">
        <v>211079.19</v>
      </c>
      <c r="AK172" s="171">
        <v>51937.3</v>
      </c>
      <c r="AL172" s="171">
        <v>0.0</v>
      </c>
      <c r="AM172" s="337"/>
      <c r="AN172" s="171">
        <v>168.77</v>
      </c>
      <c r="AO172" s="171">
        <v>168.77</v>
      </c>
      <c r="AP172" s="171">
        <v>264.0</v>
      </c>
      <c r="AQ172" s="171">
        <v>264.0</v>
      </c>
      <c r="AR172" s="171">
        <v>264.0</v>
      </c>
      <c r="AS172" s="171">
        <v>264.0</v>
      </c>
      <c r="AT172" s="171">
        <v>264.0</v>
      </c>
      <c r="AU172" s="171">
        <v>264.0</v>
      </c>
      <c r="AV172" s="171">
        <v>264.0</v>
      </c>
      <c r="AW172" s="171"/>
      <c r="AX172" s="337"/>
      <c r="AY172" s="171">
        <v>115.28</v>
      </c>
      <c r="AZ172" s="171">
        <v>115.28</v>
      </c>
      <c r="BA172" s="171">
        <v>115.28</v>
      </c>
      <c r="BB172" s="171"/>
      <c r="BC172" s="171"/>
      <c r="BD172" s="171"/>
      <c r="BE172" s="171"/>
      <c r="BF172" s="171">
        <v>0.0</v>
      </c>
      <c r="BG172" s="171">
        <v>0.0</v>
      </c>
      <c r="BH172" s="171">
        <v>0.0</v>
      </c>
      <c r="BI172" s="171" t="s">
        <v>2566</v>
      </c>
      <c r="BJ172" s="171">
        <v>0.0</v>
      </c>
      <c r="BK172" s="171" t="s">
        <v>2566</v>
      </c>
      <c r="BL172" s="171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  <c r="CI172" s="329"/>
    </row>
    <row r="173" ht="15.75" customHeight="1">
      <c r="A173" s="317" t="s">
        <v>2547</v>
      </c>
      <c r="B173" s="42" t="s">
        <v>3025</v>
      </c>
      <c r="C173" s="366" t="s">
        <v>3026</v>
      </c>
      <c r="D173" s="319" t="s">
        <v>18</v>
      </c>
      <c r="E173" s="319" t="s">
        <v>176</v>
      </c>
      <c r="F173" s="95" t="s">
        <v>177</v>
      </c>
      <c r="G173" s="44" t="str">
        <f t="shared" si="1"/>
        <v>Augusto</v>
      </c>
      <c r="H173" s="332" t="s">
        <v>186</v>
      </c>
      <c r="I173" s="46" t="s">
        <v>24</v>
      </c>
      <c r="J173" s="319" t="str">
        <f t="shared" si="2"/>
        <v>Não</v>
      </c>
      <c r="K173" s="333">
        <v>44313.0</v>
      </c>
      <c r="L173" s="333">
        <v>44691.0</v>
      </c>
      <c r="M173" s="95" t="s">
        <v>47</v>
      </c>
      <c r="N173" s="334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2563</v>
      </c>
      <c r="S173" s="333">
        <v>44313.0</v>
      </c>
      <c r="T173" s="50"/>
      <c r="U173" s="50"/>
      <c r="V173" s="45" t="s">
        <v>108</v>
      </c>
      <c r="W173" s="5" t="s">
        <v>3027</v>
      </c>
      <c r="X173" s="164" t="s">
        <v>180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119</v>
      </c>
      <c r="AC173" s="95"/>
      <c r="AD173" s="95" t="s">
        <v>2609</v>
      </c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71"/>
      <c r="AS173" s="171"/>
      <c r="AT173" s="171"/>
      <c r="AU173" s="171"/>
      <c r="AV173" s="171"/>
      <c r="AW173" s="171">
        <v>728273.19</v>
      </c>
      <c r="AX173" s="171">
        <v>664968.23</v>
      </c>
      <c r="AY173" s="171">
        <v>460365.58</v>
      </c>
      <c r="AZ173" s="171">
        <v>451079.12</v>
      </c>
      <c r="BA173" s="171">
        <v>317794.07</v>
      </c>
      <c r="BB173" s="171"/>
      <c r="BC173" s="171"/>
      <c r="BD173" s="171">
        <v>215.41</v>
      </c>
      <c r="BE173" s="171">
        <v>0.05</v>
      </c>
      <c r="BF173" s="171">
        <v>0.05</v>
      </c>
      <c r="BG173" s="171">
        <v>-834.26</v>
      </c>
      <c r="BH173" s="171">
        <v>-834.26</v>
      </c>
      <c r="BI173" s="171" t="s">
        <v>2566</v>
      </c>
      <c r="BJ173" s="171">
        <v>0.0</v>
      </c>
      <c r="BK173" s="171" t="s">
        <v>2566</v>
      </c>
      <c r="BL173" s="171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  <c r="CI173" s="329"/>
    </row>
    <row r="174" ht="15.75" customHeight="1">
      <c r="A174" s="317" t="s">
        <v>2547</v>
      </c>
      <c r="B174" s="239" t="s">
        <v>3028</v>
      </c>
      <c r="C174" s="331" t="s">
        <v>3029</v>
      </c>
      <c r="D174" s="319" t="s">
        <v>18</v>
      </c>
      <c r="E174" s="319" t="s">
        <v>29</v>
      </c>
      <c r="F174" s="95" t="s">
        <v>2803</v>
      </c>
      <c r="G174" s="44" t="str">
        <f t="shared" si="1"/>
        <v>Augusto</v>
      </c>
      <c r="H174" s="332" t="s">
        <v>186</v>
      </c>
      <c r="I174" s="46" t="s">
        <v>24</v>
      </c>
      <c r="J174" s="319" t="str">
        <f t="shared" si="2"/>
        <v>Não</v>
      </c>
      <c r="K174" s="333">
        <v>43510.0</v>
      </c>
      <c r="L174" s="333">
        <v>44322.0</v>
      </c>
      <c r="M174" s="95" t="s">
        <v>269</v>
      </c>
      <c r="N174" s="334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2563</v>
      </c>
      <c r="S174" s="333">
        <v>43510.0</v>
      </c>
      <c r="T174" s="77"/>
      <c r="U174" s="169" t="s">
        <v>3030</v>
      </c>
      <c r="V174" s="45" t="s">
        <v>369</v>
      </c>
      <c r="W174" s="13" t="s">
        <v>3031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2591</v>
      </c>
      <c r="AE174" s="171">
        <v>872384.36</v>
      </c>
      <c r="AF174" s="171">
        <v>844095.88</v>
      </c>
      <c r="AG174" s="171">
        <v>730451.12</v>
      </c>
      <c r="AH174" s="171">
        <v>729844.11</v>
      </c>
      <c r="AI174" s="171">
        <v>723713.77</v>
      </c>
      <c r="AJ174" s="171">
        <v>737248.91</v>
      </c>
      <c r="AK174" s="171">
        <v>769104.01</v>
      </c>
      <c r="AL174" s="171">
        <v>745360.56</v>
      </c>
      <c r="AM174" s="171">
        <v>728142.56</v>
      </c>
      <c r="AN174" s="171">
        <v>737493.66</v>
      </c>
      <c r="AO174" s="171">
        <v>787952.19</v>
      </c>
      <c r="AP174" s="171">
        <v>805964.88</v>
      </c>
      <c r="AQ174" s="171">
        <v>795251.09</v>
      </c>
      <c r="AR174" s="171">
        <v>766802.23</v>
      </c>
      <c r="AS174" s="171">
        <v>853255.46</v>
      </c>
      <c r="AT174" s="171">
        <v>876169.3</v>
      </c>
      <c r="AU174" s="171">
        <v>416791.76</v>
      </c>
      <c r="AV174" s="171">
        <v>416280.74</v>
      </c>
      <c r="AW174" s="171"/>
      <c r="AX174" s="171">
        <v>7.66</v>
      </c>
      <c r="AY174" s="171">
        <v>7.66</v>
      </c>
      <c r="AZ174" s="171">
        <v>7.66</v>
      </c>
      <c r="BA174" s="171">
        <v>7.66</v>
      </c>
      <c r="BB174" s="171">
        <v>7.66</v>
      </c>
      <c r="BC174" s="171">
        <v>7.66</v>
      </c>
      <c r="BD174" s="171">
        <v>7.66</v>
      </c>
      <c r="BE174" s="171"/>
      <c r="BF174" s="171">
        <v>0.0</v>
      </c>
      <c r="BG174" s="171">
        <v>0.0</v>
      </c>
      <c r="BH174" s="171">
        <v>0.0</v>
      </c>
      <c r="BI174" s="171" t="s">
        <v>2566</v>
      </c>
      <c r="BJ174" s="171">
        <v>0.0</v>
      </c>
      <c r="BK174" s="171" t="s">
        <v>2566</v>
      </c>
      <c r="BL174" s="171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  <c r="CI174" s="329"/>
    </row>
    <row r="175" ht="15.75" customHeight="1">
      <c r="A175" s="317" t="s">
        <v>2547</v>
      </c>
      <c r="B175" s="239" t="s">
        <v>3032</v>
      </c>
      <c r="C175" s="331" t="s">
        <v>3033</v>
      </c>
      <c r="D175" s="319" t="s">
        <v>2659</v>
      </c>
      <c r="E175" s="319" t="s">
        <v>29</v>
      </c>
      <c r="F175" s="95" t="s">
        <v>2659</v>
      </c>
      <c r="G175" s="44" t="str">
        <f t="shared" si="1"/>
        <v>Augusto</v>
      </c>
      <c r="H175" s="332" t="s">
        <v>186</v>
      </c>
      <c r="I175" s="46" t="s">
        <v>24</v>
      </c>
      <c r="J175" s="319" t="str">
        <f t="shared" si="2"/>
        <v>Não</v>
      </c>
      <c r="K175" s="333">
        <v>44021.0</v>
      </c>
      <c r="L175" s="333">
        <v>44680.0</v>
      </c>
      <c r="M175" s="95" t="s">
        <v>47</v>
      </c>
      <c r="N175" s="334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2563</v>
      </c>
      <c r="S175" s="333">
        <v>44021.0</v>
      </c>
      <c r="T175" s="169"/>
      <c r="U175" s="74"/>
      <c r="V175" s="45" t="s">
        <v>108</v>
      </c>
      <c r="W175" s="13" t="s">
        <v>3034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110</v>
      </c>
      <c r="AC175" s="95"/>
      <c r="AD175" s="95" t="s">
        <v>2591</v>
      </c>
      <c r="AE175" s="337"/>
      <c r="AF175" s="337"/>
      <c r="AG175" s="337"/>
      <c r="AH175" s="171"/>
      <c r="AI175" s="171">
        <v>0.0</v>
      </c>
      <c r="AJ175" s="171">
        <v>6841118.73</v>
      </c>
      <c r="AK175" s="171">
        <v>9096049.67</v>
      </c>
      <c r="AL175" s="171">
        <v>8828518.9</v>
      </c>
      <c r="AM175" s="171">
        <v>8654606.47</v>
      </c>
      <c r="AN175" s="171">
        <v>8728628.99</v>
      </c>
      <c r="AO175" s="171">
        <v>9113779.66</v>
      </c>
      <c r="AP175" s="171">
        <v>9376070.28</v>
      </c>
      <c r="AQ175" s="171">
        <v>9208066.83</v>
      </c>
      <c r="AR175" s="171">
        <v>8973257.1</v>
      </c>
      <c r="AS175" s="171">
        <v>8908862.14</v>
      </c>
      <c r="AT175" s="171">
        <v>9070859.03</v>
      </c>
      <c r="AU175" s="171">
        <v>9178962.41</v>
      </c>
      <c r="AV175" s="171">
        <v>9207697.63</v>
      </c>
      <c r="AW175" s="171">
        <v>9371703.23</v>
      </c>
      <c r="AX175" s="171">
        <v>9330180.91</v>
      </c>
      <c r="AY175" s="171">
        <v>9075569.85</v>
      </c>
      <c r="AZ175" s="171">
        <v>9089027.13</v>
      </c>
      <c r="BA175" s="171">
        <v>8346383.95</v>
      </c>
      <c r="BB175" s="171">
        <v>7980306.03</v>
      </c>
      <c r="BC175" s="171">
        <v>7494326.6</v>
      </c>
      <c r="BD175" s="171">
        <v>7396697.65</v>
      </c>
      <c r="BE175" s="171">
        <v>7282762.4</v>
      </c>
      <c r="BF175" s="171">
        <v>7326007.18</v>
      </c>
      <c r="BG175" s="171">
        <v>7634416.94</v>
      </c>
      <c r="BH175" s="171">
        <v>7493755.94</v>
      </c>
      <c r="BI175" s="171" t="s">
        <v>2566</v>
      </c>
      <c r="BJ175" s="171">
        <v>0.0</v>
      </c>
      <c r="BK175" s="171" t="s">
        <v>2566</v>
      </c>
      <c r="BL175" s="171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  <c r="CI175" s="329"/>
    </row>
    <row r="176" ht="15.75" customHeight="1">
      <c r="A176" s="317" t="s">
        <v>2547</v>
      </c>
      <c r="B176" s="239" t="s">
        <v>3032</v>
      </c>
      <c r="C176" s="331" t="s">
        <v>3035</v>
      </c>
      <c r="D176" s="319" t="s">
        <v>2659</v>
      </c>
      <c r="E176" s="319" t="s">
        <v>29</v>
      </c>
      <c r="F176" s="95" t="s">
        <v>2659</v>
      </c>
      <c r="G176" s="44" t="str">
        <f t="shared" si="1"/>
        <v>Augusto</v>
      </c>
      <c r="H176" s="332" t="s">
        <v>186</v>
      </c>
      <c r="I176" s="46" t="s">
        <v>24</v>
      </c>
      <c r="J176" s="319" t="str">
        <f t="shared" si="2"/>
        <v>Não</v>
      </c>
      <c r="K176" s="333">
        <v>44029.0</v>
      </c>
      <c r="L176" s="333">
        <v>44680.0</v>
      </c>
      <c r="M176" s="95" t="s">
        <v>190</v>
      </c>
      <c r="N176" s="334">
        <v>0.018</v>
      </c>
      <c r="O176" s="319" t="s">
        <v>191</v>
      </c>
      <c r="P176" s="322">
        <v>0.2</v>
      </c>
      <c r="Q176" s="95" t="str">
        <f>IFERROR(VLOOKUP(F176,'Cadastro de assessores'!A:B,2,FALSE),"Não Cadastrado")</f>
        <v>22400</v>
      </c>
      <c r="R176" s="95" t="s">
        <v>2563</v>
      </c>
      <c r="S176" s="333">
        <v>44029.0</v>
      </c>
      <c r="T176" s="323"/>
      <c r="U176" s="169"/>
      <c r="V176" s="45" t="s">
        <v>108</v>
      </c>
      <c r="W176" s="13" t="s">
        <v>3034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110</v>
      </c>
      <c r="AC176" s="95"/>
      <c r="AD176" s="95" t="s">
        <v>2591</v>
      </c>
      <c r="AE176" s="337"/>
      <c r="AF176" s="337"/>
      <c r="AG176" s="337"/>
      <c r="AH176" s="171"/>
      <c r="AI176" s="171">
        <v>0.0</v>
      </c>
      <c r="AJ176" s="171">
        <v>0.0</v>
      </c>
      <c r="AK176" s="171">
        <v>7045080.13</v>
      </c>
      <c r="AL176" s="171">
        <v>4786748.79</v>
      </c>
      <c r="AM176" s="171">
        <v>4595236.28</v>
      </c>
      <c r="AN176" s="171">
        <v>4681114.88</v>
      </c>
      <c r="AO176" s="171">
        <v>5212637.49</v>
      </c>
      <c r="AP176" s="171">
        <v>5523118.8</v>
      </c>
      <c r="AQ176" s="171">
        <v>5332603.35</v>
      </c>
      <c r="AR176" s="171">
        <v>4963853.56</v>
      </c>
      <c r="AS176" s="171">
        <v>4849615.33</v>
      </c>
      <c r="AT176" s="171">
        <v>5106264.26</v>
      </c>
      <c r="AU176" s="171">
        <v>5272190.91</v>
      </c>
      <c r="AV176" s="171">
        <v>5317202.86</v>
      </c>
      <c r="AW176" s="171">
        <v>5541725.21</v>
      </c>
      <c r="AX176" s="171">
        <v>5462678.28</v>
      </c>
      <c r="AY176" s="171">
        <v>5306252.61</v>
      </c>
      <c r="AZ176" s="171">
        <v>5073945.41</v>
      </c>
      <c r="BA176" s="171">
        <v>4824950.52</v>
      </c>
      <c r="BB176" s="171">
        <v>4527303.37</v>
      </c>
      <c r="BC176" s="171">
        <v>4368466.66</v>
      </c>
      <c r="BD176" s="171">
        <v>4404295.46</v>
      </c>
      <c r="BE176" s="171">
        <v>4694526.63</v>
      </c>
      <c r="BF176" s="171">
        <v>4732058.21</v>
      </c>
      <c r="BG176" s="171">
        <v>5110232.33</v>
      </c>
      <c r="BH176" s="171">
        <v>4878578.17</v>
      </c>
      <c r="BI176" s="171" t="s">
        <v>2566</v>
      </c>
      <c r="BJ176" s="171">
        <v>0.0</v>
      </c>
      <c r="BK176" s="171" t="s">
        <v>2566</v>
      </c>
      <c r="BL176" s="171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  <c r="CI176" s="329"/>
    </row>
    <row r="177" ht="15.75" customHeight="1">
      <c r="A177" s="317" t="s">
        <v>2547</v>
      </c>
      <c r="B177" s="235" t="s">
        <v>3036</v>
      </c>
      <c r="C177" s="219" t="s">
        <v>3037</v>
      </c>
      <c r="D177" s="319" t="s">
        <v>18</v>
      </c>
      <c r="E177" s="319" t="s">
        <v>176</v>
      </c>
      <c r="F177" s="319" t="s">
        <v>197</v>
      </c>
      <c r="G177" s="44" t="str">
        <f t="shared" si="1"/>
        <v>Augusto</v>
      </c>
      <c r="H177" s="165" t="s">
        <v>147</v>
      </c>
      <c r="I177" s="51" t="s">
        <v>219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107</v>
      </c>
      <c r="S177" s="320">
        <v>44291.0</v>
      </c>
      <c r="T177" s="74"/>
      <c r="U177" s="169" t="s">
        <v>2831</v>
      </c>
      <c r="V177" s="45" t="s">
        <v>369</v>
      </c>
      <c r="W177" s="13" t="s">
        <v>3038</v>
      </c>
      <c r="X177" s="164" t="s">
        <v>180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119</v>
      </c>
      <c r="AC177" s="95"/>
      <c r="AD177" s="95" t="s">
        <v>3039</v>
      </c>
      <c r="AE177" s="337"/>
      <c r="AF177" s="337"/>
      <c r="AG177" s="337"/>
      <c r="AH177" s="337"/>
      <c r="AI177" s="337"/>
      <c r="AJ177" s="337"/>
      <c r="AK177" s="337"/>
      <c r="AL177" s="337"/>
      <c r="AM177" s="337"/>
      <c r="AN177" s="337"/>
      <c r="AO177" s="337"/>
      <c r="AP177" s="337"/>
      <c r="AQ177" s="337"/>
      <c r="AR177" s="171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1">
        <v>327465.8</v>
      </c>
      <c r="AY177" s="171">
        <v>323979.0</v>
      </c>
      <c r="AZ177" s="171">
        <v>318108.39</v>
      </c>
      <c r="BA177" s="171">
        <v>313689.48</v>
      </c>
      <c r="BB177" s="171">
        <v>306576.34</v>
      </c>
      <c r="BC177" s="171">
        <v>303835.54</v>
      </c>
      <c r="BD177" s="171">
        <v>304185.04</v>
      </c>
      <c r="BE177" s="171">
        <v>310974.42</v>
      </c>
      <c r="BF177" s="171">
        <v>313115.38</v>
      </c>
      <c r="BG177" s="171">
        <v>323213.95</v>
      </c>
      <c r="BH177" s="171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  <c r="CI177" s="329"/>
    </row>
    <row r="178" ht="15.75" customHeight="1">
      <c r="A178" s="317" t="s">
        <v>2547</v>
      </c>
      <c r="B178" s="317" t="s">
        <v>3040</v>
      </c>
      <c r="C178" s="318" t="s">
        <v>3041</v>
      </c>
      <c r="D178" s="319" t="s">
        <v>18</v>
      </c>
      <c r="E178" s="319" t="s">
        <v>29</v>
      </c>
      <c r="F178" s="319" t="s">
        <v>294</v>
      </c>
      <c r="G178" s="44" t="str">
        <f t="shared" si="1"/>
        <v>Breno</v>
      </c>
      <c r="H178" s="165" t="s">
        <v>107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79</v>
      </c>
      <c r="N178" s="321">
        <v>0.005</v>
      </c>
      <c r="O178" s="319" t="s">
        <v>2552</v>
      </c>
      <c r="P178" s="322">
        <v>0.0</v>
      </c>
      <c r="Q178" s="319">
        <f>IFERROR(VLOOKUP(F178,'Cadastro de assessores'!A:B,2,FALSE),"Não Cadastrado")</f>
        <v>12359</v>
      </c>
      <c r="R178" s="319" t="s">
        <v>107</v>
      </c>
      <c r="S178" s="320">
        <v>43577.0</v>
      </c>
      <c r="T178" s="169"/>
      <c r="U178" s="336" t="s">
        <v>3042</v>
      </c>
      <c r="V178" s="45" t="s">
        <v>108</v>
      </c>
      <c r="W178" s="324" t="s">
        <v>3043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119</v>
      </c>
      <c r="AC178" s="95"/>
      <c r="AD178" s="95" t="s">
        <v>2614</v>
      </c>
      <c r="AE178" s="171">
        <v>924787.49</v>
      </c>
      <c r="AF178" s="171">
        <v>916852.85</v>
      </c>
      <c r="AG178" s="171">
        <v>899633.62</v>
      </c>
      <c r="AH178" s="171">
        <v>847522.08</v>
      </c>
      <c r="AI178" s="171">
        <v>833539.3</v>
      </c>
      <c r="AJ178" s="171">
        <v>871019.42</v>
      </c>
      <c r="AK178" s="171">
        <v>847214.95</v>
      </c>
      <c r="AL178" s="171">
        <v>827306.87</v>
      </c>
      <c r="AM178" s="171">
        <v>805568.91</v>
      </c>
      <c r="AN178" s="171">
        <v>747391.23</v>
      </c>
      <c r="AO178" s="171">
        <v>689496.61</v>
      </c>
      <c r="AP178" s="171">
        <v>665441.54</v>
      </c>
      <c r="AQ178" s="171">
        <v>628315.75</v>
      </c>
      <c r="AR178" s="171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1">
        <v>589117.26</v>
      </c>
      <c r="AY178" s="171">
        <v>576105.44</v>
      </c>
      <c r="AZ178" s="171">
        <v>560152.18</v>
      </c>
      <c r="BA178" s="171">
        <v>530122.17</v>
      </c>
      <c r="BB178" s="171">
        <v>520943.84</v>
      </c>
      <c r="BC178" s="171">
        <v>518853.22</v>
      </c>
      <c r="BD178" s="171">
        <v>490304.02</v>
      </c>
      <c r="BE178" s="171">
        <v>493357.38</v>
      </c>
      <c r="BF178" s="171">
        <v>479384.81</v>
      </c>
      <c r="BG178" s="171">
        <v>478297.29</v>
      </c>
      <c r="BH178" s="171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  <c r="CI178" s="329"/>
    </row>
    <row r="179" ht="15.75" customHeight="1">
      <c r="A179" s="317" t="s">
        <v>2547</v>
      </c>
      <c r="B179" s="317" t="s">
        <v>3040</v>
      </c>
      <c r="C179" s="318" t="s">
        <v>3044</v>
      </c>
      <c r="D179" s="319" t="s">
        <v>18</v>
      </c>
      <c r="E179" s="319" t="s">
        <v>29</v>
      </c>
      <c r="F179" s="319" t="s">
        <v>294</v>
      </c>
      <c r="G179" s="44" t="str">
        <f t="shared" si="1"/>
        <v>Augusto</v>
      </c>
      <c r="H179" s="165" t="s">
        <v>107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190</v>
      </c>
      <c r="N179" s="321">
        <v>0.02</v>
      </c>
      <c r="O179" s="319" t="s">
        <v>191</v>
      </c>
      <c r="P179" s="322">
        <v>0.2</v>
      </c>
      <c r="Q179" s="319">
        <f>IFERROR(VLOOKUP(F179,'Cadastro de assessores'!A:B,2,FALSE),"Não Cadastrado")</f>
        <v>12359</v>
      </c>
      <c r="R179" s="319" t="s">
        <v>107</v>
      </c>
      <c r="S179" s="320">
        <v>43577.0</v>
      </c>
      <c r="T179" s="169"/>
      <c r="U179" s="336" t="s">
        <v>3042</v>
      </c>
      <c r="V179" s="45" t="s">
        <v>108</v>
      </c>
      <c r="W179" s="324" t="s">
        <v>3043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119</v>
      </c>
      <c r="AC179" s="95"/>
      <c r="AD179" s="95" t="s">
        <v>2614</v>
      </c>
      <c r="AE179" s="171">
        <v>239636.26</v>
      </c>
      <c r="AF179" s="171">
        <v>221814.74</v>
      </c>
      <c r="AG179" s="171">
        <v>151809.22</v>
      </c>
      <c r="AH179" s="171">
        <v>153091.9</v>
      </c>
      <c r="AI179" s="171">
        <v>158665.67</v>
      </c>
      <c r="AJ179" s="171">
        <v>168494.07</v>
      </c>
      <c r="AK179" s="171">
        <v>185312.46</v>
      </c>
      <c r="AL179" s="171">
        <v>176858.19</v>
      </c>
      <c r="AM179" s="171">
        <v>167427.84</v>
      </c>
      <c r="AN179" s="171">
        <v>173465.16</v>
      </c>
      <c r="AO179" s="171">
        <v>196681.8</v>
      </c>
      <c r="AP179" s="171">
        <v>202419.98</v>
      </c>
      <c r="AQ179" s="171">
        <v>196803.27</v>
      </c>
      <c r="AR179" s="171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1">
        <v>163536.4</v>
      </c>
      <c r="AY179" s="171">
        <v>157843.12</v>
      </c>
      <c r="AZ179" s="171">
        <v>150690.14</v>
      </c>
      <c r="BA179" s="171">
        <v>143321.14</v>
      </c>
      <c r="BB179" s="171">
        <v>134959.45</v>
      </c>
      <c r="BC179" s="171">
        <v>131495.03</v>
      </c>
      <c r="BD179" s="171">
        <v>130695.68</v>
      </c>
      <c r="BE179" s="171">
        <v>136906.14</v>
      </c>
      <c r="BF179" s="171">
        <v>139503.54</v>
      </c>
      <c r="BG179" s="171">
        <v>135627.01</v>
      </c>
      <c r="BH179" s="171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  <c r="CI179" s="329"/>
    </row>
    <row r="180" ht="15.75" customHeight="1">
      <c r="A180" s="317" t="s">
        <v>2547</v>
      </c>
      <c r="B180" s="42" t="s">
        <v>3045</v>
      </c>
      <c r="C180" s="366" t="s">
        <v>3046</v>
      </c>
      <c r="D180" s="319" t="s">
        <v>18</v>
      </c>
      <c r="E180" s="319" t="s">
        <v>176</v>
      </c>
      <c r="F180" s="95" t="s">
        <v>177</v>
      </c>
      <c r="G180" s="44" t="str">
        <f t="shared" si="1"/>
        <v>Augusto</v>
      </c>
      <c r="H180" s="332" t="s">
        <v>186</v>
      </c>
      <c r="I180" s="46" t="s">
        <v>24</v>
      </c>
      <c r="J180" s="319" t="str">
        <f t="shared" si="2"/>
        <v>Não</v>
      </c>
      <c r="K180" s="333">
        <v>44319.0</v>
      </c>
      <c r="L180" s="338">
        <v>44522.0</v>
      </c>
      <c r="M180" s="95" t="s">
        <v>47</v>
      </c>
      <c r="N180" s="334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2563</v>
      </c>
      <c r="S180" s="333">
        <v>44319.0</v>
      </c>
      <c r="T180" s="169"/>
      <c r="U180" s="169"/>
      <c r="V180" s="45" t="s">
        <v>108</v>
      </c>
      <c r="W180" s="5" t="s">
        <v>3047</v>
      </c>
      <c r="X180" s="164" t="s">
        <v>180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2609</v>
      </c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71"/>
      <c r="AS180" s="171"/>
      <c r="AT180" s="171"/>
      <c r="AU180" s="171"/>
      <c r="AV180" s="171"/>
      <c r="AW180" s="171">
        <v>1150674.42</v>
      </c>
      <c r="AX180" s="171">
        <v>1145387.21</v>
      </c>
      <c r="AY180" s="171">
        <v>1134616.15</v>
      </c>
      <c r="AZ180" s="171">
        <v>1114258.79</v>
      </c>
      <c r="BA180" s="171">
        <v>1069254.12</v>
      </c>
      <c r="BB180" s="171">
        <v>1042953.45</v>
      </c>
      <c r="BC180" s="171"/>
      <c r="BD180" s="171"/>
      <c r="BE180" s="171"/>
      <c r="BF180" s="171">
        <v>0.0</v>
      </c>
      <c r="BG180" s="171">
        <v>0.0</v>
      </c>
      <c r="BH180" s="171">
        <v>0.0</v>
      </c>
      <c r="BI180" s="171" t="s">
        <v>2566</v>
      </c>
      <c r="BJ180" s="171">
        <v>0.0</v>
      </c>
      <c r="BK180" s="171" t="s">
        <v>2566</v>
      </c>
      <c r="BL180" s="171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  <c r="CI180" s="329"/>
    </row>
    <row r="181" ht="15.75" customHeight="1">
      <c r="A181" s="317" t="s">
        <v>2547</v>
      </c>
      <c r="B181" s="235" t="s">
        <v>1242</v>
      </c>
      <c r="C181" s="219" t="s">
        <v>3048</v>
      </c>
      <c r="D181" s="319" t="s">
        <v>18</v>
      </c>
      <c r="E181" s="319" t="s">
        <v>176</v>
      </c>
      <c r="F181" s="319" t="s">
        <v>177</v>
      </c>
      <c r="G181" s="44" t="str">
        <f t="shared" si="1"/>
        <v>Augusto</v>
      </c>
      <c r="H181" s="165" t="s">
        <v>147</v>
      </c>
      <c r="I181" s="51" t="s">
        <v>219</v>
      </c>
      <c r="J181" s="319" t="str">
        <f t="shared" si="2"/>
        <v>Não</v>
      </c>
      <c r="K181" s="320">
        <v>44280.0</v>
      </c>
      <c r="L181" s="95"/>
      <c r="M181" s="95" t="s">
        <v>55</v>
      </c>
      <c r="N181" s="334">
        <v>0.007</v>
      </c>
      <c r="O181" s="319" t="s">
        <v>2552</v>
      </c>
      <c r="P181" s="322">
        <v>0.0</v>
      </c>
      <c r="Q181" s="319" t="str">
        <f>IFERROR(VLOOKUP(F181,'Cadastro de assessores'!A:B,2,FALSE),"Não Cadastrado")</f>
        <v>250</v>
      </c>
      <c r="R181" s="319" t="s">
        <v>107</v>
      </c>
      <c r="S181" s="320">
        <v>44280.0</v>
      </c>
      <c r="T181" s="63"/>
      <c r="U181" s="169"/>
      <c r="V181" s="45" t="s">
        <v>108</v>
      </c>
      <c r="W181" s="13" t="s">
        <v>1244</v>
      </c>
      <c r="X181" s="164" t="s">
        <v>180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119</v>
      </c>
      <c r="AC181" s="95"/>
      <c r="AD181" s="95" t="s">
        <v>2609</v>
      </c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  <c r="AO181" s="337"/>
      <c r="AP181" s="337"/>
      <c r="AQ181" s="337"/>
      <c r="AR181" s="171"/>
      <c r="AS181" s="326"/>
      <c r="AT181" s="326">
        <v>605627.57</v>
      </c>
      <c r="AU181" s="326"/>
      <c r="AV181" s="326">
        <v>578392.64</v>
      </c>
      <c r="AW181" s="326">
        <v>618308.4</v>
      </c>
      <c r="AX181" s="171">
        <v>617708.5</v>
      </c>
      <c r="AY181" s="171">
        <v>552062.75</v>
      </c>
      <c r="AZ181" s="171">
        <v>641248.39</v>
      </c>
      <c r="BA181" s="171">
        <v>586736.95</v>
      </c>
      <c r="BB181" s="171">
        <v>562372.33</v>
      </c>
      <c r="BC181" s="171">
        <v>555717.45</v>
      </c>
      <c r="BD181" s="171">
        <v>554882.95</v>
      </c>
      <c r="BE181" s="171">
        <v>556263.38</v>
      </c>
      <c r="BF181" s="171">
        <v>560378.11</v>
      </c>
      <c r="BG181" s="171">
        <v>585650.72</v>
      </c>
      <c r="BH181" s="171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  <c r="CI181" s="329"/>
    </row>
    <row r="182" ht="15.75" customHeight="1">
      <c r="A182" s="317" t="s">
        <v>2547</v>
      </c>
      <c r="B182" s="61" t="s">
        <v>1242</v>
      </c>
      <c r="C182" s="330" t="s">
        <v>3049</v>
      </c>
      <c r="D182" s="319" t="s">
        <v>18</v>
      </c>
      <c r="E182" s="319" t="s">
        <v>176</v>
      </c>
      <c r="F182" s="319" t="s">
        <v>177</v>
      </c>
      <c r="G182" s="44" t="str">
        <f t="shared" si="1"/>
        <v>Augusto</v>
      </c>
      <c r="H182" s="165" t="s">
        <v>147</v>
      </c>
      <c r="I182" s="51" t="s">
        <v>219</v>
      </c>
      <c r="J182" s="319" t="str">
        <f t="shared" si="2"/>
        <v>Sim</v>
      </c>
      <c r="K182" s="333">
        <v>44610.0</v>
      </c>
      <c r="L182" s="95"/>
      <c r="M182" s="95" t="s">
        <v>55</v>
      </c>
      <c r="N182" s="334">
        <v>0.007</v>
      </c>
      <c r="O182" s="319" t="s">
        <v>2552</v>
      </c>
      <c r="P182" s="322">
        <v>0.0</v>
      </c>
      <c r="Q182" s="319" t="str">
        <f>IFERROR(VLOOKUP(F182,'Cadastro de assessores'!A:B,2,FALSE),"Não Cadastrado")</f>
        <v>250</v>
      </c>
      <c r="R182" s="319" t="s">
        <v>107</v>
      </c>
      <c r="S182" s="333">
        <v>44610.0</v>
      </c>
      <c r="T182" s="169" t="s">
        <v>3050</v>
      </c>
      <c r="U182" s="169"/>
      <c r="V182" s="45" t="s">
        <v>108</v>
      </c>
      <c r="W182" s="5" t="s">
        <v>1244</v>
      </c>
      <c r="X182" s="164" t="s">
        <v>180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119</v>
      </c>
      <c r="AC182" s="95"/>
      <c r="AD182" s="95" t="s">
        <v>2609</v>
      </c>
      <c r="AE182" s="337"/>
      <c r="AF182" s="337"/>
      <c r="AG182" s="337"/>
      <c r="AH182" s="337"/>
      <c r="AI182" s="337"/>
      <c r="AJ182" s="337"/>
      <c r="AK182" s="337"/>
      <c r="AL182" s="337"/>
      <c r="AM182" s="337"/>
      <c r="AN182" s="337"/>
      <c r="AO182" s="337"/>
      <c r="AP182" s="337"/>
      <c r="AQ182" s="337"/>
      <c r="AR182" s="171"/>
      <c r="AS182" s="326"/>
      <c r="AT182" s="326"/>
      <c r="AU182" s="326"/>
      <c r="AV182" s="326"/>
      <c r="AW182" s="326"/>
      <c r="AX182" s="171"/>
      <c r="AY182" s="171"/>
      <c r="AZ182" s="171"/>
      <c r="BA182" s="171"/>
      <c r="BB182" s="171"/>
      <c r="BC182" s="171"/>
      <c r="BD182" s="171"/>
      <c r="BE182" s="171"/>
      <c r="BF182" s="171">
        <v>80025.17</v>
      </c>
      <c r="BG182" s="171">
        <v>80857.9</v>
      </c>
      <c r="BH182" s="171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  <c r="CI182" s="329"/>
    </row>
    <row r="183" ht="15.75" customHeight="1">
      <c r="A183" s="317" t="s">
        <v>2547</v>
      </c>
      <c r="B183" s="235" t="s">
        <v>3051</v>
      </c>
      <c r="C183" s="356" t="s">
        <v>3052</v>
      </c>
      <c r="D183" s="319" t="s">
        <v>18</v>
      </c>
      <c r="E183" s="319" t="s">
        <v>176</v>
      </c>
      <c r="F183" s="95" t="s">
        <v>197</v>
      </c>
      <c r="G183" s="44" t="str">
        <f t="shared" si="1"/>
        <v>Augusto</v>
      </c>
      <c r="H183" s="332" t="s">
        <v>186</v>
      </c>
      <c r="I183" s="46" t="s">
        <v>24</v>
      </c>
      <c r="J183" s="319" t="str">
        <f t="shared" si="2"/>
        <v>Não</v>
      </c>
      <c r="K183" s="333">
        <v>44280.0</v>
      </c>
      <c r="L183" s="333">
        <v>44393.0</v>
      </c>
      <c r="M183" s="95" t="s">
        <v>47</v>
      </c>
      <c r="N183" s="334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2563</v>
      </c>
      <c r="S183" s="333">
        <v>44280.0</v>
      </c>
      <c r="T183" s="169"/>
      <c r="U183" s="169"/>
      <c r="V183" s="45" t="s">
        <v>108</v>
      </c>
      <c r="W183" s="13" t="s">
        <v>3053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2596</v>
      </c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  <c r="AO183" s="337"/>
      <c r="AP183" s="337"/>
      <c r="AQ183" s="337"/>
      <c r="AR183" s="171"/>
      <c r="AS183" s="171"/>
      <c r="AT183" s="171">
        <v>113735.9</v>
      </c>
      <c r="AU183" s="171"/>
      <c r="AV183" s="171">
        <v>114969.98</v>
      </c>
      <c r="AW183" s="171">
        <v>157199.93</v>
      </c>
      <c r="AX183" s="171">
        <v>156601.32</v>
      </c>
      <c r="AY183" s="337"/>
      <c r="AZ183" s="337"/>
      <c r="BA183" s="171"/>
      <c r="BB183" s="171"/>
      <c r="BC183" s="171"/>
      <c r="BD183" s="171"/>
      <c r="BE183" s="171"/>
      <c r="BF183" s="171">
        <v>0.0</v>
      </c>
      <c r="BG183" s="171">
        <v>0.0</v>
      </c>
      <c r="BH183" s="171">
        <v>0.0</v>
      </c>
      <c r="BI183" s="171" t="s">
        <v>2566</v>
      </c>
      <c r="BJ183" s="171">
        <v>0.0</v>
      </c>
      <c r="BK183" s="171" t="s">
        <v>2566</v>
      </c>
      <c r="BL183" s="171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  <c r="CI183" s="329"/>
    </row>
    <row r="184" ht="15.75" customHeight="1">
      <c r="A184" s="317" t="s">
        <v>2547</v>
      </c>
      <c r="B184" s="42" t="s">
        <v>1256</v>
      </c>
      <c r="C184" s="330" t="s">
        <v>3054</v>
      </c>
      <c r="D184" s="319" t="s">
        <v>18</v>
      </c>
      <c r="E184" s="319" t="s">
        <v>176</v>
      </c>
      <c r="F184" s="95" t="s">
        <v>177</v>
      </c>
      <c r="G184" s="44" t="str">
        <f t="shared" si="1"/>
        <v>Breno</v>
      </c>
      <c r="H184" s="332" t="s">
        <v>147</v>
      </c>
      <c r="I184" s="51" t="s">
        <v>693</v>
      </c>
      <c r="J184" s="319" t="str">
        <f t="shared" si="2"/>
        <v>Não</v>
      </c>
      <c r="K184" s="320">
        <v>44340.0</v>
      </c>
      <c r="L184" s="95"/>
      <c r="M184" s="95" t="s">
        <v>79</v>
      </c>
      <c r="N184" s="321">
        <v>0.012</v>
      </c>
      <c r="O184" s="319" t="s">
        <v>2552</v>
      </c>
      <c r="P184" s="322">
        <v>0.0</v>
      </c>
      <c r="Q184" s="93" t="str">
        <f>IFERROR(VLOOKUP(F184,'Cadastro de assessores'!A:B,2,FALSE),"Não Cadastrado")</f>
        <v>250</v>
      </c>
      <c r="R184" s="319" t="s">
        <v>107</v>
      </c>
      <c r="S184" s="320">
        <v>44340.0</v>
      </c>
      <c r="T184" s="50"/>
      <c r="U184" s="50"/>
      <c r="V184" s="45" t="s">
        <v>108</v>
      </c>
      <c r="W184" s="5" t="s">
        <v>1258</v>
      </c>
      <c r="X184" s="164" t="s">
        <v>180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119</v>
      </c>
      <c r="AC184" s="95"/>
      <c r="AD184" s="95" t="s">
        <v>2769</v>
      </c>
      <c r="AE184" s="191"/>
      <c r="AF184" s="191"/>
      <c r="AG184" s="191"/>
      <c r="AH184" s="191"/>
      <c r="AI184" s="191"/>
      <c r="AJ184" s="191"/>
      <c r="AK184" s="191"/>
      <c r="AL184" s="191"/>
      <c r="AM184" s="191"/>
      <c r="AN184" s="191"/>
      <c r="AO184" s="191"/>
      <c r="AP184" s="191"/>
      <c r="AQ184" s="191"/>
      <c r="AR184" s="191"/>
      <c r="AS184" s="326"/>
      <c r="AT184" s="326"/>
      <c r="AU184" s="326"/>
      <c r="AV184" s="191"/>
      <c r="AW184" s="191">
        <v>110168.22</v>
      </c>
      <c r="AX184" s="171">
        <v>111019.02</v>
      </c>
      <c r="AY184" s="171">
        <v>123604.24</v>
      </c>
      <c r="AZ184" s="171">
        <v>123716.17</v>
      </c>
      <c r="BA184" s="171">
        <v>102475.73</v>
      </c>
      <c r="BB184" s="171">
        <v>120018.46</v>
      </c>
      <c r="BC184" s="171">
        <v>119650.49</v>
      </c>
      <c r="BD184" s="171">
        <v>120506.45</v>
      </c>
      <c r="BE184" s="171">
        <v>122243.31</v>
      </c>
      <c r="BF184" s="171">
        <v>122938.59</v>
      </c>
      <c r="BG184" s="171">
        <v>126227.97</v>
      </c>
      <c r="BH184" s="171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  <c r="CI184" s="329"/>
    </row>
    <row r="185" ht="15.75" customHeight="1">
      <c r="A185" s="317" t="s">
        <v>2547</v>
      </c>
      <c r="B185" s="239" t="s">
        <v>3055</v>
      </c>
      <c r="C185" s="331" t="s">
        <v>3056</v>
      </c>
      <c r="D185" s="319" t="s">
        <v>2550</v>
      </c>
      <c r="E185" s="319" t="s">
        <v>29</v>
      </c>
      <c r="F185" s="95" t="s">
        <v>2562</v>
      </c>
      <c r="G185" s="44" t="str">
        <f t="shared" si="1"/>
        <v>Augusto</v>
      </c>
      <c r="H185" s="332" t="s">
        <v>186</v>
      </c>
      <c r="I185" s="46" t="s">
        <v>24</v>
      </c>
      <c r="J185" s="319" t="str">
        <f t="shared" si="2"/>
        <v>Não</v>
      </c>
      <c r="K185" s="333">
        <v>43559.0</v>
      </c>
      <c r="L185" s="338">
        <v>44482.0</v>
      </c>
      <c r="M185" s="95" t="s">
        <v>47</v>
      </c>
      <c r="N185" s="334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2563</v>
      </c>
      <c r="S185" s="333">
        <v>43559.0</v>
      </c>
      <c r="T185" s="323"/>
      <c r="U185" s="323"/>
      <c r="V185" s="45" t="s">
        <v>108</v>
      </c>
      <c r="W185" s="13" t="s">
        <v>3057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2942</v>
      </c>
      <c r="AE185" s="171">
        <v>267466.45</v>
      </c>
      <c r="AF185" s="171">
        <v>255373.39</v>
      </c>
      <c r="AG185" s="171">
        <v>227465.22</v>
      </c>
      <c r="AH185" s="171">
        <v>224494.2</v>
      </c>
      <c r="AI185" s="171">
        <v>214906.93</v>
      </c>
      <c r="AJ185" s="171">
        <v>202047.35</v>
      </c>
      <c r="AK185" s="171">
        <v>197946.98</v>
      </c>
      <c r="AL185" s="171">
        <v>179946.75</v>
      </c>
      <c r="AM185" s="171">
        <v>180319.19</v>
      </c>
      <c r="AN185" s="171">
        <v>165181.51</v>
      </c>
      <c r="AO185" s="171">
        <v>160124.05</v>
      </c>
      <c r="AP185" s="171">
        <v>143317.8</v>
      </c>
      <c r="AQ185" s="171">
        <v>128344.0</v>
      </c>
      <c r="AR185" s="171">
        <v>123587.07</v>
      </c>
      <c r="AS185" s="171">
        <v>115316.15</v>
      </c>
      <c r="AT185" s="171">
        <v>112816.83</v>
      </c>
      <c r="AU185" s="171">
        <v>113905.61</v>
      </c>
      <c r="AV185" s="171">
        <v>98710.87</v>
      </c>
      <c r="AW185" s="171">
        <v>46052.26</v>
      </c>
      <c r="AX185" s="171">
        <v>499.8</v>
      </c>
      <c r="AY185" s="337"/>
      <c r="AZ185" s="337">
        <v>15.64</v>
      </c>
      <c r="BA185" s="171">
        <v>15.64</v>
      </c>
      <c r="BB185" s="171"/>
      <c r="BC185" s="171"/>
      <c r="BD185" s="171"/>
      <c r="BE185" s="171"/>
      <c r="BF185" s="171">
        <v>0.0</v>
      </c>
      <c r="BG185" s="171">
        <v>0.0</v>
      </c>
      <c r="BH185" s="171">
        <v>0.0</v>
      </c>
      <c r="BI185" s="171" t="s">
        <v>2566</v>
      </c>
      <c r="BJ185" s="171">
        <v>0.0</v>
      </c>
      <c r="BK185" s="171" t="s">
        <v>2566</v>
      </c>
      <c r="BL185" s="171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  <c r="CI185" s="329"/>
    </row>
    <row r="186" ht="15.75" customHeight="1">
      <c r="A186" s="317" t="s">
        <v>2547</v>
      </c>
      <c r="B186" s="235" t="s">
        <v>3058</v>
      </c>
      <c r="C186" s="219" t="s">
        <v>3059</v>
      </c>
      <c r="D186" s="319" t="s">
        <v>18</v>
      </c>
      <c r="E186" s="319" t="s">
        <v>176</v>
      </c>
      <c r="F186" s="319" t="s">
        <v>2634</v>
      </c>
      <c r="G186" s="44" t="str">
        <f t="shared" si="1"/>
        <v>Augusto</v>
      </c>
      <c r="H186" s="332" t="s">
        <v>186</v>
      </c>
      <c r="I186" s="46" t="s">
        <v>24</v>
      </c>
      <c r="J186" s="319" t="str">
        <f t="shared" si="2"/>
        <v>Não</v>
      </c>
      <c r="K186" s="320">
        <v>44266.0</v>
      </c>
      <c r="L186" s="333">
        <v>44831.0</v>
      </c>
      <c r="M186" s="95" t="s">
        <v>79</v>
      </c>
      <c r="N186" s="321">
        <v>0.012</v>
      </c>
      <c r="O186" s="319" t="s">
        <v>2552</v>
      </c>
      <c r="P186" s="322">
        <v>0.0</v>
      </c>
      <c r="Q186" s="319" t="str">
        <f>IFERROR(VLOOKUP(F186,'Cadastro de assessores'!A:B,2,FALSE),"Não Cadastrado")</f>
        <v>22066</v>
      </c>
      <c r="R186" s="319" t="s">
        <v>107</v>
      </c>
      <c r="S186" s="320">
        <v>44266.0</v>
      </c>
      <c r="T186" s="169"/>
      <c r="U186" s="169"/>
      <c r="V186" s="45" t="s">
        <v>108</v>
      </c>
      <c r="W186" s="13" t="s">
        <v>3060</v>
      </c>
      <c r="X186" s="164" t="s">
        <v>180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119</v>
      </c>
      <c r="AC186" s="95"/>
      <c r="AD186" s="95" t="s">
        <v>3061</v>
      </c>
      <c r="AE186" s="337"/>
      <c r="AF186" s="337"/>
      <c r="AG186" s="337"/>
      <c r="AH186" s="337"/>
      <c r="AI186" s="337"/>
      <c r="AJ186" s="337"/>
      <c r="AK186" s="337"/>
      <c r="AL186" s="337"/>
      <c r="AM186" s="337"/>
      <c r="AN186" s="337"/>
      <c r="AO186" s="337"/>
      <c r="AP186" s="337"/>
      <c r="AQ186" s="337"/>
      <c r="AR186" s="171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1">
        <v>291115.1</v>
      </c>
      <c r="AY186" s="171">
        <v>290231.61</v>
      </c>
      <c r="AZ186" s="171">
        <v>271726.55</v>
      </c>
      <c r="BA186" s="171">
        <v>192658.06</v>
      </c>
      <c r="BB186" s="171">
        <v>202578.14</v>
      </c>
      <c r="BC186" s="171">
        <v>161973.11</v>
      </c>
      <c r="BD186" s="171">
        <v>151724.17</v>
      </c>
      <c r="BE186" s="171">
        <v>138621.23</v>
      </c>
      <c r="BF186" s="171">
        <v>126307.39</v>
      </c>
      <c r="BG186" s="171">
        <v>111262.06</v>
      </c>
      <c r="BH186" s="171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  <c r="CI186" s="329"/>
    </row>
    <row r="187" ht="15.75" customHeight="1">
      <c r="A187" s="317" t="s">
        <v>2547</v>
      </c>
      <c r="B187" s="235" t="s">
        <v>1263</v>
      </c>
      <c r="C187" s="219" t="s">
        <v>3062</v>
      </c>
      <c r="D187" s="319" t="s">
        <v>18</v>
      </c>
      <c r="E187" s="319" t="s">
        <v>176</v>
      </c>
      <c r="F187" s="319" t="s">
        <v>177</v>
      </c>
      <c r="G187" s="44" t="str">
        <f t="shared" si="1"/>
        <v>Augusto</v>
      </c>
      <c r="H187" s="332" t="s">
        <v>147</v>
      </c>
      <c r="I187" s="51" t="s">
        <v>219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4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107</v>
      </c>
      <c r="S187" s="320">
        <v>44276.0</v>
      </c>
      <c r="T187" s="63"/>
      <c r="U187" s="169"/>
      <c r="V187" s="45" t="s">
        <v>108</v>
      </c>
      <c r="W187" s="13" t="s">
        <v>1265</v>
      </c>
      <c r="X187" s="164" t="s">
        <v>180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119</v>
      </c>
      <c r="AC187" s="95"/>
      <c r="AD187" s="95" t="s">
        <v>2609</v>
      </c>
      <c r="AE187" s="337"/>
      <c r="AF187" s="337"/>
      <c r="AG187" s="337"/>
      <c r="AH187" s="337"/>
      <c r="AI187" s="337"/>
      <c r="AJ187" s="337"/>
      <c r="AK187" s="337"/>
      <c r="AL187" s="337"/>
      <c r="AM187" s="337"/>
      <c r="AN187" s="337"/>
      <c r="AO187" s="337"/>
      <c r="AP187" s="337"/>
      <c r="AQ187" s="337"/>
      <c r="AR187" s="171"/>
      <c r="AS187" s="326"/>
      <c r="AT187" s="326">
        <v>419598.61</v>
      </c>
      <c r="AU187" s="326"/>
      <c r="AV187" s="326">
        <v>426548.85</v>
      </c>
      <c r="AW187" s="326">
        <v>433725.04</v>
      </c>
      <c r="AX187" s="171">
        <v>433632.81</v>
      </c>
      <c r="AY187" s="171">
        <v>429540.47</v>
      </c>
      <c r="AZ187" s="171">
        <v>421269.23</v>
      </c>
      <c r="BA187" s="171">
        <v>390450.12</v>
      </c>
      <c r="BB187" s="171">
        <v>402724.4</v>
      </c>
      <c r="BC187" s="171">
        <v>408499.11</v>
      </c>
      <c r="BD187" s="171">
        <v>409894.99</v>
      </c>
      <c r="BE187" s="171">
        <v>416191.12</v>
      </c>
      <c r="BF187" s="171">
        <v>418360.96</v>
      </c>
      <c r="BG187" s="171">
        <v>427072.36</v>
      </c>
      <c r="BH187" s="171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  <c r="CI187" s="329"/>
    </row>
    <row r="188" ht="15.75" customHeight="1">
      <c r="A188" s="317" t="s">
        <v>2547</v>
      </c>
      <c r="B188" s="156" t="s">
        <v>3063</v>
      </c>
      <c r="C188" s="330" t="s">
        <v>3064</v>
      </c>
      <c r="D188" s="319" t="s">
        <v>18</v>
      </c>
      <c r="E188" s="319" t="s">
        <v>29</v>
      </c>
      <c r="F188" s="319" t="s">
        <v>2605</v>
      </c>
      <c r="G188" s="44" t="str">
        <f t="shared" si="1"/>
        <v>Augusto</v>
      </c>
      <c r="H188" s="165" t="s">
        <v>107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55</v>
      </c>
      <c r="N188" s="334">
        <v>0.012</v>
      </c>
      <c r="O188" s="319" t="s">
        <v>2552</v>
      </c>
      <c r="P188" s="322">
        <v>0.0</v>
      </c>
      <c r="Q188" s="319"/>
      <c r="R188" s="319"/>
      <c r="S188" s="320"/>
      <c r="T188" s="336" t="s">
        <v>3065</v>
      </c>
      <c r="U188" s="169"/>
      <c r="V188" s="45" t="s">
        <v>108</v>
      </c>
      <c r="W188" s="11" t="s">
        <v>3066</v>
      </c>
      <c r="X188" s="5" t="s">
        <v>791</v>
      </c>
      <c r="Y188" s="51" t="str">
        <f t="shared" si="3"/>
        <v>Inativo</v>
      </c>
      <c r="Z188" s="325"/>
      <c r="AA188" s="95" t="str">
        <f t="shared" si="4"/>
        <v/>
      </c>
      <c r="AB188" s="13" t="s">
        <v>119</v>
      </c>
      <c r="AC188" s="95"/>
      <c r="AD188" s="95"/>
      <c r="AE188" s="337"/>
      <c r="AF188" s="337"/>
      <c r="AG188" s="337"/>
      <c r="AH188" s="337"/>
      <c r="AI188" s="337"/>
      <c r="AJ188" s="337"/>
      <c r="AK188" s="337"/>
      <c r="AL188" s="337"/>
      <c r="AM188" s="337"/>
      <c r="AN188" s="337"/>
      <c r="AO188" s="337"/>
      <c r="AP188" s="337"/>
      <c r="AQ188" s="337"/>
      <c r="AR188" s="171"/>
      <c r="AS188" s="326"/>
      <c r="AT188" s="326"/>
      <c r="AU188" s="326"/>
      <c r="AV188" s="326"/>
      <c r="AW188" s="326"/>
      <c r="AX188" s="171"/>
      <c r="AY188" s="171"/>
      <c r="AZ188" s="171"/>
      <c r="BA188" s="171"/>
      <c r="BB188" s="171"/>
      <c r="BC188" s="171"/>
      <c r="BD188" s="171"/>
      <c r="BE188" s="171"/>
      <c r="BF188" s="171"/>
      <c r="BG188" s="171"/>
      <c r="BH188" s="171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  <c r="CI188" s="329"/>
    </row>
    <row r="189" ht="15.75" customHeight="1">
      <c r="A189" s="317" t="s">
        <v>2547</v>
      </c>
      <c r="B189" s="235" t="s">
        <v>3067</v>
      </c>
      <c r="C189" s="219" t="s">
        <v>3068</v>
      </c>
      <c r="D189" s="319" t="s">
        <v>18</v>
      </c>
      <c r="E189" s="319" t="s">
        <v>176</v>
      </c>
      <c r="F189" s="95" t="s">
        <v>532</v>
      </c>
      <c r="G189" s="44" t="str">
        <f t="shared" si="1"/>
        <v>Breno</v>
      </c>
      <c r="H189" s="165" t="s">
        <v>107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107</v>
      </c>
      <c r="S189" s="320">
        <v>44263.0</v>
      </c>
      <c r="T189" s="169"/>
      <c r="U189" s="169"/>
      <c r="V189" s="45" t="s">
        <v>108</v>
      </c>
      <c r="W189" s="13" t="s">
        <v>3069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119</v>
      </c>
      <c r="AC189" s="95"/>
      <c r="AD189" s="95" t="s">
        <v>2596</v>
      </c>
      <c r="AE189" s="337"/>
      <c r="AF189" s="337"/>
      <c r="AG189" s="337"/>
      <c r="AH189" s="337"/>
      <c r="AI189" s="337"/>
      <c r="AJ189" s="337"/>
      <c r="AK189" s="337"/>
      <c r="AL189" s="337"/>
      <c r="AM189" s="337"/>
      <c r="AN189" s="337"/>
      <c r="AO189" s="337"/>
      <c r="AP189" s="337"/>
      <c r="AQ189" s="337"/>
      <c r="AR189" s="171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1">
        <v>278326.46</v>
      </c>
      <c r="AY189" s="171">
        <v>277108.23</v>
      </c>
      <c r="AZ189" s="171">
        <v>274162.65</v>
      </c>
      <c r="BA189" s="171">
        <v>272721.08</v>
      </c>
      <c r="BB189" s="171">
        <v>266523.26</v>
      </c>
      <c r="BC189" s="171">
        <v>263741.11</v>
      </c>
      <c r="BD189" s="171">
        <v>263226.7</v>
      </c>
      <c r="BE189" s="171">
        <v>267711.96</v>
      </c>
      <c r="BF189" s="171">
        <v>269475.14</v>
      </c>
      <c r="BG189" s="171">
        <v>261888.7</v>
      </c>
      <c r="BH189" s="171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  <c r="CI189" s="329"/>
    </row>
    <row r="190" ht="15.75" customHeight="1">
      <c r="A190" s="317" t="s">
        <v>2547</v>
      </c>
      <c r="B190" s="42" t="s">
        <v>3070</v>
      </c>
      <c r="C190" s="330" t="s">
        <v>3071</v>
      </c>
      <c r="D190" s="319" t="s">
        <v>18</v>
      </c>
      <c r="E190" s="319" t="s">
        <v>176</v>
      </c>
      <c r="F190" s="93" t="s">
        <v>2634</v>
      </c>
      <c r="G190" s="44" t="str">
        <f t="shared" si="1"/>
        <v>Augusto</v>
      </c>
      <c r="H190" s="165" t="s">
        <v>147</v>
      </c>
      <c r="I190" s="51" t="s">
        <v>219</v>
      </c>
      <c r="J190" s="319" t="str">
        <f t="shared" si="2"/>
        <v>Não</v>
      </c>
      <c r="K190" s="72">
        <v>44358.0</v>
      </c>
      <c r="L190" s="95"/>
      <c r="M190" s="95" t="s">
        <v>79</v>
      </c>
      <c r="N190" s="321">
        <v>0.012</v>
      </c>
      <c r="O190" s="319" t="s">
        <v>2552</v>
      </c>
      <c r="P190" s="322">
        <v>0.0</v>
      </c>
      <c r="Q190" s="93" t="str">
        <f>IFERROR(VLOOKUP(F190,'Cadastro de assessores'!A:B,2,FALSE),"Não Cadastrado")</f>
        <v>22066</v>
      </c>
      <c r="R190" s="319" t="s">
        <v>107</v>
      </c>
      <c r="S190" s="320">
        <v>44344.0</v>
      </c>
      <c r="T190" s="50"/>
      <c r="U190" s="50"/>
      <c r="V190" s="45" t="s">
        <v>108</v>
      </c>
      <c r="W190" s="5" t="s">
        <v>3072</v>
      </c>
      <c r="X190" s="164" t="s">
        <v>180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119</v>
      </c>
      <c r="AC190" s="95"/>
      <c r="AD190" s="95" t="s">
        <v>2629</v>
      </c>
      <c r="AE190" s="191"/>
      <c r="AF190" s="191"/>
      <c r="AG190" s="191"/>
      <c r="AH190" s="191"/>
      <c r="AI190" s="191"/>
      <c r="AJ190" s="191"/>
      <c r="AK190" s="191"/>
      <c r="AL190" s="191"/>
      <c r="AM190" s="191"/>
      <c r="AN190" s="191"/>
      <c r="AO190" s="191"/>
      <c r="AP190" s="191"/>
      <c r="AQ190" s="191"/>
      <c r="AR190" s="191"/>
      <c r="AS190" s="326"/>
      <c r="AT190" s="326"/>
      <c r="AU190" s="326"/>
      <c r="AV190" s="326"/>
      <c r="AW190" s="191"/>
      <c r="AX190" s="171">
        <v>192075.49</v>
      </c>
      <c r="AY190" s="171">
        <v>194695.76</v>
      </c>
      <c r="AZ190" s="171">
        <v>193492.51</v>
      </c>
      <c r="BA190" s="171">
        <v>166107.48</v>
      </c>
      <c r="BB190" s="171">
        <v>196009.18</v>
      </c>
      <c r="BC190" s="171">
        <v>196342.67</v>
      </c>
      <c r="BD190" s="171">
        <v>197950.9</v>
      </c>
      <c r="BE190" s="171">
        <v>200791.26</v>
      </c>
      <c r="BF190" s="171">
        <v>201905.43</v>
      </c>
      <c r="BG190" s="171">
        <v>206788.6</v>
      </c>
      <c r="BH190" s="171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  <c r="CI190" s="329"/>
    </row>
    <row r="191" ht="15.75" customHeight="1">
      <c r="A191" s="317" t="s">
        <v>2547</v>
      </c>
      <c r="B191" s="239" t="s">
        <v>3073</v>
      </c>
      <c r="C191" s="331" t="s">
        <v>3074</v>
      </c>
      <c r="D191" s="319" t="s">
        <v>18</v>
      </c>
      <c r="E191" s="319" t="s">
        <v>29</v>
      </c>
      <c r="F191" s="95" t="s">
        <v>2803</v>
      </c>
      <c r="G191" s="44" t="str">
        <f t="shared" si="1"/>
        <v>Augusto</v>
      </c>
      <c r="H191" s="332" t="s">
        <v>186</v>
      </c>
      <c r="I191" s="46" t="s">
        <v>24</v>
      </c>
      <c r="J191" s="319" t="str">
        <f t="shared" si="2"/>
        <v>Não</v>
      </c>
      <c r="K191" s="333">
        <v>43515.0</v>
      </c>
      <c r="L191" s="333">
        <v>44309.0</v>
      </c>
      <c r="M191" s="95" t="s">
        <v>190</v>
      </c>
      <c r="N191" s="334">
        <v>0.01</v>
      </c>
      <c r="O191" s="319" t="s">
        <v>191</v>
      </c>
      <c r="P191" s="322">
        <v>0.2</v>
      </c>
      <c r="Q191" s="95" t="str">
        <f>IFERROR(VLOOKUP(F191,'Cadastro de assessores'!A:B,2,FALSE),"Não Cadastrado")</f>
        <v>18236</v>
      </c>
      <c r="R191" s="95" t="s">
        <v>2563</v>
      </c>
      <c r="S191" s="333">
        <v>43515.0</v>
      </c>
      <c r="T191" s="169"/>
      <c r="U191" s="169"/>
      <c r="V191" s="45" t="s">
        <v>108</v>
      </c>
      <c r="W191" s="13" t="s">
        <v>3075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1">
        <v>412004.58</v>
      </c>
      <c r="AF191" s="171">
        <v>207440.21</v>
      </c>
      <c r="AG191" s="171">
        <v>188939.88</v>
      </c>
      <c r="AH191" s="171">
        <v>193448.81</v>
      </c>
      <c r="AI191" s="171">
        <v>196268.85</v>
      </c>
      <c r="AJ191" s="171">
        <v>198080.33</v>
      </c>
      <c r="AK191" s="171">
        <v>204955.23</v>
      </c>
      <c r="AL191" s="171">
        <v>201131.43</v>
      </c>
      <c r="AM191" s="171">
        <v>196984.98</v>
      </c>
      <c r="AN191" s="171">
        <v>199951.16</v>
      </c>
      <c r="AO191" s="171">
        <v>210833.83</v>
      </c>
      <c r="AP191" s="171">
        <v>215696.4</v>
      </c>
      <c r="AQ191" s="171">
        <v>211993.4</v>
      </c>
      <c r="AR191" s="171"/>
      <c r="AS191" s="171">
        <v>324.88</v>
      </c>
      <c r="AT191" s="171"/>
      <c r="AU191" s="171">
        <v>385.03</v>
      </c>
      <c r="AV191" s="171">
        <v>384.97</v>
      </c>
      <c r="AW191" s="171"/>
      <c r="AX191" s="337"/>
      <c r="AY191" s="337"/>
      <c r="AZ191" s="337"/>
      <c r="BA191" s="171"/>
      <c r="BB191" s="171"/>
      <c r="BC191" s="171"/>
      <c r="BD191" s="171"/>
      <c r="BE191" s="171"/>
      <c r="BF191" s="171">
        <v>0.0</v>
      </c>
      <c r="BG191" s="171">
        <v>0.0</v>
      </c>
      <c r="BH191" s="171">
        <v>0.0</v>
      </c>
      <c r="BI191" s="171" t="s">
        <v>2566</v>
      </c>
      <c r="BJ191" s="171">
        <v>0.0</v>
      </c>
      <c r="BK191" s="171" t="s">
        <v>2566</v>
      </c>
      <c r="BL191" s="171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  <c r="CI191" s="329"/>
    </row>
    <row r="192" ht="15.75" customHeight="1">
      <c r="A192" s="317" t="s">
        <v>2547</v>
      </c>
      <c r="B192" s="42" t="s">
        <v>3076</v>
      </c>
      <c r="C192" s="219" t="s">
        <v>3077</v>
      </c>
      <c r="D192" s="319" t="s">
        <v>18</v>
      </c>
      <c r="E192" s="319" t="s">
        <v>176</v>
      </c>
      <c r="F192" s="93" t="s">
        <v>197</v>
      </c>
      <c r="G192" s="44" t="str">
        <f t="shared" si="1"/>
        <v>Augusto</v>
      </c>
      <c r="H192" s="165" t="s">
        <v>147</v>
      </c>
      <c r="I192" s="51" t="s">
        <v>219</v>
      </c>
      <c r="J192" s="319" t="str">
        <f t="shared" si="2"/>
        <v>Sim</v>
      </c>
      <c r="K192" s="320">
        <v>44656.0</v>
      </c>
      <c r="L192" s="95"/>
      <c r="M192" s="95" t="s">
        <v>190</v>
      </c>
      <c r="N192" s="321">
        <v>0.025</v>
      </c>
      <c r="O192" s="319" t="s">
        <v>191</v>
      </c>
      <c r="P192" s="322">
        <v>0.2</v>
      </c>
      <c r="Q192" s="319" t="str">
        <f>IFERROR(VLOOKUP(F192,'Cadastro de assessores'!A:B,2,FALSE),"Não Cadastrado")</f>
        <v>28411</v>
      </c>
      <c r="R192" s="319" t="s">
        <v>107</v>
      </c>
      <c r="S192" s="320">
        <v>44651.0</v>
      </c>
      <c r="T192" s="60" t="s">
        <v>3078</v>
      </c>
      <c r="U192" s="50"/>
      <c r="V192" s="45" t="s">
        <v>108</v>
      </c>
      <c r="W192" s="5" t="s">
        <v>1276</v>
      </c>
      <c r="X192" s="164" t="s">
        <v>180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119</v>
      </c>
      <c r="AC192" s="95"/>
      <c r="AD192" s="95" t="s">
        <v>2609</v>
      </c>
      <c r="AE192" s="191"/>
      <c r="AF192" s="191"/>
      <c r="AG192" s="191"/>
      <c r="AH192" s="191"/>
      <c r="AI192" s="191"/>
      <c r="AJ192" s="191"/>
      <c r="AK192" s="191"/>
      <c r="AL192" s="191"/>
      <c r="AM192" s="191"/>
      <c r="AN192" s="191"/>
      <c r="AO192" s="191"/>
      <c r="AP192" s="191"/>
      <c r="AQ192" s="191"/>
      <c r="AR192" s="191"/>
      <c r="AS192" s="326"/>
      <c r="AT192" s="326"/>
      <c r="AU192" s="326"/>
      <c r="AV192" s="326"/>
      <c r="AW192" s="191"/>
      <c r="AX192" s="171"/>
      <c r="AY192" s="171"/>
      <c r="AZ192" s="171"/>
      <c r="BA192" s="171"/>
      <c r="BB192" s="171"/>
      <c r="BC192" s="171"/>
      <c r="BD192" s="171"/>
      <c r="BE192" s="171"/>
      <c r="BF192" s="171"/>
      <c r="BG192" s="171">
        <v>35400.93</v>
      </c>
      <c r="BH192" s="171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  <c r="CI192" s="329"/>
    </row>
    <row r="193" ht="15.75" customHeight="1">
      <c r="A193" s="317" t="s">
        <v>2547</v>
      </c>
      <c r="B193" s="235" t="s">
        <v>3079</v>
      </c>
      <c r="C193" s="219" t="s">
        <v>3080</v>
      </c>
      <c r="D193" s="319" t="s">
        <v>18</v>
      </c>
      <c r="E193" s="319" t="s">
        <v>176</v>
      </c>
      <c r="F193" s="319" t="s">
        <v>197</v>
      </c>
      <c r="G193" s="44" t="str">
        <f t="shared" si="1"/>
        <v>Augusto</v>
      </c>
      <c r="H193" s="332" t="s">
        <v>186</v>
      </c>
      <c r="I193" s="46" t="s">
        <v>24</v>
      </c>
      <c r="J193" s="319" t="str">
        <f t="shared" si="2"/>
        <v>Não</v>
      </c>
      <c r="K193" s="378">
        <v>44706.0</v>
      </c>
      <c r="L193" s="82">
        <v>45015.0</v>
      </c>
      <c r="M193" s="95" t="s">
        <v>780</v>
      </c>
      <c r="N193" s="95" t="s">
        <v>3081</v>
      </c>
      <c r="O193" s="319" t="s">
        <v>191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108</v>
      </c>
      <c r="W193" s="13" t="s">
        <v>1276</v>
      </c>
      <c r="X193" s="5" t="s">
        <v>180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337"/>
      <c r="AP193" s="337"/>
      <c r="AQ193" s="337"/>
      <c r="AR193" s="171"/>
      <c r="AS193" s="326"/>
      <c r="AT193" s="326"/>
      <c r="AU193" s="326"/>
      <c r="AV193" s="326"/>
      <c r="AW193" s="326"/>
      <c r="AX193" s="171"/>
      <c r="AY193" s="171"/>
      <c r="AZ193" s="171"/>
      <c r="BA193" s="171"/>
      <c r="BB193" s="171"/>
      <c r="BC193" s="171"/>
      <c r="BD193" s="171"/>
      <c r="BE193" s="171"/>
      <c r="BF193" s="171"/>
      <c r="BG193" s="171"/>
      <c r="BH193" s="171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  <c r="CI193" s="329"/>
    </row>
    <row r="194" ht="15.75" customHeight="1">
      <c r="A194" s="317" t="s">
        <v>2547</v>
      </c>
      <c r="B194" s="235" t="s">
        <v>3082</v>
      </c>
      <c r="C194" s="219" t="s">
        <v>3083</v>
      </c>
      <c r="D194" s="319" t="s">
        <v>18</v>
      </c>
      <c r="E194" s="319" t="s">
        <v>176</v>
      </c>
      <c r="F194" s="319" t="s">
        <v>197</v>
      </c>
      <c r="G194" s="44" t="str">
        <f t="shared" si="1"/>
        <v>Augusto</v>
      </c>
      <c r="H194" s="165" t="s">
        <v>147</v>
      </c>
      <c r="I194" s="51" t="s">
        <v>219</v>
      </c>
      <c r="J194" s="319" t="str">
        <f t="shared" si="2"/>
        <v>Sim</v>
      </c>
      <c r="K194" s="320">
        <v>44278.0</v>
      </c>
      <c r="L194" s="45"/>
      <c r="M194" s="95" t="s">
        <v>269</v>
      </c>
      <c r="N194" s="334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107</v>
      </c>
      <c r="S194" s="320">
        <v>44260.0</v>
      </c>
      <c r="T194" s="336" t="s">
        <v>2951</v>
      </c>
      <c r="U194" s="169"/>
      <c r="V194" s="45" t="s">
        <v>108</v>
      </c>
      <c r="W194" s="13" t="s">
        <v>1284</v>
      </c>
      <c r="X194" s="164" t="s">
        <v>180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119</v>
      </c>
      <c r="AC194" s="95"/>
      <c r="AD194" s="95" t="s">
        <v>2609</v>
      </c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337"/>
      <c r="AP194" s="337"/>
      <c r="AQ194" s="337"/>
      <c r="AR194" s="171"/>
      <c r="AS194" s="326"/>
      <c r="AT194" s="326">
        <v>222951.17</v>
      </c>
      <c r="AU194" s="326"/>
      <c r="AV194" s="326">
        <v>227457.43</v>
      </c>
      <c r="AW194" s="326">
        <v>232086.74</v>
      </c>
      <c r="AX194" s="171">
        <v>231592.85</v>
      </c>
      <c r="AY194" s="171">
        <v>228445.54</v>
      </c>
      <c r="AZ194" s="171">
        <v>221883.12</v>
      </c>
      <c r="BA194" s="171">
        <v>202077.7</v>
      </c>
      <c r="BB194" s="171">
        <v>206795.73</v>
      </c>
      <c r="BC194" s="171">
        <v>202410.85</v>
      </c>
      <c r="BD194" s="171">
        <v>202774.52</v>
      </c>
      <c r="BE194" s="171">
        <v>207428.08</v>
      </c>
      <c r="BF194" s="171">
        <v>208706.19</v>
      </c>
      <c r="BG194" s="171">
        <v>109139.32</v>
      </c>
      <c r="BH194" s="171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  <c r="CI194" s="329"/>
    </row>
    <row r="195" ht="15.75" customHeight="1">
      <c r="A195" s="317" t="s">
        <v>2547</v>
      </c>
      <c r="B195" s="235" t="s">
        <v>3082</v>
      </c>
      <c r="C195" s="219" t="s">
        <v>3084</v>
      </c>
      <c r="D195" s="319" t="s">
        <v>18</v>
      </c>
      <c r="E195" s="319" t="s">
        <v>176</v>
      </c>
      <c r="F195" s="319" t="s">
        <v>197</v>
      </c>
      <c r="G195" s="44" t="str">
        <f t="shared" si="1"/>
        <v>Augusto</v>
      </c>
      <c r="H195" s="165" t="s">
        <v>147</v>
      </c>
      <c r="I195" s="51" t="s">
        <v>219</v>
      </c>
      <c r="J195" s="319" t="str">
        <f t="shared" si="2"/>
        <v>Sim</v>
      </c>
      <c r="K195" s="320">
        <v>44278.0</v>
      </c>
      <c r="L195" s="95"/>
      <c r="M195" s="95" t="s">
        <v>190</v>
      </c>
      <c r="N195" s="321">
        <v>0.025</v>
      </c>
      <c r="O195" s="319" t="s">
        <v>191</v>
      </c>
      <c r="P195" s="322">
        <v>0.2</v>
      </c>
      <c r="Q195" s="319" t="str">
        <f>IFERROR(VLOOKUP(F195,'Cadastro de assessores'!A:B,2,FALSE),"Não Cadastrado")</f>
        <v>28411</v>
      </c>
      <c r="R195" s="319" t="s">
        <v>107</v>
      </c>
      <c r="S195" s="320">
        <v>44278.0</v>
      </c>
      <c r="T195" s="336" t="s">
        <v>2951</v>
      </c>
      <c r="U195" s="169"/>
      <c r="V195" s="45" t="s">
        <v>108</v>
      </c>
      <c r="W195" s="13" t="s">
        <v>1284</v>
      </c>
      <c r="X195" s="164" t="s">
        <v>180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119</v>
      </c>
      <c r="AC195" s="95"/>
      <c r="AD195" s="95" t="s">
        <v>2609</v>
      </c>
      <c r="AE195" s="337"/>
      <c r="AF195" s="337"/>
      <c r="AG195" s="337"/>
      <c r="AH195" s="337"/>
      <c r="AI195" s="337"/>
      <c r="AJ195" s="337"/>
      <c r="AK195" s="337"/>
      <c r="AL195" s="337"/>
      <c r="AM195" s="337"/>
      <c r="AN195" s="337"/>
      <c r="AO195" s="337"/>
      <c r="AP195" s="337"/>
      <c r="AQ195" s="337"/>
      <c r="AR195" s="171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1">
        <v>103071.69</v>
      </c>
      <c r="AY195" s="171">
        <v>127880.01</v>
      </c>
      <c r="AZ195" s="171">
        <v>143694.55</v>
      </c>
      <c r="BA195" s="171">
        <v>158442.54</v>
      </c>
      <c r="BB195" s="171">
        <v>176057.75</v>
      </c>
      <c r="BC195" s="171">
        <v>184277.53</v>
      </c>
      <c r="BD195" s="171">
        <v>202122.97</v>
      </c>
      <c r="BE195" s="171">
        <v>216555.46</v>
      </c>
      <c r="BF195" s="171">
        <v>220676.2</v>
      </c>
      <c r="BG195" s="171">
        <v>239851.16</v>
      </c>
      <c r="BH195" s="171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  <c r="CI195" s="329"/>
    </row>
    <row r="196" ht="15.75" customHeight="1">
      <c r="A196" s="317" t="s">
        <v>2547</v>
      </c>
      <c r="B196" s="239" t="s">
        <v>3085</v>
      </c>
      <c r="C196" s="331" t="s">
        <v>3086</v>
      </c>
      <c r="D196" s="319" t="s">
        <v>2550</v>
      </c>
      <c r="E196" s="319" t="s">
        <v>29</v>
      </c>
      <c r="F196" s="95" t="s">
        <v>2562</v>
      </c>
      <c r="G196" s="44" t="str">
        <f t="shared" si="1"/>
        <v>Augusto</v>
      </c>
      <c r="H196" s="332" t="s">
        <v>186</v>
      </c>
      <c r="I196" s="46" t="s">
        <v>24</v>
      </c>
      <c r="J196" s="319" t="str">
        <f t="shared" si="2"/>
        <v>Não</v>
      </c>
      <c r="K196" s="333">
        <v>43664.0</v>
      </c>
      <c r="L196" s="333">
        <v>44309.0</v>
      </c>
      <c r="M196" s="95" t="s">
        <v>47</v>
      </c>
      <c r="N196" s="334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2563</v>
      </c>
      <c r="S196" s="333">
        <v>43664.0</v>
      </c>
      <c r="T196" s="323"/>
      <c r="U196" s="323"/>
      <c r="V196" s="45" t="s">
        <v>108</v>
      </c>
      <c r="W196" s="13">
        <v>2.9540518E8</v>
      </c>
      <c r="X196" s="164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2591</v>
      </c>
      <c r="AE196" s="171">
        <v>85533.02</v>
      </c>
      <c r="AF196" s="171">
        <v>83215.51</v>
      </c>
      <c r="AG196" s="171">
        <v>58071.75</v>
      </c>
      <c r="AH196" s="171">
        <v>59448.05</v>
      </c>
      <c r="AI196" s="171">
        <v>49527.54</v>
      </c>
      <c r="AJ196" s="171">
        <v>40444.27</v>
      </c>
      <c r="AK196" s="171">
        <v>35543.82</v>
      </c>
      <c r="AL196" s="171">
        <v>29035.3</v>
      </c>
      <c r="AM196" s="171">
        <v>22461.66</v>
      </c>
      <c r="AN196" s="171">
        <v>15939.32</v>
      </c>
      <c r="AO196" s="171">
        <v>9419.68</v>
      </c>
      <c r="AP196" s="171">
        <v>9408.2</v>
      </c>
      <c r="AQ196" s="171">
        <v>4401.6</v>
      </c>
      <c r="AR196" s="171">
        <v>4176.04</v>
      </c>
      <c r="AS196" s="171">
        <v>4043.29</v>
      </c>
      <c r="AT196" s="171">
        <v>4170.42</v>
      </c>
      <c r="AU196" s="171">
        <v>4120.67</v>
      </c>
      <c r="AV196" s="171">
        <v>4022.3</v>
      </c>
      <c r="AW196" s="171"/>
      <c r="AX196" s="337"/>
      <c r="AY196" s="337"/>
      <c r="AZ196" s="337"/>
      <c r="BA196" s="171"/>
      <c r="BB196" s="171"/>
      <c r="BC196" s="171"/>
      <c r="BD196" s="171"/>
      <c r="BE196" s="171"/>
      <c r="BF196" s="171">
        <v>0.0</v>
      </c>
      <c r="BG196" s="171">
        <v>0.0</v>
      </c>
      <c r="BH196" s="171">
        <v>0.0</v>
      </c>
      <c r="BI196" s="171" t="s">
        <v>2566</v>
      </c>
      <c r="BJ196" s="171">
        <v>0.0</v>
      </c>
      <c r="BK196" s="171" t="s">
        <v>2566</v>
      </c>
      <c r="BL196" s="171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  <c r="CI196" s="329"/>
    </row>
    <row r="197" ht="15.75" customHeight="1">
      <c r="A197" s="317" t="s">
        <v>2547</v>
      </c>
      <c r="B197" s="239" t="s">
        <v>3087</v>
      </c>
      <c r="C197" s="331" t="s">
        <v>3088</v>
      </c>
      <c r="D197" s="319" t="s">
        <v>2550</v>
      </c>
      <c r="E197" s="319" t="s">
        <v>29</v>
      </c>
      <c r="F197" s="95" t="s">
        <v>2562</v>
      </c>
      <c r="G197" s="44" t="str">
        <f t="shared" si="1"/>
        <v>Augusto</v>
      </c>
      <c r="H197" s="332" t="s">
        <v>186</v>
      </c>
      <c r="I197" s="46" t="s">
        <v>24</v>
      </c>
      <c r="J197" s="319" t="str">
        <f t="shared" si="2"/>
        <v>Não</v>
      </c>
      <c r="K197" s="333">
        <v>43853.0</v>
      </c>
      <c r="L197" s="338">
        <v>44484.0</v>
      </c>
      <c r="M197" s="95" t="s">
        <v>47</v>
      </c>
      <c r="N197" s="334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2563</v>
      </c>
      <c r="S197" s="333">
        <v>43853.0</v>
      </c>
      <c r="T197" s="169"/>
      <c r="U197" s="169"/>
      <c r="V197" s="45" t="s">
        <v>108</v>
      </c>
      <c r="W197" s="13" t="s">
        <v>3089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2623</v>
      </c>
      <c r="AE197" s="171">
        <v>118108.75</v>
      </c>
      <c r="AF197" s="171">
        <v>36450.62</v>
      </c>
      <c r="AG197" s="171">
        <v>37628.94</v>
      </c>
      <c r="AH197" s="171">
        <v>0.0</v>
      </c>
      <c r="AI197" s="171">
        <v>63.98</v>
      </c>
      <c r="AJ197" s="171">
        <v>0.0</v>
      </c>
      <c r="AK197" s="171">
        <v>0.0</v>
      </c>
      <c r="AL197" s="171">
        <v>0.0</v>
      </c>
      <c r="AM197" s="337"/>
      <c r="AN197" s="171">
        <v>63.98</v>
      </c>
      <c r="AO197" s="171">
        <v>63.98</v>
      </c>
      <c r="AP197" s="171">
        <v>25.92</v>
      </c>
      <c r="AQ197" s="171">
        <v>63.98</v>
      </c>
      <c r="AR197" s="171">
        <v>63.98</v>
      </c>
      <c r="AS197" s="171">
        <v>63.98</v>
      </c>
      <c r="AT197" s="171">
        <v>63.98</v>
      </c>
      <c r="AU197" s="171">
        <v>63.98</v>
      </c>
      <c r="AV197" s="171">
        <v>63.98</v>
      </c>
      <c r="AW197" s="171">
        <v>63.98</v>
      </c>
      <c r="AX197" s="171">
        <v>63.98</v>
      </c>
      <c r="AY197" s="171">
        <v>78.0</v>
      </c>
      <c r="AZ197" s="171">
        <v>78.0</v>
      </c>
      <c r="BA197" s="171">
        <v>78.0</v>
      </c>
      <c r="BB197" s="171">
        <v>78.0</v>
      </c>
      <c r="BC197" s="171"/>
      <c r="BD197" s="171"/>
      <c r="BE197" s="171"/>
      <c r="BF197" s="171">
        <v>0.0</v>
      </c>
      <c r="BG197" s="171">
        <v>0.0</v>
      </c>
      <c r="BH197" s="171">
        <v>0.0</v>
      </c>
      <c r="BI197" s="171" t="s">
        <v>2566</v>
      </c>
      <c r="BJ197" s="171">
        <v>0.0</v>
      </c>
      <c r="BK197" s="171" t="s">
        <v>2566</v>
      </c>
      <c r="BL197" s="171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  <c r="CI197" s="329"/>
    </row>
    <row r="198" ht="15.75" customHeight="1">
      <c r="A198" s="317" t="s">
        <v>2547</v>
      </c>
      <c r="B198" s="235" t="s">
        <v>3090</v>
      </c>
      <c r="C198" s="219" t="s">
        <v>3091</v>
      </c>
      <c r="D198" s="319" t="s">
        <v>18</v>
      </c>
      <c r="E198" s="319" t="s">
        <v>176</v>
      </c>
      <c r="F198" s="319" t="s">
        <v>177</v>
      </c>
      <c r="G198" s="44" t="str">
        <f t="shared" si="1"/>
        <v>Augusto</v>
      </c>
      <c r="H198" s="165" t="s">
        <v>147</v>
      </c>
      <c r="I198" s="51" t="s">
        <v>219</v>
      </c>
      <c r="J198" s="319" t="str">
        <f t="shared" si="2"/>
        <v>Não</v>
      </c>
      <c r="K198" s="320">
        <v>44295.0</v>
      </c>
      <c r="L198" s="95"/>
      <c r="M198" s="95" t="s">
        <v>55</v>
      </c>
      <c r="N198" s="334">
        <v>0.007</v>
      </c>
      <c r="O198" s="319" t="s">
        <v>2552</v>
      </c>
      <c r="P198" s="322">
        <v>0.0</v>
      </c>
      <c r="Q198" s="319" t="str">
        <f>IFERROR(VLOOKUP(F198,'Cadastro de assessores'!A:B,2,FALSE),"Não Cadastrado")</f>
        <v>250</v>
      </c>
      <c r="R198" s="319" t="s">
        <v>107</v>
      </c>
      <c r="S198" s="320">
        <v>44290.0</v>
      </c>
      <c r="T198" s="74"/>
      <c r="U198" s="74"/>
      <c r="V198" s="45" t="s">
        <v>108</v>
      </c>
      <c r="W198" s="13" t="s">
        <v>3092</v>
      </c>
      <c r="X198" s="164" t="s">
        <v>180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119</v>
      </c>
      <c r="AC198" s="95"/>
      <c r="AD198" s="95" t="s">
        <v>2609</v>
      </c>
      <c r="AE198" s="337"/>
      <c r="AF198" s="337"/>
      <c r="AG198" s="337"/>
      <c r="AH198" s="337"/>
      <c r="AI198" s="337"/>
      <c r="AJ198" s="337"/>
      <c r="AK198" s="337"/>
      <c r="AL198" s="337"/>
      <c r="AM198" s="337"/>
      <c r="AN198" s="337"/>
      <c r="AO198" s="337"/>
      <c r="AP198" s="337"/>
      <c r="AQ198" s="337"/>
      <c r="AR198" s="171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1">
        <v>299479.81</v>
      </c>
      <c r="AY198" s="171">
        <v>278085.72</v>
      </c>
      <c r="AZ198" s="171">
        <v>252585.03</v>
      </c>
      <c r="BA198" s="171">
        <v>228456.32</v>
      </c>
      <c r="BB198" s="171">
        <v>201772.65</v>
      </c>
      <c r="BC198" s="171">
        <v>154051.11</v>
      </c>
      <c r="BD198" s="171">
        <v>139990.29</v>
      </c>
      <c r="BE198" s="171">
        <v>113250.99</v>
      </c>
      <c r="BF198" s="171">
        <v>115500.71</v>
      </c>
      <c r="BG198" s="171">
        <v>118139.67</v>
      </c>
      <c r="BH198" s="171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  <c r="CI198" s="329"/>
    </row>
    <row r="199" ht="15.75" customHeight="1">
      <c r="A199" s="317" t="s">
        <v>2547</v>
      </c>
      <c r="B199" s="344" t="s">
        <v>3093</v>
      </c>
      <c r="C199" s="331" t="s">
        <v>3094</v>
      </c>
      <c r="D199" s="319" t="s">
        <v>18</v>
      </c>
      <c r="E199" s="319" t="s">
        <v>176</v>
      </c>
      <c r="F199" s="319" t="s">
        <v>177</v>
      </c>
      <c r="G199" s="44" t="str">
        <f t="shared" si="1"/>
        <v>Augusto</v>
      </c>
      <c r="H199" s="165" t="s">
        <v>147</v>
      </c>
      <c r="I199" s="51" t="s">
        <v>219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4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107</v>
      </c>
      <c r="S199" s="320">
        <v>44263.0</v>
      </c>
      <c r="T199" s="74"/>
      <c r="U199" s="74"/>
      <c r="V199" s="45" t="s">
        <v>108</v>
      </c>
      <c r="W199" s="324" t="s">
        <v>3095</v>
      </c>
      <c r="X199" s="164" t="s">
        <v>180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110</v>
      </c>
      <c r="AC199" s="95"/>
      <c r="AD199" s="95" t="s">
        <v>2609</v>
      </c>
      <c r="AE199" s="337"/>
      <c r="AF199" s="337"/>
      <c r="AG199" s="337"/>
      <c r="AH199" s="337"/>
      <c r="AI199" s="337"/>
      <c r="AJ199" s="337"/>
      <c r="AK199" s="337"/>
      <c r="AL199" s="337"/>
      <c r="AM199" s="337"/>
      <c r="AN199" s="337"/>
      <c r="AO199" s="337"/>
      <c r="AP199" s="337"/>
      <c r="AQ199" s="337"/>
      <c r="AR199" s="171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1">
        <v>4759783.85</v>
      </c>
      <c r="AY199" s="171">
        <v>4711416.53</v>
      </c>
      <c r="AZ199" s="171">
        <v>4626909.59</v>
      </c>
      <c r="BA199" s="171">
        <v>4552265.47</v>
      </c>
      <c r="BB199" s="171">
        <v>4399846.51</v>
      </c>
      <c r="BC199" s="171">
        <v>4141748.2</v>
      </c>
      <c r="BD199" s="171">
        <v>4318686.8</v>
      </c>
      <c r="BE199" s="171">
        <v>4411857.61</v>
      </c>
      <c r="BF199" s="171">
        <v>4440223.88</v>
      </c>
      <c r="BG199" s="171">
        <v>4585980.05</v>
      </c>
      <c r="BH199" s="171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  <c r="CI199" s="329"/>
    </row>
    <row r="200" ht="15.75" customHeight="1">
      <c r="A200" s="317" t="s">
        <v>2547</v>
      </c>
      <c r="B200" s="317" t="s">
        <v>3096</v>
      </c>
      <c r="C200" s="331" t="s">
        <v>3097</v>
      </c>
      <c r="D200" s="319" t="s">
        <v>2550</v>
      </c>
      <c r="E200" s="319" t="s">
        <v>29</v>
      </c>
      <c r="F200" s="319" t="s">
        <v>2551</v>
      </c>
      <c r="G200" s="44" t="str">
        <f t="shared" si="1"/>
        <v>Augusto</v>
      </c>
      <c r="H200" s="165" t="s">
        <v>147</v>
      </c>
      <c r="I200" s="51" t="s">
        <v>219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4">
        <v>0.015</v>
      </c>
      <c r="O200" s="319" t="s">
        <v>2552</v>
      </c>
      <c r="P200" s="322">
        <v>0.0</v>
      </c>
      <c r="Q200" s="319" t="str">
        <f>IFERROR(VLOOKUP(F200,'Cadastro de assessores'!A:B,2,FALSE),"Não Cadastrado")</f>
        <v>17573</v>
      </c>
      <c r="R200" s="319" t="s">
        <v>107</v>
      </c>
      <c r="S200" s="320">
        <v>43879.0</v>
      </c>
      <c r="T200" s="336" t="s">
        <v>2951</v>
      </c>
      <c r="U200" s="74"/>
      <c r="V200" s="45" t="s">
        <v>108</v>
      </c>
      <c r="W200" s="324" t="s">
        <v>1313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119</v>
      </c>
      <c r="AC200" s="95"/>
      <c r="AD200" s="95" t="s">
        <v>2591</v>
      </c>
      <c r="AE200" s="171">
        <v>0.0</v>
      </c>
      <c r="AF200" s="171">
        <v>535969.85</v>
      </c>
      <c r="AG200" s="171">
        <v>490382.84</v>
      </c>
      <c r="AH200" s="171">
        <v>499141.57</v>
      </c>
      <c r="AI200" s="171">
        <v>506758.08</v>
      </c>
      <c r="AJ200" s="171">
        <v>510755.9</v>
      </c>
      <c r="AK200" s="171">
        <v>523238.48</v>
      </c>
      <c r="AL200" s="171">
        <v>510383.91</v>
      </c>
      <c r="AM200" s="171">
        <v>499673.67</v>
      </c>
      <c r="AN200" s="171">
        <v>500390.23</v>
      </c>
      <c r="AO200" s="171">
        <v>533447.28</v>
      </c>
      <c r="AP200" s="171">
        <v>544300.97</v>
      </c>
      <c r="AQ200" s="171">
        <v>539238.41</v>
      </c>
      <c r="AR200" s="171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1">
        <v>642858.41</v>
      </c>
      <c r="AY200" s="171">
        <v>636845.93</v>
      </c>
      <c r="AZ200" s="171">
        <v>632866.38</v>
      </c>
      <c r="BA200" s="171">
        <v>613246.33</v>
      </c>
      <c r="BB200" s="171">
        <v>448321.42</v>
      </c>
      <c r="BC200" s="171">
        <v>442312.97</v>
      </c>
      <c r="BD200" s="171">
        <v>444262.98</v>
      </c>
      <c r="BE200" s="171">
        <v>457593.61</v>
      </c>
      <c r="BF200" s="171">
        <v>461900.61</v>
      </c>
      <c r="BG200" s="171">
        <v>479221.27</v>
      </c>
      <c r="BH200" s="171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  <c r="CI200" s="329"/>
    </row>
    <row r="201" ht="15.75" customHeight="1">
      <c r="A201" s="317" t="s">
        <v>2547</v>
      </c>
      <c r="B201" s="235" t="s">
        <v>3098</v>
      </c>
      <c r="C201" s="331" t="s">
        <v>3099</v>
      </c>
      <c r="D201" s="319" t="s">
        <v>18</v>
      </c>
      <c r="E201" s="319" t="s">
        <v>29</v>
      </c>
      <c r="F201" s="319" t="s">
        <v>78</v>
      </c>
      <c r="G201" s="44" t="str">
        <f t="shared" si="1"/>
        <v>Augusto</v>
      </c>
      <c r="H201" s="165" t="s">
        <v>107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79</v>
      </c>
      <c r="N201" s="334">
        <v>0.012</v>
      </c>
      <c r="O201" s="319" t="s">
        <v>2552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107</v>
      </c>
      <c r="S201" s="320">
        <v>43851.0</v>
      </c>
      <c r="T201" s="336" t="s">
        <v>3100</v>
      </c>
      <c r="U201" s="336" t="s">
        <v>3101</v>
      </c>
      <c r="V201" s="45" t="s">
        <v>108</v>
      </c>
      <c r="W201" s="13" t="s">
        <v>3102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119</v>
      </c>
      <c r="AC201" s="95"/>
      <c r="AD201" s="95" t="s">
        <v>2591</v>
      </c>
      <c r="AE201" s="171">
        <v>123988.76</v>
      </c>
      <c r="AF201" s="171">
        <v>121612.37</v>
      </c>
      <c r="AG201" s="171">
        <v>118512.14</v>
      </c>
      <c r="AH201" s="171">
        <v>119673.14</v>
      </c>
      <c r="AI201" s="171">
        <v>120205.86</v>
      </c>
      <c r="AJ201" s="171">
        <v>120917.9</v>
      </c>
      <c r="AK201" s="171">
        <v>122068.17</v>
      </c>
      <c r="AL201" s="171">
        <v>120544.68</v>
      </c>
      <c r="AM201" s="171">
        <v>119139.42</v>
      </c>
      <c r="AN201" s="171">
        <v>119192.71</v>
      </c>
      <c r="AO201" s="171">
        <v>122516.59</v>
      </c>
      <c r="AP201" s="171">
        <v>123014.43</v>
      </c>
      <c r="AQ201" s="171">
        <v>121625.12</v>
      </c>
      <c r="AR201" s="171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1">
        <v>123306.7</v>
      </c>
      <c r="AY201" s="171">
        <v>122274.52</v>
      </c>
      <c r="AZ201" s="171">
        <v>120941.88</v>
      </c>
      <c r="BA201" s="171">
        <v>120064.95</v>
      </c>
      <c r="BB201" s="171">
        <v>118930.37</v>
      </c>
      <c r="BC201" s="171">
        <v>117479.22</v>
      </c>
      <c r="BD201" s="171">
        <v>117927.52</v>
      </c>
      <c r="BE201" s="171">
        <v>119508.84</v>
      </c>
      <c r="BF201" s="171">
        <v>118565.11</v>
      </c>
      <c r="BG201" s="171">
        <v>120173.61</v>
      </c>
      <c r="BH201" s="171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  <c r="CI201" s="329"/>
    </row>
    <row r="202" ht="15.75" customHeight="1">
      <c r="A202" s="317" t="s">
        <v>2547</v>
      </c>
      <c r="B202" s="235" t="s">
        <v>3103</v>
      </c>
      <c r="C202" s="331" t="s">
        <v>3104</v>
      </c>
      <c r="D202" s="319" t="s">
        <v>2550</v>
      </c>
      <c r="E202" s="319" t="s">
        <v>29</v>
      </c>
      <c r="F202" s="319" t="s">
        <v>2551</v>
      </c>
      <c r="G202" s="44" t="str">
        <f t="shared" si="1"/>
        <v>Augusto</v>
      </c>
      <c r="H202" s="165" t="s">
        <v>147</v>
      </c>
      <c r="I202" s="51" t="s">
        <v>219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107</v>
      </c>
      <c r="S202" s="320">
        <v>43711.0</v>
      </c>
      <c r="T202" s="169" t="s">
        <v>2589</v>
      </c>
      <c r="U202" s="169"/>
      <c r="V202" s="45" t="s">
        <v>108</v>
      </c>
      <c r="W202" s="13" t="s">
        <v>3105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119</v>
      </c>
      <c r="AC202" s="95"/>
      <c r="AD202" s="95" t="s">
        <v>2623</v>
      </c>
      <c r="AE202" s="171">
        <v>165929.86</v>
      </c>
      <c r="AF202" s="171">
        <v>163935.2</v>
      </c>
      <c r="AG202" s="171">
        <v>156591.58</v>
      </c>
      <c r="AH202" s="171">
        <v>158470.37</v>
      </c>
      <c r="AI202" s="171">
        <v>159236.74</v>
      </c>
      <c r="AJ202" s="171">
        <v>160527.61</v>
      </c>
      <c r="AK202" s="171">
        <v>162055.5</v>
      </c>
      <c r="AL202" s="171">
        <v>160360.83</v>
      </c>
      <c r="AM202" s="171">
        <v>130848.0</v>
      </c>
      <c r="AN202" s="171">
        <v>131007.07</v>
      </c>
      <c r="AO202" s="171">
        <v>135043.82</v>
      </c>
      <c r="AP202" s="171">
        <v>109394.88</v>
      </c>
      <c r="AQ202" s="171">
        <v>108740.68</v>
      </c>
      <c r="AR202" s="171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1">
        <v>71115.14</v>
      </c>
      <c r="AY202" s="171">
        <v>20168.53</v>
      </c>
      <c r="AZ202" s="171">
        <v>20255.64</v>
      </c>
      <c r="BA202" s="171">
        <v>20317.9</v>
      </c>
      <c r="BB202" s="171">
        <v>20436.55</v>
      </c>
      <c r="BC202" s="171">
        <v>1009.59</v>
      </c>
      <c r="BD202" s="171">
        <v>1074.39</v>
      </c>
      <c r="BE202" s="171">
        <v>1084.89</v>
      </c>
      <c r="BF202" s="171">
        <v>1084.89</v>
      </c>
      <c r="BG202" s="171">
        <v>997.81</v>
      </c>
      <c r="BH202" s="171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  <c r="CI202" s="329"/>
    </row>
    <row r="203" ht="15.75" customHeight="1">
      <c r="A203" s="317" t="s">
        <v>2547</v>
      </c>
      <c r="B203" s="42" t="s">
        <v>3106</v>
      </c>
      <c r="C203" s="330" t="s">
        <v>3107</v>
      </c>
      <c r="D203" s="319" t="s">
        <v>18</v>
      </c>
      <c r="E203" s="319" t="s">
        <v>176</v>
      </c>
      <c r="F203" s="93" t="s">
        <v>197</v>
      </c>
      <c r="G203" s="44" t="str">
        <f t="shared" si="1"/>
        <v>Augusto</v>
      </c>
      <c r="H203" s="332" t="s">
        <v>186</v>
      </c>
      <c r="I203" s="46" t="s">
        <v>24</v>
      </c>
      <c r="J203" s="319" t="str">
        <f t="shared" si="2"/>
        <v>Não</v>
      </c>
      <c r="K203" s="320">
        <v>44333.0</v>
      </c>
      <c r="L203" s="333">
        <v>44966.0</v>
      </c>
      <c r="M203" s="95" t="s">
        <v>79</v>
      </c>
      <c r="N203" s="334">
        <v>0.012</v>
      </c>
      <c r="O203" s="319" t="s">
        <v>2552</v>
      </c>
      <c r="P203" s="322">
        <v>0.0</v>
      </c>
      <c r="Q203" s="93" t="str">
        <f>IFERROR(VLOOKUP(F203,'Cadastro de assessores'!A:B,2,FALSE),"Não Cadastrado")</f>
        <v>28411</v>
      </c>
      <c r="R203" s="319" t="s">
        <v>107</v>
      </c>
      <c r="S203" s="320">
        <v>44333.0</v>
      </c>
      <c r="T203" s="50"/>
      <c r="U203" s="323" t="s">
        <v>3108</v>
      </c>
      <c r="V203" s="45" t="s">
        <v>108</v>
      </c>
      <c r="W203" s="5" t="s">
        <v>3109</v>
      </c>
      <c r="X203" s="164" t="s">
        <v>180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119</v>
      </c>
      <c r="AC203" s="95"/>
      <c r="AD203" s="95" t="s">
        <v>2609</v>
      </c>
      <c r="AE203" s="191"/>
      <c r="AF203" s="191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326"/>
      <c r="AT203" s="326"/>
      <c r="AU203" s="326"/>
      <c r="AV203" s="191"/>
      <c r="AW203" s="191">
        <v>279854.79</v>
      </c>
      <c r="AX203" s="171">
        <v>281663.67</v>
      </c>
      <c r="AY203" s="171">
        <v>281003.55</v>
      </c>
      <c r="AZ203" s="171">
        <v>278983.29</v>
      </c>
      <c r="BA203" s="171">
        <v>278541.16</v>
      </c>
      <c r="BB203" s="171">
        <v>164239.18</v>
      </c>
      <c r="BC203" s="171">
        <v>276242.61</v>
      </c>
      <c r="BD203" s="171">
        <v>279080.0</v>
      </c>
      <c r="BE203" s="171">
        <v>265122.41</v>
      </c>
      <c r="BF203" s="171">
        <v>266571.96</v>
      </c>
      <c r="BG203" s="171">
        <v>274226.79</v>
      </c>
      <c r="BH203" s="171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  <c r="CI203" s="329"/>
    </row>
    <row r="204" ht="15.75" customHeight="1">
      <c r="A204" s="317" t="s">
        <v>2547</v>
      </c>
      <c r="B204" s="239" t="s">
        <v>3110</v>
      </c>
      <c r="C204" s="331" t="s">
        <v>3111</v>
      </c>
      <c r="D204" s="319" t="s">
        <v>2550</v>
      </c>
      <c r="E204" s="319" t="s">
        <v>29</v>
      </c>
      <c r="F204" s="95" t="s">
        <v>2551</v>
      </c>
      <c r="G204" s="44" t="str">
        <f t="shared" si="1"/>
        <v>Augusto</v>
      </c>
      <c r="H204" s="332" t="s">
        <v>186</v>
      </c>
      <c r="I204" s="46" t="s">
        <v>24</v>
      </c>
      <c r="J204" s="319" t="str">
        <f t="shared" si="2"/>
        <v>Não</v>
      </c>
      <c r="K204" s="333">
        <v>43853.0</v>
      </c>
      <c r="L204" s="333">
        <v>44592.0</v>
      </c>
      <c r="M204" s="95" t="s">
        <v>79</v>
      </c>
      <c r="N204" s="334">
        <v>0.012</v>
      </c>
      <c r="O204" s="319" t="s">
        <v>2552</v>
      </c>
      <c r="P204" s="322">
        <v>0.0</v>
      </c>
      <c r="Q204" s="95" t="str">
        <f>IFERROR(VLOOKUP(F204,'Cadastro de assessores'!A:B,2,FALSE),"Não Cadastrado")</f>
        <v>17573</v>
      </c>
      <c r="R204" s="95" t="s">
        <v>2563</v>
      </c>
      <c r="S204" s="333">
        <v>43853.0</v>
      </c>
      <c r="T204" s="169"/>
      <c r="U204" s="169"/>
      <c r="V204" s="45" t="s">
        <v>108</v>
      </c>
      <c r="W204" s="13" t="s">
        <v>3112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2580</v>
      </c>
      <c r="AE204" s="171">
        <v>143918.41</v>
      </c>
      <c r="AF204" s="171">
        <v>142068.18</v>
      </c>
      <c r="AG204" s="171">
        <v>136803.07</v>
      </c>
      <c r="AH204" s="171">
        <v>137950.59</v>
      </c>
      <c r="AI204" s="171">
        <v>138784.57</v>
      </c>
      <c r="AJ204" s="171">
        <v>139641.85</v>
      </c>
      <c r="AK204" s="171">
        <v>141269.87</v>
      </c>
      <c r="AL204" s="171">
        <v>139900.14</v>
      </c>
      <c r="AM204" s="337">
        <v>137756.03</v>
      </c>
      <c r="AN204" s="171">
        <v>115460.99</v>
      </c>
      <c r="AO204" s="171">
        <v>119158.38</v>
      </c>
      <c r="AP204" s="171">
        <v>108790.47</v>
      </c>
      <c r="AQ204" s="171">
        <v>79577.61</v>
      </c>
      <c r="AR204" s="171">
        <v>75643.34</v>
      </c>
      <c r="AS204" s="171">
        <v>74822.05</v>
      </c>
      <c r="AT204" s="171">
        <v>76770.15</v>
      </c>
      <c r="AU204" s="171">
        <v>76890.68</v>
      </c>
      <c r="AV204" s="171">
        <v>76763.15</v>
      </c>
      <c r="AW204" s="171">
        <v>77401.73</v>
      </c>
      <c r="AX204" s="171">
        <v>77184.2</v>
      </c>
      <c r="AY204" s="171">
        <v>77017.2</v>
      </c>
      <c r="AZ204" s="171">
        <v>72134.99</v>
      </c>
      <c r="BA204" s="171">
        <v>71731.24</v>
      </c>
      <c r="BB204" s="171">
        <v>71159.71</v>
      </c>
      <c r="BC204" s="171">
        <v>71233.3</v>
      </c>
      <c r="BD204" s="171">
        <v>71738.63</v>
      </c>
      <c r="BE204" s="171">
        <v>13386.01</v>
      </c>
      <c r="BF204" s="171">
        <v>0.0</v>
      </c>
      <c r="BG204" s="171">
        <v>0.0</v>
      </c>
      <c r="BH204" s="171">
        <v>0.0</v>
      </c>
      <c r="BI204" s="171" t="s">
        <v>2566</v>
      </c>
      <c r="BJ204" s="171">
        <v>0.0</v>
      </c>
      <c r="BK204" s="171" t="s">
        <v>2566</v>
      </c>
      <c r="BL204" s="171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  <c r="CI204" s="329"/>
    </row>
    <row r="205" ht="15.75" customHeight="1">
      <c r="A205" s="317" t="s">
        <v>2547</v>
      </c>
      <c r="B205" s="61" t="s">
        <v>3113</v>
      </c>
      <c r="C205" s="330" t="s">
        <v>3114</v>
      </c>
      <c r="D205" s="319" t="s">
        <v>18</v>
      </c>
      <c r="E205" s="319" t="s">
        <v>176</v>
      </c>
      <c r="F205" s="93" t="s">
        <v>197</v>
      </c>
      <c r="G205" s="44" t="str">
        <f t="shared" si="1"/>
        <v>Augusto</v>
      </c>
      <c r="H205" s="332" t="s">
        <v>186</v>
      </c>
      <c r="I205" s="46" t="s">
        <v>24</v>
      </c>
      <c r="J205" s="319" t="str">
        <f t="shared" si="2"/>
        <v>Não</v>
      </c>
      <c r="K205" s="72">
        <v>44439.0</v>
      </c>
      <c r="L205" s="379">
        <v>44865.0</v>
      </c>
      <c r="M205" s="95" t="s">
        <v>79</v>
      </c>
      <c r="N205" s="321">
        <v>0.012</v>
      </c>
      <c r="O205" s="319" t="s">
        <v>2552</v>
      </c>
      <c r="P205" s="322">
        <v>0.0</v>
      </c>
      <c r="Q205" s="93" t="str">
        <f>IFERROR(VLOOKUP(F205,'Cadastro de assessores'!A:B,2,FALSE),"Não Cadastrado")</f>
        <v>28411</v>
      </c>
      <c r="R205" s="319" t="s">
        <v>107</v>
      </c>
      <c r="S205" s="72">
        <v>44439.0</v>
      </c>
      <c r="T205" s="50"/>
      <c r="U205" s="50"/>
      <c r="V205" s="45" t="s">
        <v>108</v>
      </c>
      <c r="W205" s="5" t="s">
        <v>3115</v>
      </c>
      <c r="X205" s="164" t="s">
        <v>180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2609</v>
      </c>
      <c r="AE205" s="234"/>
      <c r="AF205" s="234"/>
      <c r="AG205" s="234"/>
      <c r="AH205" s="234"/>
      <c r="AI205" s="234"/>
      <c r="AJ205" s="234"/>
      <c r="AK205" s="234"/>
      <c r="AL205" s="234"/>
      <c r="AM205" s="234"/>
      <c r="AN205" s="234"/>
      <c r="AO205" s="234"/>
      <c r="AP205" s="337"/>
      <c r="AQ205" s="171"/>
      <c r="AR205" s="326"/>
      <c r="AS205" s="326"/>
      <c r="AT205" s="326"/>
      <c r="AU205" s="326"/>
      <c r="AV205" s="326"/>
      <c r="AW205" s="171"/>
      <c r="AX205" s="171"/>
      <c r="AY205" s="191"/>
      <c r="AZ205" s="191">
        <v>461389.09</v>
      </c>
      <c r="BA205" s="171">
        <v>399622.66</v>
      </c>
      <c r="BB205" s="171">
        <v>397304.91</v>
      </c>
      <c r="BC205" s="171">
        <v>400943.16</v>
      </c>
      <c r="BD205" s="171">
        <v>405108.37</v>
      </c>
      <c r="BE205" s="171">
        <v>406470.91</v>
      </c>
      <c r="BF205" s="171">
        <v>408802.34</v>
      </c>
      <c r="BG205" s="171">
        <v>0.0</v>
      </c>
      <c r="BH205" s="171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  <c r="CI205" s="329"/>
    </row>
    <row r="206" ht="15.75" customHeight="1">
      <c r="A206" s="317" t="s">
        <v>2547</v>
      </c>
      <c r="B206" s="235" t="s">
        <v>3116</v>
      </c>
      <c r="C206" s="219" t="s">
        <v>3117</v>
      </c>
      <c r="D206" s="319" t="s">
        <v>18</v>
      </c>
      <c r="E206" s="319" t="s">
        <v>176</v>
      </c>
      <c r="F206" s="319" t="s">
        <v>197</v>
      </c>
      <c r="G206" s="44" t="str">
        <f t="shared" si="1"/>
        <v>Augusto</v>
      </c>
      <c r="H206" s="165" t="s">
        <v>147</v>
      </c>
      <c r="I206" s="51" t="s">
        <v>219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4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107</v>
      </c>
      <c r="S206" s="320">
        <v>44280.0</v>
      </c>
      <c r="T206" s="169"/>
      <c r="U206" s="336" t="s">
        <v>3118</v>
      </c>
      <c r="V206" s="45" t="s">
        <v>108</v>
      </c>
      <c r="W206" s="13" t="s">
        <v>1350</v>
      </c>
      <c r="X206" s="164" t="s">
        <v>180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119</v>
      </c>
      <c r="AC206" s="95"/>
      <c r="AD206" s="95" t="s">
        <v>3119</v>
      </c>
      <c r="AE206" s="337"/>
      <c r="AF206" s="337"/>
      <c r="AG206" s="337"/>
      <c r="AH206" s="337"/>
      <c r="AI206" s="337"/>
      <c r="AJ206" s="337"/>
      <c r="AK206" s="337"/>
      <c r="AL206" s="337"/>
      <c r="AM206" s="337"/>
      <c r="AN206" s="337"/>
      <c r="AO206" s="337"/>
      <c r="AP206" s="337"/>
      <c r="AQ206" s="337"/>
      <c r="AR206" s="171"/>
      <c r="AS206" s="326"/>
      <c r="AT206" s="326">
        <v>419957.43</v>
      </c>
      <c r="AU206" s="326"/>
      <c r="AV206" s="326">
        <v>475937.26</v>
      </c>
      <c r="AW206" s="326">
        <v>411264.58</v>
      </c>
      <c r="AX206" s="171">
        <v>410623.98</v>
      </c>
      <c r="AY206" s="171">
        <v>436585.81</v>
      </c>
      <c r="AZ206" s="171">
        <v>453477.05</v>
      </c>
      <c r="BA206" s="171">
        <v>426197.67</v>
      </c>
      <c r="BB206" s="171">
        <v>450798.93</v>
      </c>
      <c r="BC206" s="171">
        <v>447279.08</v>
      </c>
      <c r="BD206" s="171">
        <v>419227.7</v>
      </c>
      <c r="BE206" s="171">
        <v>459636.61</v>
      </c>
      <c r="BF206" s="171">
        <v>482550.57</v>
      </c>
      <c r="BG206" s="171">
        <v>502193.02</v>
      </c>
      <c r="BH206" s="171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  <c r="CI206" s="329"/>
    </row>
    <row r="207" ht="15.75" customHeight="1">
      <c r="A207" s="317" t="s">
        <v>2547</v>
      </c>
      <c r="B207" s="239" t="s">
        <v>3120</v>
      </c>
      <c r="C207" s="331" t="s">
        <v>3121</v>
      </c>
      <c r="D207" s="319" t="s">
        <v>2659</v>
      </c>
      <c r="E207" s="319" t="s">
        <v>29</v>
      </c>
      <c r="F207" s="95" t="s">
        <v>2659</v>
      </c>
      <c r="G207" s="44" t="str">
        <f t="shared" si="1"/>
        <v>Augusto</v>
      </c>
      <c r="H207" s="332" t="s">
        <v>186</v>
      </c>
      <c r="I207" s="46" t="s">
        <v>24</v>
      </c>
      <c r="J207" s="319" t="str">
        <f t="shared" si="2"/>
        <v>Não</v>
      </c>
      <c r="K207" s="333">
        <v>43439.0</v>
      </c>
      <c r="L207" s="333">
        <v>44698.0</v>
      </c>
      <c r="M207" s="95" t="s">
        <v>190</v>
      </c>
      <c r="N207" s="334">
        <v>0.02</v>
      </c>
      <c r="O207" s="319" t="s">
        <v>191</v>
      </c>
      <c r="P207" s="322">
        <v>0.2</v>
      </c>
      <c r="Q207" s="95" t="str">
        <f>IFERROR(VLOOKUP(F207,'Cadastro de assessores'!A:B,2,FALSE),"Não Cadastrado")</f>
        <v>22400</v>
      </c>
      <c r="R207" s="95" t="s">
        <v>2563</v>
      </c>
      <c r="S207" s="333">
        <v>43439.0</v>
      </c>
      <c r="T207" s="169"/>
      <c r="U207" s="169"/>
      <c r="V207" s="45" t="s">
        <v>108</v>
      </c>
      <c r="W207" s="13" t="s">
        <v>3122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119</v>
      </c>
      <c r="AC207" s="95"/>
      <c r="AD207" s="95" t="s">
        <v>3123</v>
      </c>
      <c r="AE207" s="171">
        <v>182775.62</v>
      </c>
      <c r="AF207" s="171">
        <v>173346.31</v>
      </c>
      <c r="AG207" s="171">
        <v>133244.41</v>
      </c>
      <c r="AH207" s="171">
        <v>141451.07</v>
      </c>
      <c r="AI207" s="171">
        <v>146597.66</v>
      </c>
      <c r="AJ207" s="171">
        <v>153836.28</v>
      </c>
      <c r="AK207" s="171">
        <v>164345.03</v>
      </c>
      <c r="AL207" s="171">
        <v>157208.89</v>
      </c>
      <c r="AM207" s="171">
        <v>149315.32</v>
      </c>
      <c r="AN207" s="171">
        <v>154879.73</v>
      </c>
      <c r="AO207" s="171">
        <v>174608.18</v>
      </c>
      <c r="AP207" s="171">
        <v>180685.17</v>
      </c>
      <c r="AQ207" s="171">
        <v>175723.75</v>
      </c>
      <c r="AR207" s="171">
        <v>161983.6</v>
      </c>
      <c r="AS207" s="171">
        <v>156764.77</v>
      </c>
      <c r="AT207" s="171">
        <v>169952.44</v>
      </c>
      <c r="AU207" s="171">
        <v>170885.24</v>
      </c>
      <c r="AV207" s="171">
        <v>171897.11</v>
      </c>
      <c r="AW207" s="171">
        <v>178962.12</v>
      </c>
      <c r="AX207" s="171">
        <v>176351.7</v>
      </c>
      <c r="AY207" s="171">
        <v>171431.85</v>
      </c>
      <c r="AZ207" s="171">
        <v>164074.76</v>
      </c>
      <c r="BA207" s="171">
        <v>156484.56</v>
      </c>
      <c r="BB207" s="171">
        <v>147439.31</v>
      </c>
      <c r="BC207" s="171">
        <v>142928.48</v>
      </c>
      <c r="BD207" s="171">
        <v>143884.27</v>
      </c>
      <c r="BE207" s="171">
        <v>151924.5</v>
      </c>
      <c r="BF207" s="171">
        <v>153885.31</v>
      </c>
      <c r="BG207" s="171">
        <v>165125.26</v>
      </c>
      <c r="BH207" s="171">
        <v>66249.18</v>
      </c>
      <c r="BI207" s="339">
        <v>2768.95</v>
      </c>
      <c r="BJ207" s="171">
        <v>0.0</v>
      </c>
      <c r="BK207" s="171" t="s">
        <v>2566</v>
      </c>
      <c r="BL207" s="171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  <c r="CI207" s="329"/>
    </row>
    <row r="208" ht="15.75" customHeight="1">
      <c r="A208" s="317" t="s">
        <v>2547</v>
      </c>
      <c r="B208" s="42" t="s">
        <v>3124</v>
      </c>
      <c r="C208" s="366" t="s">
        <v>3125</v>
      </c>
      <c r="D208" s="319" t="s">
        <v>18</v>
      </c>
      <c r="E208" s="319" t="s">
        <v>176</v>
      </c>
      <c r="F208" s="95" t="s">
        <v>197</v>
      </c>
      <c r="G208" s="44" t="str">
        <f t="shared" si="1"/>
        <v>Augusto</v>
      </c>
      <c r="H208" s="332" t="s">
        <v>186</v>
      </c>
      <c r="I208" s="46" t="s">
        <v>24</v>
      </c>
      <c r="J208" s="319" t="str">
        <f t="shared" si="2"/>
        <v>Não</v>
      </c>
      <c r="K208" s="333">
        <v>44321.0</v>
      </c>
      <c r="L208" s="72">
        <v>44704.0</v>
      </c>
      <c r="M208" s="95" t="s">
        <v>269</v>
      </c>
      <c r="N208" s="334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2563</v>
      </c>
      <c r="S208" s="333">
        <v>44321.0</v>
      </c>
      <c r="T208" s="50"/>
      <c r="U208" s="50"/>
      <c r="V208" s="45" t="s">
        <v>108</v>
      </c>
      <c r="W208" s="5" t="s">
        <v>3126</v>
      </c>
      <c r="X208" s="164" t="s">
        <v>180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119</v>
      </c>
      <c r="AC208" s="95"/>
      <c r="AD208" s="95" t="s">
        <v>2609</v>
      </c>
      <c r="AE208" s="191"/>
      <c r="AF208" s="191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71"/>
      <c r="AS208" s="171"/>
      <c r="AT208" s="171"/>
      <c r="AU208" s="171"/>
      <c r="AV208" s="171"/>
      <c r="AW208" s="171">
        <v>151206.61</v>
      </c>
      <c r="AX208" s="171">
        <v>151283.68</v>
      </c>
      <c r="AY208" s="171">
        <v>150032.19</v>
      </c>
      <c r="AZ208" s="171">
        <v>147431.21</v>
      </c>
      <c r="BA208" s="171">
        <v>145842.89</v>
      </c>
      <c r="BB208" s="171">
        <v>141294.41</v>
      </c>
      <c r="BC208" s="171">
        <v>138914.26</v>
      </c>
      <c r="BD208" s="171">
        <v>138422.19</v>
      </c>
      <c r="BE208" s="171">
        <v>16300.55</v>
      </c>
      <c r="BF208" s="171">
        <v>16717.1</v>
      </c>
      <c r="BG208" s="171">
        <v>18166.2</v>
      </c>
      <c r="BH208" s="171">
        <v>17334.77</v>
      </c>
      <c r="BI208" s="339" t="s">
        <v>2566</v>
      </c>
      <c r="BJ208" s="171">
        <v>0.0</v>
      </c>
      <c r="BK208" s="171" t="s">
        <v>2566</v>
      </c>
      <c r="BL208" s="171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  <c r="CI208" s="329"/>
    </row>
    <row r="209" ht="15.75" customHeight="1">
      <c r="A209" s="317" t="s">
        <v>2547</v>
      </c>
      <c r="B209" s="317" t="s">
        <v>3127</v>
      </c>
      <c r="C209" s="318" t="s">
        <v>3128</v>
      </c>
      <c r="D209" s="319" t="s">
        <v>2659</v>
      </c>
      <c r="E209" s="319" t="s">
        <v>29</v>
      </c>
      <c r="F209" s="319" t="s">
        <v>2659</v>
      </c>
      <c r="G209" s="44" t="str">
        <f t="shared" si="1"/>
        <v>Breno</v>
      </c>
      <c r="H209" s="165" t="s">
        <v>107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190</v>
      </c>
      <c r="N209" s="321">
        <v>0.01</v>
      </c>
      <c r="O209" s="319" t="s">
        <v>2552</v>
      </c>
      <c r="P209" s="322">
        <v>0.0</v>
      </c>
      <c r="Q209" s="319" t="str">
        <f>IFERROR(VLOOKUP(F209,'Cadastro de assessores'!A:B,2,FALSE),"Não Cadastrado")</f>
        <v>22400</v>
      </c>
      <c r="R209" s="319" t="s">
        <v>107</v>
      </c>
      <c r="S209" s="320">
        <v>43405.0</v>
      </c>
      <c r="T209" s="169"/>
      <c r="U209" s="169"/>
      <c r="V209" s="45" t="s">
        <v>108</v>
      </c>
      <c r="W209" s="324" t="s">
        <v>3129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119</v>
      </c>
      <c r="AC209" s="95"/>
      <c r="AD209" s="319" t="s">
        <v>2591</v>
      </c>
      <c r="AE209" s="171">
        <v>130119.63</v>
      </c>
      <c r="AF209" s="171">
        <v>124467.12</v>
      </c>
      <c r="AG209" s="171">
        <v>94570.41</v>
      </c>
      <c r="AH209" s="171">
        <v>102615.72</v>
      </c>
      <c r="AI209" s="171">
        <v>106378.57</v>
      </c>
      <c r="AJ209" s="171">
        <v>112226.83</v>
      </c>
      <c r="AK209" s="171">
        <v>122061.52</v>
      </c>
      <c r="AL209" s="171">
        <v>117668.74</v>
      </c>
      <c r="AM209" s="171">
        <v>112869.38</v>
      </c>
      <c r="AN209" s="171">
        <v>116886.78</v>
      </c>
      <c r="AO209" s="171">
        <v>131989.14</v>
      </c>
      <c r="AP209" s="171">
        <v>137255.36</v>
      </c>
      <c r="AQ209" s="171">
        <v>133024.23</v>
      </c>
      <c r="AR209" s="171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1">
        <v>134164.76</v>
      </c>
      <c r="AY209" s="171">
        <v>130140.56</v>
      </c>
      <c r="AZ209" s="171">
        <v>124384.48</v>
      </c>
      <c r="BA209" s="171">
        <v>118061.1</v>
      </c>
      <c r="BB209" s="171">
        <v>110724.16</v>
      </c>
      <c r="BC209" s="171">
        <v>107396.27</v>
      </c>
      <c r="BD209" s="171">
        <v>108256.51</v>
      </c>
      <c r="BE209" s="171">
        <v>115039.1</v>
      </c>
      <c r="BF209" s="171">
        <v>116407.77</v>
      </c>
      <c r="BG209" s="171">
        <v>124687.41</v>
      </c>
      <c r="BH209" s="171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  <c r="CI209" s="329"/>
    </row>
    <row r="210" ht="15.75" customHeight="1">
      <c r="A210" s="317" t="s">
        <v>2547</v>
      </c>
      <c r="B210" s="42" t="s">
        <v>1361</v>
      </c>
      <c r="C210" s="330" t="s">
        <v>3130</v>
      </c>
      <c r="D210" s="319" t="s">
        <v>18</v>
      </c>
      <c r="E210" s="319" t="s">
        <v>176</v>
      </c>
      <c r="F210" s="319" t="s">
        <v>177</v>
      </c>
      <c r="G210" s="44" t="str">
        <f t="shared" si="1"/>
        <v>Augusto</v>
      </c>
      <c r="H210" s="332" t="s">
        <v>147</v>
      </c>
      <c r="I210" s="51" t="s">
        <v>219</v>
      </c>
      <c r="J210" s="319" t="str">
        <f t="shared" si="2"/>
        <v>Não</v>
      </c>
      <c r="K210" s="320">
        <v>44320.0</v>
      </c>
      <c r="L210" s="95"/>
      <c r="M210" s="95" t="s">
        <v>55</v>
      </c>
      <c r="N210" s="334">
        <v>0.007</v>
      </c>
      <c r="O210" s="319" t="s">
        <v>2552</v>
      </c>
      <c r="P210" s="322">
        <v>0.0</v>
      </c>
      <c r="Q210" s="319" t="str">
        <f>IFERROR(VLOOKUP(F210,'Cadastro de assessores'!A:B,2,FALSE),"Não Cadastrado")</f>
        <v>250</v>
      </c>
      <c r="R210" s="319" t="s">
        <v>107</v>
      </c>
      <c r="S210" s="320">
        <v>44320.0</v>
      </c>
      <c r="T210" s="63"/>
      <c r="U210" s="50" t="s">
        <v>3131</v>
      </c>
      <c r="V210" s="45" t="s">
        <v>108</v>
      </c>
      <c r="W210" s="5" t="s">
        <v>1364</v>
      </c>
      <c r="X210" s="164" t="s">
        <v>180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119</v>
      </c>
      <c r="AC210" s="95"/>
      <c r="AD210" s="95" t="s">
        <v>2609</v>
      </c>
      <c r="AE210" s="191"/>
      <c r="AF210" s="191"/>
      <c r="AG210" s="191"/>
      <c r="AH210" s="191"/>
      <c r="AI210" s="191"/>
      <c r="AJ210" s="191"/>
      <c r="AK210" s="191"/>
      <c r="AL210" s="191"/>
      <c r="AM210" s="191"/>
      <c r="AN210" s="191"/>
      <c r="AO210" s="191"/>
      <c r="AP210" s="191"/>
      <c r="AQ210" s="191"/>
      <c r="AR210" s="171"/>
      <c r="AS210" s="171"/>
      <c r="AT210" s="171"/>
      <c r="AU210" s="171"/>
      <c r="AV210" s="171"/>
      <c r="AW210" s="171">
        <v>690232.16</v>
      </c>
      <c r="AX210" s="171">
        <v>685502.16</v>
      </c>
      <c r="AY210" s="171">
        <v>678874.15</v>
      </c>
      <c r="AZ210" s="171">
        <v>666884.34</v>
      </c>
      <c r="BA210" s="171">
        <v>657461.94</v>
      </c>
      <c r="BB210" s="171">
        <v>643967.37</v>
      </c>
      <c r="BC210" s="171">
        <v>637842.22</v>
      </c>
      <c r="BD210" s="171">
        <v>615861.45</v>
      </c>
      <c r="BE210" s="171">
        <v>632848.48</v>
      </c>
      <c r="BF210" s="171">
        <v>637404.53</v>
      </c>
      <c r="BG210" s="171">
        <v>661193.19</v>
      </c>
      <c r="BH210" s="171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  <c r="CI210" s="329"/>
    </row>
    <row r="211" ht="15.75" customHeight="1">
      <c r="A211" s="317" t="s">
        <v>2547</v>
      </c>
      <c r="B211" s="156" t="s">
        <v>3132</v>
      </c>
      <c r="C211" s="43" t="s">
        <v>3133</v>
      </c>
      <c r="D211" s="324" t="s">
        <v>18</v>
      </c>
      <c r="E211" s="324" t="s">
        <v>29</v>
      </c>
      <c r="F211" s="44" t="s">
        <v>373</v>
      </c>
      <c r="G211" s="44" t="str">
        <f t="shared" si="1"/>
        <v>Augusto</v>
      </c>
      <c r="H211" s="332" t="s">
        <v>147</v>
      </c>
      <c r="I211" s="51" t="s">
        <v>219</v>
      </c>
      <c r="J211" s="319" t="str">
        <f t="shared" si="2"/>
        <v>Não</v>
      </c>
      <c r="K211" s="378">
        <v>45330.0</v>
      </c>
      <c r="L211" s="95"/>
      <c r="M211" s="93" t="s">
        <v>55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108</v>
      </c>
      <c r="W211" s="11" t="s">
        <v>3134</v>
      </c>
      <c r="X211" s="5" t="s">
        <v>152</v>
      </c>
      <c r="Y211" s="51" t="str">
        <f t="shared" si="3"/>
        <v>Inativo</v>
      </c>
      <c r="Z211" s="325"/>
      <c r="AA211" s="95"/>
      <c r="AB211" s="13" t="s">
        <v>119</v>
      </c>
      <c r="AC211" s="95"/>
      <c r="AD211" s="95"/>
      <c r="AE211" s="191"/>
      <c r="AF211" s="191"/>
      <c r="AG211" s="191"/>
      <c r="AH211" s="191"/>
      <c r="AI211" s="191"/>
      <c r="AJ211" s="191"/>
      <c r="AK211" s="191"/>
      <c r="AL211" s="191"/>
      <c r="AM211" s="191"/>
      <c r="AN211" s="191"/>
      <c r="AO211" s="191"/>
      <c r="AP211" s="191"/>
      <c r="AQ211" s="191"/>
      <c r="AR211" s="171"/>
      <c r="AS211" s="171"/>
      <c r="AT211" s="171"/>
      <c r="AU211" s="171"/>
      <c r="AV211" s="171"/>
      <c r="AW211" s="171"/>
      <c r="AX211" s="171"/>
      <c r="AY211" s="171"/>
      <c r="AZ211" s="171"/>
      <c r="BA211" s="171"/>
      <c r="BB211" s="171"/>
      <c r="BC211" s="171"/>
      <c r="BD211" s="171"/>
      <c r="BE211" s="171"/>
      <c r="BF211" s="171"/>
      <c r="BG211" s="171"/>
      <c r="BH211" s="171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  <c r="CI211" s="329"/>
    </row>
    <row r="212" ht="15.75" customHeight="1">
      <c r="A212" s="317" t="s">
        <v>2547</v>
      </c>
      <c r="B212" s="156" t="s">
        <v>3135</v>
      </c>
      <c r="C212" s="43" t="s">
        <v>3136</v>
      </c>
      <c r="D212" s="324" t="s">
        <v>18</v>
      </c>
      <c r="E212" s="324" t="s">
        <v>29</v>
      </c>
      <c r="F212" s="44" t="s">
        <v>373</v>
      </c>
      <c r="G212" s="44" t="str">
        <f t="shared" si="1"/>
        <v>Augusto</v>
      </c>
      <c r="H212" s="332" t="s">
        <v>147</v>
      </c>
      <c r="I212" s="51" t="s">
        <v>219</v>
      </c>
      <c r="J212" s="319" t="str">
        <f t="shared" si="2"/>
        <v>Não</v>
      </c>
      <c r="K212" s="378">
        <v>45331.0</v>
      </c>
      <c r="L212" s="95"/>
      <c r="M212" s="93" t="s">
        <v>55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369</v>
      </c>
      <c r="W212" s="11" t="s">
        <v>1248</v>
      </c>
      <c r="X212" s="5" t="s">
        <v>152</v>
      </c>
      <c r="Y212" s="51" t="str">
        <f t="shared" si="3"/>
        <v>Inativo</v>
      </c>
      <c r="Z212" s="325"/>
      <c r="AA212" s="95"/>
      <c r="AB212" s="13" t="s">
        <v>119</v>
      </c>
      <c r="AC212" s="95"/>
      <c r="AD212" s="95"/>
      <c r="AE212" s="191"/>
      <c r="AF212" s="191"/>
      <c r="AG212" s="191"/>
      <c r="AH212" s="191"/>
      <c r="AI212" s="191"/>
      <c r="AJ212" s="191"/>
      <c r="AK212" s="191"/>
      <c r="AL212" s="191"/>
      <c r="AM212" s="191"/>
      <c r="AN212" s="191"/>
      <c r="AO212" s="191"/>
      <c r="AP212" s="191"/>
      <c r="AQ212" s="191"/>
      <c r="AR212" s="171"/>
      <c r="AS212" s="171"/>
      <c r="AT212" s="171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1"/>
      <c r="BE212" s="171"/>
      <c r="BF212" s="171"/>
      <c r="BG212" s="171"/>
      <c r="BH212" s="171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  <c r="CI212" s="329"/>
    </row>
    <row r="213" ht="15.75" customHeight="1">
      <c r="A213" s="317" t="s">
        <v>2547</v>
      </c>
      <c r="B213" s="235" t="s">
        <v>1372</v>
      </c>
      <c r="C213" s="219" t="s">
        <v>3137</v>
      </c>
      <c r="D213" s="319" t="s">
        <v>18</v>
      </c>
      <c r="E213" s="319" t="s">
        <v>176</v>
      </c>
      <c r="F213" s="319" t="s">
        <v>177</v>
      </c>
      <c r="G213" s="44" t="str">
        <f t="shared" si="1"/>
        <v>Augusto</v>
      </c>
      <c r="H213" s="165" t="s">
        <v>147</v>
      </c>
      <c r="I213" s="51" t="s">
        <v>219</v>
      </c>
      <c r="J213" s="319" t="str">
        <f t="shared" si="2"/>
        <v>Sim</v>
      </c>
      <c r="K213" s="320">
        <v>44263.0</v>
      </c>
      <c r="L213" s="95"/>
      <c r="M213" s="95" t="s">
        <v>190</v>
      </c>
      <c r="N213" s="334">
        <v>0.025</v>
      </c>
      <c r="O213" s="319" t="s">
        <v>191</v>
      </c>
      <c r="P213" s="322">
        <v>0.2</v>
      </c>
      <c r="Q213" s="319" t="str">
        <f>IFERROR(VLOOKUP(F213,'Cadastro de assessores'!A:B,2,FALSE),"Não Cadastrado")</f>
        <v>250</v>
      </c>
      <c r="R213" s="319" t="s">
        <v>107</v>
      </c>
      <c r="S213" s="320">
        <v>44263.0</v>
      </c>
      <c r="T213" s="336" t="s">
        <v>3138</v>
      </c>
      <c r="U213" s="336" t="s">
        <v>3008</v>
      </c>
      <c r="V213" s="45" t="s">
        <v>108</v>
      </c>
      <c r="W213" s="13" t="s">
        <v>1374</v>
      </c>
      <c r="X213" s="164" t="s">
        <v>180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110</v>
      </c>
      <c r="AC213" s="95"/>
      <c r="AD213" s="95" t="s">
        <v>2609</v>
      </c>
      <c r="AE213" s="337"/>
      <c r="AF213" s="337"/>
      <c r="AG213" s="337"/>
      <c r="AH213" s="337"/>
      <c r="AI213" s="337"/>
      <c r="AJ213" s="337"/>
      <c r="AK213" s="337"/>
      <c r="AL213" s="337"/>
      <c r="AM213" s="337"/>
      <c r="AN213" s="337"/>
      <c r="AO213" s="337"/>
      <c r="AP213" s="171"/>
      <c r="AQ213" s="171"/>
      <c r="AR213" s="171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1">
        <v>2586014.64</v>
      </c>
      <c r="AY213" s="171">
        <v>2707709.32</v>
      </c>
      <c r="AZ213" s="171">
        <v>2577464.81</v>
      </c>
      <c r="BA213" s="171">
        <v>2454439.68</v>
      </c>
      <c r="BB213" s="171">
        <v>2452936.7</v>
      </c>
      <c r="BC213" s="171">
        <v>217475.8</v>
      </c>
      <c r="BD213" s="171">
        <v>217007.91</v>
      </c>
      <c r="BE213" s="171">
        <v>85493.4</v>
      </c>
      <c r="BF213" s="171">
        <v>2556196.42</v>
      </c>
      <c r="BG213" s="171">
        <v>2748796.12</v>
      </c>
      <c r="BH213" s="171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  <c r="CI213" s="329"/>
    </row>
    <row r="214" ht="15.75" customHeight="1">
      <c r="A214" s="317" t="s">
        <v>2547</v>
      </c>
      <c r="B214" s="42" t="s">
        <v>3139</v>
      </c>
      <c r="C214" s="330" t="s">
        <v>3140</v>
      </c>
      <c r="D214" s="319" t="s">
        <v>18</v>
      </c>
      <c r="E214" s="319" t="s">
        <v>176</v>
      </c>
      <c r="F214" s="319" t="s">
        <v>177</v>
      </c>
      <c r="G214" s="44" t="str">
        <f t="shared" si="1"/>
        <v>Augusto</v>
      </c>
      <c r="H214" s="165" t="s">
        <v>147</v>
      </c>
      <c r="I214" s="51" t="s">
        <v>219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4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107</v>
      </c>
      <c r="S214" s="320">
        <v>44290.0</v>
      </c>
      <c r="T214" s="50"/>
      <c r="U214" s="50" t="s">
        <v>3141</v>
      </c>
      <c r="V214" s="45" t="s">
        <v>108</v>
      </c>
      <c r="W214" s="5" t="s">
        <v>3142</v>
      </c>
      <c r="X214" s="13" t="s">
        <v>180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119</v>
      </c>
      <c r="AC214" s="95"/>
      <c r="AD214" s="95" t="s">
        <v>2596</v>
      </c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71"/>
      <c r="AS214" s="171"/>
      <c r="AT214" s="171"/>
      <c r="AU214" s="171"/>
      <c r="AV214" s="171"/>
      <c r="AW214" s="171">
        <v>215394.67</v>
      </c>
      <c r="AX214" s="171">
        <v>215119.33</v>
      </c>
      <c r="AY214" s="171">
        <v>213430.54</v>
      </c>
      <c r="AZ214" s="171">
        <v>229441.7</v>
      </c>
      <c r="BA214" s="171">
        <v>226727.37</v>
      </c>
      <c r="BB214" s="171">
        <v>220281.12</v>
      </c>
      <c r="BC214" s="171"/>
      <c r="BD214" s="171"/>
      <c r="BE214" s="171"/>
      <c r="BF214" s="171">
        <v>85990.73</v>
      </c>
      <c r="BG214" s="171">
        <v>86858.45</v>
      </c>
      <c r="BH214" s="171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  <c r="CI214" s="329"/>
    </row>
    <row r="215" ht="15.75" customHeight="1">
      <c r="A215" s="317" t="s">
        <v>2547</v>
      </c>
      <c r="B215" s="239" t="s">
        <v>3143</v>
      </c>
      <c r="C215" s="331" t="s">
        <v>3144</v>
      </c>
      <c r="D215" s="319" t="s">
        <v>2550</v>
      </c>
      <c r="E215" s="319" t="s">
        <v>29</v>
      </c>
      <c r="F215" s="95" t="s">
        <v>2562</v>
      </c>
      <c r="G215" s="44" t="str">
        <f t="shared" si="1"/>
        <v>Augusto</v>
      </c>
      <c r="H215" s="332" t="s">
        <v>186</v>
      </c>
      <c r="I215" s="46" t="s">
        <v>24</v>
      </c>
      <c r="J215" s="319" t="str">
        <f t="shared" si="2"/>
        <v>Não</v>
      </c>
      <c r="K215" s="333">
        <v>43567.0</v>
      </c>
      <c r="L215" s="338">
        <v>43782.0</v>
      </c>
      <c r="M215" s="95" t="s">
        <v>47</v>
      </c>
      <c r="N215" s="334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2563</v>
      </c>
      <c r="S215" s="333">
        <v>43567.0</v>
      </c>
      <c r="T215" s="323"/>
      <c r="U215" s="169"/>
      <c r="V215" s="45" t="s">
        <v>108</v>
      </c>
      <c r="W215" s="13" t="s">
        <v>3145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3123</v>
      </c>
      <c r="AE215" s="171">
        <v>0.0</v>
      </c>
      <c r="AF215" s="171">
        <v>0.0</v>
      </c>
      <c r="AG215" s="171">
        <v>0.0</v>
      </c>
      <c r="AH215" s="171">
        <v>0.0</v>
      </c>
      <c r="AI215" s="171">
        <v>0.0</v>
      </c>
      <c r="AJ215" s="171">
        <v>0.0</v>
      </c>
      <c r="AK215" s="171">
        <v>0.0</v>
      </c>
      <c r="AL215" s="171"/>
      <c r="AM215" s="171"/>
      <c r="AN215" s="171"/>
      <c r="AO215" s="171"/>
      <c r="AP215" s="171"/>
      <c r="AQ215" s="171"/>
      <c r="AR215" s="171"/>
      <c r="AS215" s="171"/>
      <c r="AT215" s="171"/>
      <c r="AU215" s="171"/>
      <c r="AV215" s="171"/>
      <c r="AW215" s="171"/>
      <c r="AX215" s="337"/>
      <c r="AY215" s="337"/>
      <c r="AZ215" s="337"/>
      <c r="BA215" s="171"/>
      <c r="BB215" s="171"/>
      <c r="BC215" s="171">
        <v>2375408.86</v>
      </c>
      <c r="BD215" s="171">
        <v>2397363.9</v>
      </c>
      <c r="BE215" s="171">
        <v>2529874.06</v>
      </c>
      <c r="BF215" s="171">
        <v>0.0</v>
      </c>
      <c r="BG215" s="171">
        <v>0.0</v>
      </c>
      <c r="BH215" s="171">
        <v>0.0</v>
      </c>
      <c r="BI215" s="171" t="s">
        <v>2566</v>
      </c>
      <c r="BJ215" s="171">
        <v>0.0</v>
      </c>
      <c r="BK215" s="171" t="s">
        <v>2566</v>
      </c>
      <c r="BL215" s="171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  <c r="CI215" s="329"/>
    </row>
    <row r="216" ht="15.75" customHeight="1">
      <c r="A216" s="317" t="s">
        <v>2547</v>
      </c>
      <c r="B216" s="235" t="s">
        <v>3146</v>
      </c>
      <c r="C216" s="331" t="s">
        <v>3147</v>
      </c>
      <c r="D216" s="319" t="s">
        <v>2550</v>
      </c>
      <c r="E216" s="319" t="s">
        <v>29</v>
      </c>
      <c r="F216" s="95" t="s">
        <v>2551</v>
      </c>
      <c r="G216" s="44" t="str">
        <f t="shared" si="1"/>
        <v>Augusto</v>
      </c>
      <c r="H216" s="332" t="s">
        <v>186</v>
      </c>
      <c r="I216" s="46" t="s">
        <v>24</v>
      </c>
      <c r="J216" s="319" t="str">
        <f t="shared" si="2"/>
        <v>Não</v>
      </c>
      <c r="K216" s="333">
        <v>43732.0</v>
      </c>
      <c r="L216" s="338">
        <v>44484.0</v>
      </c>
      <c r="M216" s="95" t="s">
        <v>47</v>
      </c>
      <c r="N216" s="334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2563</v>
      </c>
      <c r="S216" s="333">
        <v>43732.0</v>
      </c>
      <c r="T216" s="323"/>
      <c r="U216" s="169"/>
      <c r="V216" s="45" t="s">
        <v>108</v>
      </c>
      <c r="W216" s="13" t="s">
        <v>3148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2765</v>
      </c>
      <c r="AE216" s="171">
        <v>322375.53</v>
      </c>
      <c r="AF216" s="171">
        <v>319961.89</v>
      </c>
      <c r="AG216" s="171">
        <v>306772.49</v>
      </c>
      <c r="AH216" s="171">
        <v>311459.99</v>
      </c>
      <c r="AI216" s="171">
        <v>313476.94</v>
      </c>
      <c r="AJ216" s="171">
        <v>317530.16</v>
      </c>
      <c r="AK216" s="171">
        <v>287018.19</v>
      </c>
      <c r="AL216" s="171">
        <v>283865.38</v>
      </c>
      <c r="AM216" s="171">
        <v>280912.13</v>
      </c>
      <c r="AN216" s="171">
        <v>280961.52</v>
      </c>
      <c r="AO216" s="171">
        <v>151745.24</v>
      </c>
      <c r="AP216" s="171">
        <v>153039.26</v>
      </c>
      <c r="AQ216" s="171">
        <v>152138.43</v>
      </c>
      <c r="AR216" s="171">
        <v>149577.76</v>
      </c>
      <c r="AS216" s="171">
        <v>148566.25</v>
      </c>
      <c r="AT216" s="171">
        <v>150246.36</v>
      </c>
      <c r="AU216" s="171">
        <v>150996.33</v>
      </c>
      <c r="AV216" s="171">
        <v>150895.05</v>
      </c>
      <c r="AW216" s="171">
        <v>63729.48</v>
      </c>
      <c r="AX216" s="171">
        <v>24986.82</v>
      </c>
      <c r="AY216" s="171">
        <v>10555.55</v>
      </c>
      <c r="AZ216" s="171">
        <v>10604.3</v>
      </c>
      <c r="BA216" s="171">
        <v>146.69</v>
      </c>
      <c r="BB216" s="171"/>
      <c r="BC216" s="171"/>
      <c r="BD216" s="171"/>
      <c r="BE216" s="171"/>
      <c r="BF216" s="171">
        <v>0.0</v>
      </c>
      <c r="BG216" s="171">
        <v>0.0</v>
      </c>
      <c r="BH216" s="171">
        <v>0.0</v>
      </c>
      <c r="BI216" s="171" t="s">
        <v>2566</v>
      </c>
      <c r="BJ216" s="171">
        <v>0.0</v>
      </c>
      <c r="BK216" s="171" t="s">
        <v>2566</v>
      </c>
      <c r="BL216" s="171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  <c r="CI216" s="329"/>
    </row>
    <row r="217" ht="15.75" customHeight="1">
      <c r="A217" s="317" t="s">
        <v>2547</v>
      </c>
      <c r="B217" s="235" t="s">
        <v>3149</v>
      </c>
      <c r="C217" s="331" t="s">
        <v>3150</v>
      </c>
      <c r="D217" s="319" t="s">
        <v>18</v>
      </c>
      <c r="E217" s="319" t="s">
        <v>176</v>
      </c>
      <c r="F217" s="95" t="s">
        <v>197</v>
      </c>
      <c r="G217" s="44" t="str">
        <f t="shared" si="1"/>
        <v>Augusto</v>
      </c>
      <c r="H217" s="332" t="s">
        <v>186</v>
      </c>
      <c r="I217" s="46" t="s">
        <v>24</v>
      </c>
      <c r="J217" s="319" t="str">
        <f t="shared" si="2"/>
        <v>Não</v>
      </c>
      <c r="K217" s="333">
        <v>44440.0</v>
      </c>
      <c r="L217" s="333">
        <v>44658.0</v>
      </c>
      <c r="M217" s="95" t="s">
        <v>47</v>
      </c>
      <c r="N217" s="334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2563</v>
      </c>
      <c r="S217" s="333">
        <v>44440.0</v>
      </c>
      <c r="T217" s="50"/>
      <c r="U217" s="50"/>
      <c r="V217" s="45" t="s">
        <v>108</v>
      </c>
      <c r="W217" s="13" t="s">
        <v>3151</v>
      </c>
      <c r="X217" s="164" t="s">
        <v>180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119</v>
      </c>
      <c r="AC217" s="95"/>
      <c r="AD217" s="95" t="s">
        <v>2609</v>
      </c>
      <c r="AE217" s="234"/>
      <c r="AF217" s="234"/>
      <c r="AG217" s="234"/>
      <c r="AH217" s="234"/>
      <c r="AI217" s="234"/>
      <c r="AJ217" s="234"/>
      <c r="AK217" s="234"/>
      <c r="AL217" s="234"/>
      <c r="AM217" s="234"/>
      <c r="AN217" s="234"/>
      <c r="AO217" s="234"/>
      <c r="AP217" s="337"/>
      <c r="AQ217" s="171"/>
      <c r="AR217" s="171"/>
      <c r="AS217" s="171"/>
      <c r="AT217" s="171"/>
      <c r="AU217" s="171"/>
      <c r="AV217" s="171"/>
      <c r="AW217" s="171"/>
      <c r="AX217" s="171"/>
      <c r="AY217" s="191"/>
      <c r="AZ217" s="191">
        <v>77135.12</v>
      </c>
      <c r="BA217" s="171">
        <v>58974.13</v>
      </c>
      <c r="BB217" s="171">
        <v>57395.74</v>
      </c>
      <c r="BC217" s="171">
        <v>56955.97</v>
      </c>
      <c r="BD217" s="171">
        <v>57143.28</v>
      </c>
      <c r="BE217" s="171"/>
      <c r="BF217" s="171">
        <v>2.28</v>
      </c>
      <c r="BG217" s="171">
        <v>54.54</v>
      </c>
      <c r="BH217" s="171">
        <v>57.28</v>
      </c>
      <c r="BI217" s="339" t="s">
        <v>2566</v>
      </c>
      <c r="BJ217" s="171">
        <v>0.0</v>
      </c>
      <c r="BK217" s="171" t="s">
        <v>2566</v>
      </c>
      <c r="BL217" s="171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  <c r="CI217" s="329"/>
    </row>
    <row r="218" ht="15.75" customHeight="1">
      <c r="A218" s="317" t="s">
        <v>2547</v>
      </c>
      <c r="B218" s="235" t="s">
        <v>1410</v>
      </c>
      <c r="C218" s="219" t="s">
        <v>3152</v>
      </c>
      <c r="D218" s="319" t="s">
        <v>18</v>
      </c>
      <c r="E218" s="319" t="s">
        <v>176</v>
      </c>
      <c r="F218" s="319" t="s">
        <v>177</v>
      </c>
      <c r="G218" s="44" t="str">
        <f t="shared" si="1"/>
        <v>Augusto</v>
      </c>
      <c r="H218" s="165" t="s">
        <v>147</v>
      </c>
      <c r="I218" s="51" t="s">
        <v>219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4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107</v>
      </c>
      <c r="S218" s="320">
        <v>44273.0</v>
      </c>
      <c r="T218" s="169"/>
      <c r="U218" s="169"/>
      <c r="V218" s="45" t="s">
        <v>108</v>
      </c>
      <c r="W218" s="13" t="s">
        <v>1412</v>
      </c>
      <c r="X218" s="164" t="s">
        <v>180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119</v>
      </c>
      <c r="AC218" s="95"/>
      <c r="AD218" s="95" t="s">
        <v>2609</v>
      </c>
      <c r="AE218" s="337"/>
      <c r="AF218" s="337"/>
      <c r="AG218" s="337"/>
      <c r="AH218" s="337"/>
      <c r="AI218" s="337"/>
      <c r="AJ218" s="337"/>
      <c r="AK218" s="337"/>
      <c r="AL218" s="337"/>
      <c r="AM218" s="337"/>
      <c r="AN218" s="337"/>
      <c r="AO218" s="337"/>
      <c r="AP218" s="337"/>
      <c r="AQ218" s="337"/>
      <c r="AR218" s="171"/>
      <c r="AS218" s="326"/>
      <c r="AT218" s="326">
        <v>420366.43</v>
      </c>
      <c r="AU218" s="326"/>
      <c r="AV218" s="326">
        <v>426923.34</v>
      </c>
      <c r="AW218" s="326">
        <v>433809.53</v>
      </c>
      <c r="AX218" s="171">
        <v>685702.1</v>
      </c>
      <c r="AY218" s="171">
        <v>683692.1</v>
      </c>
      <c r="AZ218" s="171">
        <v>676882.01</v>
      </c>
      <c r="BA218" s="171">
        <v>657264.42</v>
      </c>
      <c r="BB218" s="171">
        <v>660774.57</v>
      </c>
      <c r="BC218" s="171">
        <v>656027.69</v>
      </c>
      <c r="BD218" s="171">
        <v>655017.03</v>
      </c>
      <c r="BE218" s="171">
        <v>666102.96</v>
      </c>
      <c r="BF218" s="171">
        <v>670385.14</v>
      </c>
      <c r="BG218" s="171">
        <v>698402.15</v>
      </c>
      <c r="BH218" s="171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  <c r="CI218" s="329"/>
    </row>
    <row r="219" ht="15.75" customHeight="1">
      <c r="A219" s="317" t="s">
        <v>2547</v>
      </c>
      <c r="B219" s="344" t="s">
        <v>3153</v>
      </c>
      <c r="C219" s="219" t="s">
        <v>3154</v>
      </c>
      <c r="D219" s="319" t="s">
        <v>18</v>
      </c>
      <c r="E219" s="319" t="s">
        <v>176</v>
      </c>
      <c r="F219" s="319" t="s">
        <v>2634</v>
      </c>
      <c r="G219" s="44" t="str">
        <f t="shared" si="1"/>
        <v>Augusto</v>
      </c>
      <c r="H219" s="332" t="s">
        <v>147</v>
      </c>
      <c r="I219" s="51" t="s">
        <v>219</v>
      </c>
      <c r="J219" s="319" t="str">
        <f t="shared" si="2"/>
        <v>Não</v>
      </c>
      <c r="K219" s="320">
        <v>44263.0</v>
      </c>
      <c r="L219" s="95"/>
      <c r="M219" s="95" t="s">
        <v>79</v>
      </c>
      <c r="N219" s="321">
        <v>0.012</v>
      </c>
      <c r="O219" s="319" t="s">
        <v>2552</v>
      </c>
      <c r="P219" s="322">
        <v>0.0</v>
      </c>
      <c r="Q219" s="319" t="str">
        <f>IFERROR(VLOOKUP(F219,'Cadastro de assessores'!A:B,2,FALSE),"Não Cadastrado")</f>
        <v>22066</v>
      </c>
      <c r="R219" s="319" t="s">
        <v>107</v>
      </c>
      <c r="S219" s="320">
        <v>44263.0</v>
      </c>
      <c r="T219" s="169"/>
      <c r="U219" s="169"/>
      <c r="V219" s="45" t="s">
        <v>108</v>
      </c>
      <c r="W219" s="324" t="s">
        <v>1427</v>
      </c>
      <c r="X219" s="164" t="s">
        <v>180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119</v>
      </c>
      <c r="AC219" s="95"/>
      <c r="AD219" s="95" t="s">
        <v>2609</v>
      </c>
      <c r="AE219" s="337"/>
      <c r="AF219" s="337"/>
      <c r="AG219" s="337"/>
      <c r="AH219" s="337"/>
      <c r="AI219" s="337"/>
      <c r="AJ219" s="337"/>
      <c r="AK219" s="337"/>
      <c r="AL219" s="337"/>
      <c r="AM219" s="337"/>
      <c r="AN219" s="337"/>
      <c r="AO219" s="337"/>
      <c r="AP219" s="337"/>
      <c r="AQ219" s="337"/>
      <c r="AR219" s="171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1">
        <v>205079.13</v>
      </c>
      <c r="AY219" s="171">
        <v>204181.77</v>
      </c>
      <c r="AZ219" s="171">
        <v>202553.34</v>
      </c>
      <c r="BA219" s="171">
        <v>201703.37</v>
      </c>
      <c r="BB219" s="171">
        <v>198738.9</v>
      </c>
      <c r="BC219" s="171">
        <v>197367.58</v>
      </c>
      <c r="BD219" s="171">
        <v>197381.15</v>
      </c>
      <c r="BE219" s="171">
        <v>199591.06</v>
      </c>
      <c r="BF219" s="171">
        <v>200788.67</v>
      </c>
      <c r="BG219" s="171">
        <v>206647.5</v>
      </c>
      <c r="BH219" s="171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  <c r="CI219" s="329"/>
    </row>
    <row r="220" ht="15.75" customHeight="1">
      <c r="A220" s="317" t="s">
        <v>2547</v>
      </c>
      <c r="B220" s="344" t="s">
        <v>3155</v>
      </c>
      <c r="C220" s="331" t="s">
        <v>3156</v>
      </c>
      <c r="D220" s="319" t="s">
        <v>18</v>
      </c>
      <c r="E220" s="319" t="s">
        <v>176</v>
      </c>
      <c r="F220" s="319" t="s">
        <v>177</v>
      </c>
      <c r="G220" s="44" t="str">
        <f t="shared" si="1"/>
        <v>Breno</v>
      </c>
      <c r="H220" s="332" t="s">
        <v>147</v>
      </c>
      <c r="I220" s="51" t="s">
        <v>693</v>
      </c>
      <c r="J220" s="319" t="str">
        <f t="shared" si="2"/>
        <v>Não</v>
      </c>
      <c r="K220" s="320">
        <v>44263.0</v>
      </c>
      <c r="L220" s="95"/>
      <c r="M220" s="95" t="s">
        <v>269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107</v>
      </c>
      <c r="S220" s="320">
        <v>44263.0</v>
      </c>
      <c r="T220" s="74"/>
      <c r="U220" s="169" t="s">
        <v>3157</v>
      </c>
      <c r="V220" s="45" t="s">
        <v>108</v>
      </c>
      <c r="W220" s="324" t="s">
        <v>1439</v>
      </c>
      <c r="X220" s="164" t="s">
        <v>180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119</v>
      </c>
      <c r="AC220" s="95"/>
      <c r="AD220" s="95" t="s">
        <v>2629</v>
      </c>
      <c r="AE220" s="337"/>
      <c r="AF220" s="337"/>
      <c r="AG220" s="337"/>
      <c r="AH220" s="337"/>
      <c r="AI220" s="337"/>
      <c r="AJ220" s="337"/>
      <c r="AK220" s="337"/>
      <c r="AL220" s="337"/>
      <c r="AM220" s="337"/>
      <c r="AN220" s="337"/>
      <c r="AO220" s="337"/>
      <c r="AP220" s="337"/>
      <c r="AQ220" s="337"/>
      <c r="AR220" s="171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1">
        <v>432356.5</v>
      </c>
      <c r="AY220" s="171">
        <v>737497.79</v>
      </c>
      <c r="AZ220" s="171">
        <v>718881.68</v>
      </c>
      <c r="BA220" s="171">
        <v>695661.45</v>
      </c>
      <c r="BB220" s="171">
        <v>658334.58</v>
      </c>
      <c r="BC220" s="171">
        <v>577746.66</v>
      </c>
      <c r="BD220" s="171">
        <v>574564.67</v>
      </c>
      <c r="BE220" s="171">
        <v>510337.87</v>
      </c>
      <c r="BF220" s="171">
        <v>512897.96</v>
      </c>
      <c r="BG220" s="171">
        <v>534743.84</v>
      </c>
      <c r="BH220" s="171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  <c r="CI220" s="329"/>
    </row>
    <row r="221" ht="15.75" customHeight="1">
      <c r="A221" s="317" t="s">
        <v>2547</v>
      </c>
      <c r="B221" s="344" t="s">
        <v>3155</v>
      </c>
      <c r="C221" s="380" t="s">
        <v>3158</v>
      </c>
      <c r="D221" s="347" t="s">
        <v>18</v>
      </c>
      <c r="E221" s="347" t="s">
        <v>176</v>
      </c>
      <c r="F221" s="346" t="s">
        <v>177</v>
      </c>
      <c r="G221" s="44" t="str">
        <f t="shared" si="1"/>
        <v>Augusto</v>
      </c>
      <c r="H221" s="359" t="s">
        <v>147</v>
      </c>
      <c r="I221" s="51" t="s">
        <v>693</v>
      </c>
      <c r="J221" s="319" t="str">
        <f t="shared" si="2"/>
        <v>Não</v>
      </c>
      <c r="K221" s="349">
        <v>44390.0</v>
      </c>
      <c r="L221" s="381"/>
      <c r="M221" s="350" t="s">
        <v>47</v>
      </c>
      <c r="N221" s="360">
        <v>0.015</v>
      </c>
      <c r="O221" s="360"/>
      <c r="P221" s="352"/>
      <c r="Q221" s="93" t="str">
        <f>IFERROR(VLOOKUP(F221,'Cadastro de assessores'!A:B,2,FALSE),"Não Cadastrado")</f>
        <v>250</v>
      </c>
      <c r="R221" s="319" t="s">
        <v>107</v>
      </c>
      <c r="S221" s="320">
        <v>44383.0</v>
      </c>
      <c r="T221" s="74"/>
      <c r="U221" s="169" t="s">
        <v>3159</v>
      </c>
      <c r="V221" s="45" t="s">
        <v>108</v>
      </c>
      <c r="W221" s="324" t="s">
        <v>1439</v>
      </c>
      <c r="X221" s="164" t="s">
        <v>180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119</v>
      </c>
      <c r="AC221" s="95"/>
      <c r="AD221" s="95" t="s">
        <v>2629</v>
      </c>
      <c r="AE221" s="191"/>
      <c r="AF221" s="191"/>
      <c r="AG221" s="191"/>
      <c r="AH221" s="191"/>
      <c r="AI221" s="191"/>
      <c r="AJ221" s="191"/>
      <c r="AK221" s="191"/>
      <c r="AL221" s="191"/>
      <c r="AM221" s="191"/>
      <c r="AN221" s="191"/>
      <c r="AO221" s="191"/>
      <c r="AP221" s="191"/>
      <c r="AQ221" s="171"/>
      <c r="AR221" s="326"/>
      <c r="AS221" s="326"/>
      <c r="AT221" s="326"/>
      <c r="AU221" s="326"/>
      <c r="AV221" s="326"/>
      <c r="AW221" s="171"/>
      <c r="AX221" s="191"/>
      <c r="AY221" s="171">
        <v>304738.17</v>
      </c>
      <c r="AZ221" s="171">
        <v>296183.23</v>
      </c>
      <c r="BA221" s="171">
        <v>287825.44</v>
      </c>
      <c r="BB221" s="171">
        <v>277633.8</v>
      </c>
      <c r="BC221" s="171">
        <v>176809.5</v>
      </c>
      <c r="BD221" s="171">
        <v>175846.29</v>
      </c>
      <c r="BE221" s="171">
        <v>265263.84</v>
      </c>
      <c r="BF221" s="171">
        <v>268988.36</v>
      </c>
      <c r="BG221" s="171">
        <v>280147.47</v>
      </c>
      <c r="BH221" s="171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  <c r="CI221" s="329"/>
    </row>
    <row r="222" ht="15.75" customHeight="1">
      <c r="A222" s="317" t="s">
        <v>2547</v>
      </c>
      <c r="B222" s="42" t="s">
        <v>41</v>
      </c>
      <c r="C222" s="71" t="s">
        <v>3160</v>
      </c>
      <c r="D222" s="319" t="s">
        <v>18</v>
      </c>
      <c r="E222" s="319" t="s">
        <v>176</v>
      </c>
      <c r="F222" s="319" t="s">
        <v>197</v>
      </c>
      <c r="G222" s="44" t="str">
        <f t="shared" si="1"/>
        <v>Augusto</v>
      </c>
      <c r="H222" s="165" t="s">
        <v>147</v>
      </c>
      <c r="I222" s="51" t="s">
        <v>219</v>
      </c>
      <c r="J222" s="319" t="str">
        <f t="shared" si="2"/>
        <v>Não</v>
      </c>
      <c r="K222" s="320">
        <v>44715.0</v>
      </c>
      <c r="L222" s="45"/>
      <c r="M222" s="95" t="s">
        <v>79</v>
      </c>
      <c r="N222" s="117">
        <v>0.012</v>
      </c>
      <c r="O222" s="319" t="s">
        <v>2552</v>
      </c>
      <c r="P222" s="322">
        <v>0.0</v>
      </c>
      <c r="Q222" s="319">
        <v>28411.0</v>
      </c>
      <c r="R222" s="319" t="s">
        <v>107</v>
      </c>
      <c r="S222" s="320">
        <v>44700.0</v>
      </c>
      <c r="T222" s="50"/>
      <c r="U222" s="50"/>
      <c r="V222" s="45" t="s">
        <v>108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119</v>
      </c>
      <c r="AC222" s="95"/>
      <c r="AD222" s="95" t="s">
        <v>2596</v>
      </c>
      <c r="AE222" s="191"/>
      <c r="AF222" s="191"/>
      <c r="AG222" s="191"/>
      <c r="AH222" s="191"/>
      <c r="AI222" s="191"/>
      <c r="AJ222" s="191"/>
      <c r="AK222" s="191"/>
      <c r="AL222" s="191"/>
      <c r="AM222" s="191"/>
      <c r="AN222" s="191"/>
      <c r="AO222" s="191"/>
      <c r="AP222" s="191"/>
      <c r="AQ222" s="191"/>
      <c r="AR222" s="171"/>
      <c r="AS222" s="326"/>
      <c r="AT222" s="326"/>
      <c r="AU222" s="326"/>
      <c r="AV222" s="326"/>
      <c r="AW222" s="326"/>
      <c r="AX222" s="171"/>
      <c r="AY222" s="171"/>
      <c r="AZ222" s="171"/>
      <c r="BA222" s="171"/>
      <c r="BB222" s="171"/>
      <c r="BC222" s="171"/>
      <c r="BD222" s="171"/>
      <c r="BE222" s="171"/>
      <c r="BF222" s="171"/>
      <c r="BG222" s="171"/>
      <c r="BH222" s="171"/>
      <c r="BI222" s="365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  <c r="CI222" s="329"/>
    </row>
    <row r="223" ht="15.75" customHeight="1">
      <c r="A223" s="317" t="s">
        <v>2547</v>
      </c>
      <c r="B223" s="42" t="s">
        <v>3161</v>
      </c>
      <c r="C223" s="330" t="s">
        <v>3162</v>
      </c>
      <c r="D223" s="319" t="s">
        <v>18</v>
      </c>
      <c r="E223" s="319" t="s">
        <v>176</v>
      </c>
      <c r="F223" s="319" t="s">
        <v>177</v>
      </c>
      <c r="G223" s="44" t="str">
        <f t="shared" si="1"/>
        <v>Augusto</v>
      </c>
      <c r="H223" s="165" t="s">
        <v>147</v>
      </c>
      <c r="I223" s="51" t="s">
        <v>219</v>
      </c>
      <c r="J223" s="319" t="str">
        <f t="shared" si="2"/>
        <v>Não</v>
      </c>
      <c r="K223" s="320">
        <v>44298.0</v>
      </c>
      <c r="L223" s="45"/>
      <c r="M223" s="95" t="s">
        <v>55</v>
      </c>
      <c r="N223" s="117">
        <v>0.007</v>
      </c>
      <c r="O223" s="319" t="s">
        <v>2552</v>
      </c>
      <c r="P223" s="322">
        <v>0.0</v>
      </c>
      <c r="Q223" s="319" t="str">
        <f>IFERROR(VLOOKUP(F223,'Cadastro de assessores'!A:B,2,FALSE),"Não Cadastrado")</f>
        <v>250</v>
      </c>
      <c r="R223" s="319" t="s">
        <v>107</v>
      </c>
      <c r="S223" s="320">
        <v>44257.0</v>
      </c>
      <c r="T223" s="50"/>
      <c r="U223" s="323" t="s">
        <v>3163</v>
      </c>
      <c r="V223" s="45" t="s">
        <v>108</v>
      </c>
      <c r="W223" s="5" t="s">
        <v>3164</v>
      </c>
      <c r="X223" s="164" t="s">
        <v>180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119</v>
      </c>
      <c r="AC223" s="95"/>
      <c r="AD223" s="95" t="s">
        <v>3039</v>
      </c>
      <c r="AE223" s="191"/>
      <c r="AF223" s="191"/>
      <c r="AG223" s="191"/>
      <c r="AH223" s="191"/>
      <c r="AI223" s="191"/>
      <c r="AJ223" s="191"/>
      <c r="AK223" s="191"/>
      <c r="AL223" s="191"/>
      <c r="AM223" s="191"/>
      <c r="AN223" s="191"/>
      <c r="AO223" s="191"/>
      <c r="AP223" s="191"/>
      <c r="AQ223" s="191"/>
      <c r="AR223" s="171"/>
      <c r="AS223" s="326"/>
      <c r="AT223" s="326"/>
      <c r="AU223" s="326"/>
      <c r="AV223" s="326"/>
      <c r="AW223" s="326">
        <v>298278.75</v>
      </c>
      <c r="AX223" s="171">
        <v>297313.4</v>
      </c>
      <c r="AY223" s="171">
        <v>321981.8</v>
      </c>
      <c r="AZ223" s="171">
        <v>314985.39</v>
      </c>
      <c r="BA223" s="171">
        <v>307278.34</v>
      </c>
      <c r="BB223" s="171">
        <v>291979.48</v>
      </c>
      <c r="BC223" s="171">
        <v>286200.7</v>
      </c>
      <c r="BD223" s="171">
        <v>287252.14</v>
      </c>
      <c r="BE223" s="171">
        <v>293582.47</v>
      </c>
      <c r="BF223" s="171">
        <v>296191.68</v>
      </c>
      <c r="BG223" s="171">
        <v>308726.59</v>
      </c>
      <c r="BH223" s="171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  <c r="CI223" s="329"/>
    </row>
    <row r="224" ht="15.75" customHeight="1">
      <c r="A224" s="317" t="s">
        <v>2547</v>
      </c>
      <c r="B224" s="317" t="s">
        <v>3165</v>
      </c>
      <c r="C224" s="318" t="s">
        <v>3166</v>
      </c>
      <c r="D224" s="319" t="s">
        <v>2550</v>
      </c>
      <c r="E224" s="319" t="s">
        <v>29</v>
      </c>
      <c r="F224" s="319" t="s">
        <v>2551</v>
      </c>
      <c r="G224" s="44" t="str">
        <f t="shared" si="1"/>
        <v>Augusto</v>
      </c>
      <c r="H224" s="165" t="s">
        <v>147</v>
      </c>
      <c r="I224" s="51" t="s">
        <v>219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107</v>
      </c>
      <c r="S224" s="320">
        <v>43591.0</v>
      </c>
      <c r="T224" s="97"/>
      <c r="U224" s="169" t="s">
        <v>3167</v>
      </c>
      <c r="V224" s="45" t="s">
        <v>108</v>
      </c>
      <c r="W224" s="324" t="s">
        <v>3168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119</v>
      </c>
      <c r="AC224" s="95"/>
      <c r="AD224" s="95" t="s">
        <v>2565</v>
      </c>
      <c r="AE224" s="171">
        <v>553586.46</v>
      </c>
      <c r="AF224" s="171">
        <v>545252.55</v>
      </c>
      <c r="AG224" s="171">
        <v>508622.11</v>
      </c>
      <c r="AH224" s="171">
        <v>519787.21</v>
      </c>
      <c r="AI224" s="171">
        <v>526530.54</v>
      </c>
      <c r="AJ224" s="171">
        <v>532642.71</v>
      </c>
      <c r="AK224" s="171">
        <v>439504.16</v>
      </c>
      <c r="AL224" s="171">
        <v>374075.64</v>
      </c>
      <c r="AM224" s="171">
        <v>368954.56</v>
      </c>
      <c r="AN224" s="171">
        <v>367894.44</v>
      </c>
      <c r="AO224" s="171">
        <v>386077.57</v>
      </c>
      <c r="AP224" s="171">
        <v>393359.97</v>
      </c>
      <c r="AQ224" s="171">
        <v>389144.61</v>
      </c>
      <c r="AR224" s="171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1">
        <v>391322.02</v>
      </c>
      <c r="AY224" s="171">
        <v>387675.05</v>
      </c>
      <c r="AZ224" s="171">
        <v>381092.72</v>
      </c>
      <c r="BA224" s="171">
        <v>344948.39</v>
      </c>
      <c r="BB224" s="171">
        <v>363925.82</v>
      </c>
      <c r="BC224" s="171">
        <v>223231.68</v>
      </c>
      <c r="BD224" s="171">
        <v>204541.03</v>
      </c>
      <c r="BE224" s="171">
        <v>210511.46</v>
      </c>
      <c r="BF224" s="171">
        <v>177265.3</v>
      </c>
      <c r="BG224" s="171">
        <v>158160.65</v>
      </c>
      <c r="BH224" s="171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  <c r="CI224" s="329"/>
    </row>
    <row r="225" ht="15.75" customHeight="1">
      <c r="A225" s="317" t="s">
        <v>2547</v>
      </c>
      <c r="B225" s="235" t="s">
        <v>1488</v>
      </c>
      <c r="C225" s="71" t="s">
        <v>3169</v>
      </c>
      <c r="D225" s="319" t="s">
        <v>18</v>
      </c>
      <c r="E225" s="319" t="s">
        <v>29</v>
      </c>
      <c r="F225" s="319" t="s">
        <v>3170</v>
      </c>
      <c r="G225" s="44" t="str">
        <f t="shared" si="1"/>
        <v>Augusto</v>
      </c>
      <c r="H225" s="165" t="s">
        <v>147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55</v>
      </c>
      <c r="N225" s="321">
        <v>0.012</v>
      </c>
      <c r="O225" s="319" t="s">
        <v>2552</v>
      </c>
      <c r="P225" s="322">
        <v>0.0</v>
      </c>
      <c r="Q225" s="319" t="s">
        <v>3171</v>
      </c>
      <c r="R225" s="319"/>
      <c r="S225" s="320"/>
      <c r="T225" s="169"/>
      <c r="U225" s="169"/>
      <c r="V225" s="45" t="s">
        <v>108</v>
      </c>
      <c r="W225" s="13" t="s">
        <v>1490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119</v>
      </c>
      <c r="AC225" s="95"/>
      <c r="AD225" s="95"/>
      <c r="AE225" s="171"/>
      <c r="AF225" s="171"/>
      <c r="AG225" s="171"/>
      <c r="AH225" s="171"/>
      <c r="AI225" s="171"/>
      <c r="AJ225" s="171"/>
      <c r="AK225" s="171"/>
      <c r="AL225" s="171"/>
      <c r="AM225" s="171"/>
      <c r="AN225" s="171"/>
      <c r="AO225" s="171"/>
      <c r="AP225" s="171"/>
      <c r="AQ225" s="171"/>
      <c r="AR225" s="171"/>
      <c r="AS225" s="326"/>
      <c r="AT225" s="326"/>
      <c r="AU225" s="326"/>
      <c r="AV225" s="326"/>
      <c r="AW225" s="326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  <c r="CI225" s="329"/>
    </row>
    <row r="226" ht="15.75" customHeight="1">
      <c r="A226" s="317" t="s">
        <v>2547</v>
      </c>
      <c r="B226" s="368" t="s">
        <v>3172</v>
      </c>
      <c r="C226" s="137" t="s">
        <v>3173</v>
      </c>
      <c r="D226" s="324" t="s">
        <v>18</v>
      </c>
      <c r="E226" s="324" t="s">
        <v>29</v>
      </c>
      <c r="F226" s="324" t="s">
        <v>2605</v>
      </c>
      <c r="G226" s="44" t="str">
        <f t="shared" si="1"/>
        <v>Augusto</v>
      </c>
      <c r="H226" s="332" t="s">
        <v>3174</v>
      </c>
      <c r="I226" s="51" t="s">
        <v>24</v>
      </c>
      <c r="J226" s="319" t="str">
        <f t="shared" si="2"/>
        <v>Não</v>
      </c>
      <c r="K226" s="378">
        <v>45414.0</v>
      </c>
      <c r="L226" s="95"/>
      <c r="M226" s="13" t="s">
        <v>55</v>
      </c>
      <c r="N226" s="382">
        <v>0.01</v>
      </c>
      <c r="O226" s="324" t="s">
        <v>2552</v>
      </c>
      <c r="P226" s="383">
        <v>0.0</v>
      </c>
      <c r="Q226" s="319"/>
      <c r="R226" s="319"/>
      <c r="S226" s="320"/>
      <c r="T226" s="169"/>
      <c r="U226" s="169"/>
      <c r="V226" s="24" t="s">
        <v>108</v>
      </c>
      <c r="W226" s="23" t="s">
        <v>3175</v>
      </c>
      <c r="X226" s="13" t="s">
        <v>791</v>
      </c>
      <c r="Y226" s="51" t="str">
        <f t="shared" si="3"/>
        <v>Inativo</v>
      </c>
      <c r="Z226" s="131" t="s">
        <v>75</v>
      </c>
      <c r="AA226" s="95"/>
      <c r="AB226" s="13"/>
      <c r="AC226" s="95"/>
      <c r="AD226" s="95"/>
      <c r="AE226" s="171"/>
      <c r="AF226" s="171"/>
      <c r="AG226" s="171"/>
      <c r="AH226" s="171"/>
      <c r="AI226" s="171"/>
      <c r="AJ226" s="171"/>
      <c r="AK226" s="171"/>
      <c r="AL226" s="171"/>
      <c r="AM226" s="171"/>
      <c r="AN226" s="171"/>
      <c r="AO226" s="171"/>
      <c r="AP226" s="171"/>
      <c r="AQ226" s="171"/>
      <c r="AR226" s="171"/>
      <c r="AS226" s="326"/>
      <c r="AT226" s="326"/>
      <c r="AU226" s="326"/>
      <c r="AV226" s="326"/>
      <c r="AW226" s="326"/>
      <c r="AX226" s="171"/>
      <c r="AY226" s="171"/>
      <c r="AZ226" s="171"/>
      <c r="BA226" s="171"/>
      <c r="BB226" s="171"/>
      <c r="BC226" s="171"/>
      <c r="BD226" s="171"/>
      <c r="BE226" s="171"/>
      <c r="BF226" s="171"/>
      <c r="BG226" s="171"/>
      <c r="BH226" s="171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  <c r="CI226" s="329"/>
    </row>
    <row r="227" ht="15.75" customHeight="1">
      <c r="A227" s="317" t="s">
        <v>2547</v>
      </c>
      <c r="B227" s="239" t="s">
        <v>3176</v>
      </c>
      <c r="C227" s="331" t="s">
        <v>3177</v>
      </c>
      <c r="D227" s="319" t="s">
        <v>18</v>
      </c>
      <c r="E227" s="319" t="s">
        <v>176</v>
      </c>
      <c r="F227" s="95" t="s">
        <v>197</v>
      </c>
      <c r="G227" s="44" t="str">
        <f t="shared" si="1"/>
        <v>Augusto</v>
      </c>
      <c r="H227" s="332" t="s">
        <v>186</v>
      </c>
      <c r="I227" s="46" t="s">
        <v>24</v>
      </c>
      <c r="J227" s="319" t="str">
        <f t="shared" si="2"/>
        <v>Não</v>
      </c>
      <c r="K227" s="333">
        <v>44600.0</v>
      </c>
      <c r="L227" s="72">
        <v>44783.0</v>
      </c>
      <c r="M227" s="95" t="s">
        <v>79</v>
      </c>
      <c r="N227" s="334">
        <v>0.012</v>
      </c>
      <c r="O227" s="319" t="s">
        <v>2552</v>
      </c>
      <c r="P227" s="322">
        <v>0.0</v>
      </c>
      <c r="Q227" s="95" t="str">
        <f>IFERROR(VLOOKUP(F227,'Cadastro de assessores'!A:B,2,FALSE),"Não Cadastrado")</f>
        <v>28411</v>
      </c>
      <c r="R227" s="95" t="s">
        <v>2563</v>
      </c>
      <c r="S227" s="333">
        <v>44600.0</v>
      </c>
      <c r="T227" s="169"/>
      <c r="U227" s="169"/>
      <c r="V227" s="45" t="s">
        <v>108</v>
      </c>
      <c r="W227" s="13" t="s">
        <v>3178</v>
      </c>
      <c r="X227" s="164" t="s">
        <v>180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119</v>
      </c>
      <c r="AC227" s="95"/>
      <c r="AD227" s="95" t="s">
        <v>2609</v>
      </c>
      <c r="AE227" s="171"/>
      <c r="AF227" s="171"/>
      <c r="AG227" s="171"/>
      <c r="AH227" s="171"/>
      <c r="AI227" s="171"/>
      <c r="AJ227" s="171"/>
      <c r="AK227" s="171"/>
      <c r="AL227" s="171"/>
      <c r="AM227" s="171"/>
      <c r="AN227" s="171"/>
      <c r="AO227" s="171"/>
      <c r="AP227" s="171"/>
      <c r="AQ227" s="171"/>
      <c r="AR227" s="171"/>
      <c r="AS227" s="171"/>
      <c r="AT227" s="171"/>
      <c r="AU227" s="171"/>
      <c r="AV227" s="171"/>
      <c r="AW227" s="171"/>
      <c r="AX227" s="171"/>
      <c r="AY227" s="171"/>
      <c r="AZ227" s="171"/>
      <c r="BA227" s="171"/>
      <c r="BB227" s="171"/>
      <c r="BC227" s="171"/>
      <c r="BD227" s="171"/>
      <c r="BE227" s="171"/>
      <c r="BF227" s="171">
        <v>277841.27</v>
      </c>
      <c r="BG227" s="171">
        <v>285601.52</v>
      </c>
      <c r="BH227" s="171">
        <v>283547.6</v>
      </c>
      <c r="BI227" s="171">
        <v>284163.3</v>
      </c>
      <c r="BJ227" s="171">
        <v>283635.31</v>
      </c>
      <c r="BK227" s="171">
        <v>111338.29</v>
      </c>
      <c r="BL227" s="171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  <c r="CI227" s="329"/>
    </row>
    <row r="228" ht="15.75" customHeight="1">
      <c r="A228" s="317" t="s">
        <v>2547</v>
      </c>
      <c r="B228" s="239" t="s">
        <v>3179</v>
      </c>
      <c r="C228" s="331" t="s">
        <v>3180</v>
      </c>
      <c r="D228" s="319" t="s">
        <v>2550</v>
      </c>
      <c r="E228" s="319" t="s">
        <v>29</v>
      </c>
      <c r="F228" s="95" t="s">
        <v>2562</v>
      </c>
      <c r="G228" s="44" t="str">
        <f t="shared" si="1"/>
        <v>Augusto</v>
      </c>
      <c r="H228" s="332" t="s">
        <v>186</v>
      </c>
      <c r="I228" s="46" t="s">
        <v>24</v>
      </c>
      <c r="J228" s="319" t="str">
        <f t="shared" si="2"/>
        <v>Não</v>
      </c>
      <c r="K228" s="95" t="s">
        <v>2599</v>
      </c>
      <c r="L228" s="338">
        <v>44484.0</v>
      </c>
      <c r="M228" s="95" t="s">
        <v>79</v>
      </c>
      <c r="N228" s="334">
        <v>0.005</v>
      </c>
      <c r="O228" s="319" t="s">
        <v>2552</v>
      </c>
      <c r="P228" s="322">
        <v>0.0</v>
      </c>
      <c r="Q228" s="95" t="str">
        <f>IFERROR(VLOOKUP(F228,'Cadastro de assessores'!A:B,2,FALSE),"Não Cadastrado")</f>
        <v>2971</v>
      </c>
      <c r="R228" s="95" t="s">
        <v>2563</v>
      </c>
      <c r="S228" s="95" t="s">
        <v>2600</v>
      </c>
      <c r="T228" s="169"/>
      <c r="U228" s="169"/>
      <c r="V228" s="45" t="s">
        <v>369</v>
      </c>
      <c r="W228" s="13" t="s">
        <v>3181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3182</v>
      </c>
      <c r="AE228" s="171">
        <v>0.0</v>
      </c>
      <c r="AF228" s="171">
        <v>0.0</v>
      </c>
      <c r="AG228" s="171">
        <v>0.0</v>
      </c>
      <c r="AH228" s="171">
        <v>0.0</v>
      </c>
      <c r="AI228" s="171">
        <v>0.0</v>
      </c>
      <c r="AJ228" s="171">
        <v>0.0</v>
      </c>
      <c r="AK228" s="171">
        <v>0.0</v>
      </c>
      <c r="AL228" s="171"/>
      <c r="AM228" s="171"/>
      <c r="AN228" s="171"/>
      <c r="AO228" s="171"/>
      <c r="AP228" s="171"/>
      <c r="AQ228" s="171"/>
      <c r="AR228" s="171"/>
      <c r="AS228" s="171"/>
      <c r="AT228" s="171"/>
      <c r="AU228" s="171"/>
      <c r="AV228" s="171"/>
      <c r="AW228" s="171"/>
      <c r="AX228" s="337"/>
      <c r="AY228" s="337"/>
      <c r="AZ228" s="337"/>
      <c r="BA228" s="171"/>
      <c r="BB228" s="171"/>
      <c r="BC228" s="171"/>
      <c r="BD228" s="171"/>
      <c r="BE228" s="171"/>
      <c r="BF228" s="171">
        <v>0.0</v>
      </c>
      <c r="BG228" s="171">
        <v>0.0</v>
      </c>
      <c r="BH228" s="171">
        <v>0.0</v>
      </c>
      <c r="BI228" s="171" t="s">
        <v>2566</v>
      </c>
      <c r="BJ228" s="171">
        <v>0.0</v>
      </c>
      <c r="BK228" s="171" t="s">
        <v>2566</v>
      </c>
      <c r="BL228" s="171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  <c r="CI228" s="329"/>
    </row>
    <row r="229" ht="15.75" customHeight="1">
      <c r="A229" s="317" t="s">
        <v>2547</v>
      </c>
      <c r="B229" s="239" t="s">
        <v>3183</v>
      </c>
      <c r="C229" s="331" t="s">
        <v>3184</v>
      </c>
      <c r="D229" s="319" t="s">
        <v>2550</v>
      </c>
      <c r="E229" s="319" t="s">
        <v>29</v>
      </c>
      <c r="F229" s="95" t="s">
        <v>2562</v>
      </c>
      <c r="G229" s="44" t="str">
        <f t="shared" si="1"/>
        <v>Augusto</v>
      </c>
      <c r="H229" s="332" t="s">
        <v>186</v>
      </c>
      <c r="I229" s="46" t="s">
        <v>24</v>
      </c>
      <c r="J229" s="319" t="str">
        <f t="shared" si="2"/>
        <v>Não</v>
      </c>
      <c r="K229" s="333">
        <v>43853.0</v>
      </c>
      <c r="L229" s="333">
        <v>43997.0</v>
      </c>
      <c r="M229" s="95" t="s">
        <v>79</v>
      </c>
      <c r="N229" s="334">
        <v>0.012</v>
      </c>
      <c r="O229" s="319" t="s">
        <v>2552</v>
      </c>
      <c r="P229" s="322">
        <v>0.0</v>
      </c>
      <c r="Q229" s="95" t="str">
        <f>IFERROR(VLOOKUP(F229,'Cadastro de assessores'!A:B,2,FALSE),"Não Cadastrado")</f>
        <v>2971</v>
      </c>
      <c r="R229" s="95" t="s">
        <v>2563</v>
      </c>
      <c r="S229" s="333">
        <v>43853.0</v>
      </c>
      <c r="T229" s="169"/>
      <c r="U229" s="169"/>
      <c r="V229" s="45" t="s">
        <v>108</v>
      </c>
      <c r="W229" s="13" t="s">
        <v>3185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2602</v>
      </c>
      <c r="AE229" s="171">
        <v>109621.19</v>
      </c>
      <c r="AF229" s="171">
        <v>106136.05</v>
      </c>
      <c r="AG229" s="171">
        <v>99529.74</v>
      </c>
      <c r="AH229" s="171">
        <v>100955.14</v>
      </c>
      <c r="AI229" s="171">
        <v>76468.36</v>
      </c>
      <c r="AJ229" s="171">
        <v>0.0</v>
      </c>
      <c r="AK229" s="171">
        <v>0.0</v>
      </c>
      <c r="AL229" s="171"/>
      <c r="AM229" s="171"/>
      <c r="AN229" s="171"/>
      <c r="AO229" s="171"/>
      <c r="AP229" s="171"/>
      <c r="AQ229" s="171"/>
      <c r="AR229" s="171"/>
      <c r="AS229" s="171"/>
      <c r="AT229" s="171"/>
      <c r="AU229" s="171"/>
      <c r="AV229" s="171"/>
      <c r="AW229" s="171"/>
      <c r="AX229" s="337"/>
      <c r="AY229" s="337"/>
      <c r="AZ229" s="337"/>
      <c r="BA229" s="171"/>
      <c r="BB229" s="171"/>
      <c r="BC229" s="171"/>
      <c r="BD229" s="171"/>
      <c r="BE229" s="171"/>
      <c r="BF229" s="171">
        <v>0.0</v>
      </c>
      <c r="BG229" s="171">
        <v>0.0</v>
      </c>
      <c r="BH229" s="171">
        <v>0.0</v>
      </c>
      <c r="BI229" s="171" t="s">
        <v>2566</v>
      </c>
      <c r="BJ229" s="171">
        <v>0.0</v>
      </c>
      <c r="BK229" s="171" t="s">
        <v>2566</v>
      </c>
      <c r="BL229" s="171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  <c r="CI229" s="329"/>
    </row>
    <row r="230" ht="15.75" customHeight="1">
      <c r="A230" s="317" t="s">
        <v>2547</v>
      </c>
      <c r="B230" s="317" t="s">
        <v>3186</v>
      </c>
      <c r="C230" s="318" t="s">
        <v>3187</v>
      </c>
      <c r="D230" s="319" t="s">
        <v>18</v>
      </c>
      <c r="E230" s="319" t="s">
        <v>29</v>
      </c>
      <c r="F230" s="324" t="s">
        <v>632</v>
      </c>
      <c r="G230" s="44" t="str">
        <f t="shared" si="1"/>
        <v>Breno</v>
      </c>
      <c r="H230" s="165" t="s">
        <v>107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190</v>
      </c>
      <c r="N230" s="321">
        <v>0.02</v>
      </c>
      <c r="O230" s="319" t="s">
        <v>191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107</v>
      </c>
      <c r="S230" s="320">
        <v>43605.0</v>
      </c>
      <c r="T230" s="169"/>
      <c r="U230" s="336" t="s">
        <v>3188</v>
      </c>
      <c r="V230" s="45" t="s">
        <v>108</v>
      </c>
      <c r="W230" s="324" t="s">
        <v>3189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119</v>
      </c>
      <c r="AC230" s="95"/>
      <c r="AD230" s="95" t="s">
        <v>2602</v>
      </c>
      <c r="AE230" s="171">
        <v>203765.14</v>
      </c>
      <c r="AF230" s="171">
        <v>192733.61</v>
      </c>
      <c r="AG230" s="171">
        <v>145685.72</v>
      </c>
      <c r="AH230" s="171">
        <v>153669.94</v>
      </c>
      <c r="AI230" s="171">
        <v>159552.51</v>
      </c>
      <c r="AJ230" s="171">
        <v>163838.57</v>
      </c>
      <c r="AK230" s="171">
        <v>172183.97</v>
      </c>
      <c r="AL230" s="171">
        <v>165248.8</v>
      </c>
      <c r="AM230" s="171">
        <v>156115.8</v>
      </c>
      <c r="AN230" s="171">
        <v>153946.04</v>
      </c>
      <c r="AO230" s="171">
        <v>178139.42</v>
      </c>
      <c r="AP230" s="171">
        <v>184038.19</v>
      </c>
      <c r="AQ230" s="171">
        <v>175324.16</v>
      </c>
      <c r="AR230" s="171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1">
        <v>180110.66</v>
      </c>
      <c r="AY230" s="171">
        <v>174710.4</v>
      </c>
      <c r="AZ230" s="171">
        <v>166243.91</v>
      </c>
      <c r="BA230" s="171">
        <v>158006.95</v>
      </c>
      <c r="BB230" s="171">
        <v>148150.53</v>
      </c>
      <c r="BC230" s="171">
        <v>143319.45</v>
      </c>
      <c r="BD230" s="171">
        <v>144392.04</v>
      </c>
      <c r="BE230" s="171">
        <v>153401.58</v>
      </c>
      <c r="BF230" s="171">
        <v>154842.0</v>
      </c>
      <c r="BG230" s="171">
        <v>165131.6</v>
      </c>
      <c r="BH230" s="171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  <c r="CI230" s="329"/>
    </row>
    <row r="231" ht="15.75" customHeight="1">
      <c r="A231" s="317" t="s">
        <v>2547</v>
      </c>
      <c r="B231" s="61" t="s">
        <v>3186</v>
      </c>
      <c r="C231" s="71" t="s">
        <v>3190</v>
      </c>
      <c r="D231" s="319" t="s">
        <v>18</v>
      </c>
      <c r="E231" s="319" t="s">
        <v>29</v>
      </c>
      <c r="F231" s="324" t="s">
        <v>632</v>
      </c>
      <c r="G231" s="44" t="str">
        <f t="shared" si="1"/>
        <v>Breno</v>
      </c>
      <c r="H231" s="165" t="s">
        <v>107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79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69"/>
      <c r="U231" s="336" t="s">
        <v>3191</v>
      </c>
      <c r="V231" s="45" t="s">
        <v>108</v>
      </c>
      <c r="W231" s="5" t="s">
        <v>3189</v>
      </c>
      <c r="X231" s="13" t="s">
        <v>29</v>
      </c>
      <c r="Y231" s="51" t="str">
        <f t="shared" si="3"/>
        <v>Ativo</v>
      </c>
      <c r="Z231" s="325"/>
      <c r="AA231" s="95"/>
      <c r="AB231" s="13" t="s">
        <v>119</v>
      </c>
      <c r="AC231" s="95"/>
      <c r="AD231" s="95"/>
      <c r="AE231" s="171"/>
      <c r="AF231" s="171"/>
      <c r="AG231" s="171"/>
      <c r="AH231" s="171"/>
      <c r="AI231" s="171"/>
      <c r="AJ231" s="171"/>
      <c r="AK231" s="171"/>
      <c r="AL231" s="171"/>
      <c r="AM231" s="171"/>
      <c r="AN231" s="171"/>
      <c r="AO231" s="171"/>
      <c r="AP231" s="171"/>
      <c r="AQ231" s="171"/>
      <c r="AR231" s="171"/>
      <c r="AS231" s="326"/>
      <c r="AT231" s="326"/>
      <c r="AU231" s="326"/>
      <c r="AV231" s="326"/>
      <c r="AW231" s="326"/>
      <c r="AX231" s="171"/>
      <c r="AY231" s="171"/>
      <c r="AZ231" s="171"/>
      <c r="BA231" s="171"/>
      <c r="BB231" s="171"/>
      <c r="BC231" s="171"/>
      <c r="BD231" s="171"/>
      <c r="BE231" s="171"/>
      <c r="BF231" s="171"/>
      <c r="BG231" s="171"/>
      <c r="BH231" s="171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  <c r="CI231" s="329"/>
    </row>
    <row r="232" ht="15.75" customHeight="1">
      <c r="A232" s="317" t="s">
        <v>2547</v>
      </c>
      <c r="B232" s="317" t="s">
        <v>3192</v>
      </c>
      <c r="C232" s="331" t="s">
        <v>3193</v>
      </c>
      <c r="D232" s="319" t="s">
        <v>18</v>
      </c>
      <c r="E232" s="319" t="s">
        <v>29</v>
      </c>
      <c r="F232" s="319" t="s">
        <v>78</v>
      </c>
      <c r="G232" s="44" t="str">
        <f t="shared" si="1"/>
        <v>Bruno</v>
      </c>
      <c r="H232" s="165" t="s">
        <v>107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4">
        <v>0.015</v>
      </c>
      <c r="O232" s="319" t="s">
        <v>2552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107</v>
      </c>
      <c r="S232" s="320">
        <v>43881.0</v>
      </c>
      <c r="T232" s="169"/>
      <c r="U232" s="336" t="s">
        <v>3194</v>
      </c>
      <c r="V232" s="45" t="s">
        <v>108</v>
      </c>
      <c r="W232" s="324" t="s">
        <v>3195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110</v>
      </c>
      <c r="AC232" s="95"/>
      <c r="AD232" s="95" t="s">
        <v>2602</v>
      </c>
      <c r="AE232" s="171">
        <v>35996.61</v>
      </c>
      <c r="AF232" s="171">
        <v>637367.5</v>
      </c>
      <c r="AG232" s="171">
        <v>706911.97</v>
      </c>
      <c r="AH232" s="171">
        <v>737631.37</v>
      </c>
      <c r="AI232" s="171">
        <v>794356.68</v>
      </c>
      <c r="AJ232" s="171">
        <v>824053.74</v>
      </c>
      <c r="AK232" s="171">
        <v>906547.85</v>
      </c>
      <c r="AL232" s="171">
        <v>934944.02</v>
      </c>
      <c r="AM232" s="171">
        <v>915819.44</v>
      </c>
      <c r="AN232" s="171">
        <v>934412.95</v>
      </c>
      <c r="AO232" s="171">
        <v>986975.31</v>
      </c>
      <c r="AP232" s="171">
        <v>1007606.02</v>
      </c>
      <c r="AQ232" s="171">
        <v>988796.16</v>
      </c>
      <c r="AR232" s="171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1">
        <v>1061972.65</v>
      </c>
      <c r="AY232" s="171">
        <v>1051591.66</v>
      </c>
      <c r="AZ232" s="171">
        <v>1032584.63</v>
      </c>
      <c r="BA232" s="171">
        <v>1018022.38</v>
      </c>
      <c r="BB232" s="171">
        <v>995888.09</v>
      </c>
      <c r="BC232" s="171">
        <v>987090.24</v>
      </c>
      <c r="BD232" s="171">
        <v>989810.62</v>
      </c>
      <c r="BE232" s="171">
        <v>1012402.22</v>
      </c>
      <c r="BF232" s="171">
        <v>1020342.07</v>
      </c>
      <c r="BG232" s="171">
        <v>1059152.19</v>
      </c>
      <c r="BH232" s="171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  <c r="CI232" s="329"/>
    </row>
    <row r="233" ht="15.75" customHeight="1">
      <c r="A233" s="317" t="s">
        <v>2547</v>
      </c>
      <c r="B233" s="317" t="s">
        <v>3196</v>
      </c>
      <c r="C233" s="331" t="s">
        <v>3197</v>
      </c>
      <c r="D233" s="319" t="s">
        <v>18</v>
      </c>
      <c r="E233" s="319" t="s">
        <v>176</v>
      </c>
      <c r="F233" s="319" t="s">
        <v>532</v>
      </c>
      <c r="G233" s="44" t="str">
        <f t="shared" si="1"/>
        <v>Augusto</v>
      </c>
      <c r="H233" s="165" t="s">
        <v>147</v>
      </c>
      <c r="I233" s="51" t="s">
        <v>219</v>
      </c>
      <c r="J233" s="319" t="str">
        <f t="shared" si="2"/>
        <v>Não</v>
      </c>
      <c r="K233" s="320">
        <v>44680.0</v>
      </c>
      <c r="L233" s="95"/>
      <c r="M233" s="95" t="s">
        <v>55</v>
      </c>
      <c r="N233" s="334">
        <v>0.007</v>
      </c>
      <c r="O233" s="319" t="s">
        <v>2552</v>
      </c>
      <c r="P233" s="322">
        <v>0.0</v>
      </c>
      <c r="Q233" s="319">
        <f>IFERROR(VLOOKUP(F233,'Cadastro de assessores'!A:B,2,FALSE),"Não Cadastrado")</f>
        <v>12362</v>
      </c>
      <c r="R233" s="319" t="s">
        <v>107</v>
      </c>
      <c r="S233" s="320">
        <v>44680.0</v>
      </c>
      <c r="T233" s="97"/>
      <c r="U233" s="169"/>
      <c r="V233" s="45" t="s">
        <v>108</v>
      </c>
      <c r="W233" s="324" t="s">
        <v>3198</v>
      </c>
      <c r="X233" s="164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119</v>
      </c>
      <c r="AC233" s="95"/>
      <c r="AD233" s="95" t="s">
        <v>2760</v>
      </c>
      <c r="AE233" s="171"/>
      <c r="AF233" s="171"/>
      <c r="AG233" s="171"/>
      <c r="AH233" s="171"/>
      <c r="AI233" s="171"/>
      <c r="AJ233" s="171"/>
      <c r="AK233" s="171"/>
      <c r="AL233" s="171"/>
      <c r="AM233" s="171"/>
      <c r="AN233" s="171"/>
      <c r="AO233" s="171"/>
      <c r="AP233" s="171"/>
      <c r="AQ233" s="171"/>
      <c r="AR233" s="171"/>
      <c r="AS233" s="326"/>
      <c r="AT233" s="326"/>
      <c r="AU233" s="326"/>
      <c r="AV233" s="326"/>
      <c r="AW233" s="326"/>
      <c r="AX233" s="171"/>
      <c r="AY233" s="171"/>
      <c r="AZ233" s="171"/>
      <c r="BA233" s="171"/>
      <c r="BB233" s="171"/>
      <c r="BC233" s="171"/>
      <c r="BD233" s="171"/>
      <c r="BE233" s="171"/>
      <c r="BF233" s="171"/>
      <c r="BG233" s="171"/>
      <c r="BH233" s="171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  <c r="CI233" s="329"/>
    </row>
    <row r="234" ht="15.75" customHeight="1">
      <c r="A234" s="317" t="s">
        <v>2547</v>
      </c>
      <c r="B234" s="61" t="s">
        <v>3196</v>
      </c>
      <c r="C234" s="366" t="s">
        <v>3199</v>
      </c>
      <c r="D234" s="319" t="s">
        <v>18</v>
      </c>
      <c r="E234" s="319" t="s">
        <v>176</v>
      </c>
      <c r="F234" s="95" t="s">
        <v>532</v>
      </c>
      <c r="G234" s="44" t="str">
        <f t="shared" si="1"/>
        <v>Augusto</v>
      </c>
      <c r="H234" s="332" t="s">
        <v>186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55</v>
      </c>
      <c r="N234" s="334">
        <v>0.007</v>
      </c>
      <c r="O234" s="319" t="s">
        <v>2552</v>
      </c>
      <c r="P234" s="322">
        <v>0.0</v>
      </c>
      <c r="Q234" s="95">
        <f>IFERROR(VLOOKUP(F234,'Cadastro de assessores'!A:B,2,FALSE),"Não Cadastrado")</f>
        <v>12362</v>
      </c>
      <c r="R234" s="95" t="s">
        <v>2563</v>
      </c>
      <c r="S234" s="72">
        <v>44628.0</v>
      </c>
      <c r="T234" s="50"/>
      <c r="U234" s="50"/>
      <c r="V234" s="45" t="s">
        <v>108</v>
      </c>
      <c r="W234" s="5" t="s">
        <v>3198</v>
      </c>
      <c r="X234" s="164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119</v>
      </c>
      <c r="AC234" s="95"/>
      <c r="AD234" s="95" t="s">
        <v>2760</v>
      </c>
      <c r="AE234" s="191"/>
      <c r="AF234" s="191"/>
      <c r="AG234" s="191"/>
      <c r="AH234" s="191"/>
      <c r="AI234" s="191"/>
      <c r="AJ234" s="191"/>
      <c r="AK234" s="191"/>
      <c r="AL234" s="191"/>
      <c r="AM234" s="191"/>
      <c r="AN234" s="191"/>
      <c r="AO234" s="191"/>
      <c r="AP234" s="191"/>
      <c r="AQ234" s="191"/>
      <c r="AR234" s="191"/>
      <c r="AS234" s="171"/>
      <c r="AT234" s="171"/>
      <c r="AU234" s="171"/>
      <c r="AV234" s="171"/>
      <c r="AW234" s="191"/>
      <c r="AX234" s="171"/>
      <c r="AY234" s="171"/>
      <c r="AZ234" s="171"/>
      <c r="BA234" s="171"/>
      <c r="BB234" s="171"/>
      <c r="BC234" s="171"/>
      <c r="BD234" s="171"/>
      <c r="BE234" s="171"/>
      <c r="BF234" s="171"/>
      <c r="BG234" s="171">
        <v>352755.15</v>
      </c>
      <c r="BH234" s="171">
        <v>356409.65</v>
      </c>
      <c r="BI234" s="339" t="s">
        <v>2566</v>
      </c>
      <c r="BJ234" s="171">
        <v>0.0</v>
      </c>
      <c r="BK234" s="171" t="s">
        <v>2566</v>
      </c>
      <c r="BL234" s="171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  <c r="CI234" s="329"/>
    </row>
    <row r="235" ht="15.75" customHeight="1">
      <c r="A235" s="317" t="s">
        <v>2547</v>
      </c>
      <c r="B235" s="42" t="s">
        <v>1565</v>
      </c>
      <c r="C235" s="330" t="s">
        <v>3200</v>
      </c>
      <c r="D235" s="319" t="s">
        <v>18</v>
      </c>
      <c r="E235" s="319" t="s">
        <v>176</v>
      </c>
      <c r="F235" s="95" t="s">
        <v>177</v>
      </c>
      <c r="G235" s="44" t="str">
        <f t="shared" si="1"/>
        <v>Augusto</v>
      </c>
      <c r="H235" s="332" t="s">
        <v>147</v>
      </c>
      <c r="I235" s="51" t="s">
        <v>219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4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107</v>
      </c>
      <c r="S235" s="72">
        <v>44351.0</v>
      </c>
      <c r="T235" s="50"/>
      <c r="U235" s="50"/>
      <c r="V235" s="45" t="s">
        <v>108</v>
      </c>
      <c r="W235" s="5" t="s">
        <v>1567</v>
      </c>
      <c r="X235" s="164" t="s">
        <v>180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119</v>
      </c>
      <c r="AC235" s="95"/>
      <c r="AD235" s="95" t="s">
        <v>2609</v>
      </c>
      <c r="AE235" s="191"/>
      <c r="AF235" s="191"/>
      <c r="AG235" s="191"/>
      <c r="AH235" s="191"/>
      <c r="AI235" s="191"/>
      <c r="AJ235" s="191"/>
      <c r="AK235" s="191"/>
      <c r="AL235" s="191"/>
      <c r="AM235" s="191"/>
      <c r="AN235" s="191"/>
      <c r="AO235" s="191"/>
      <c r="AP235" s="191"/>
      <c r="AQ235" s="191"/>
      <c r="AR235" s="191"/>
      <c r="AS235" s="326"/>
      <c r="AT235" s="326"/>
      <c r="AU235" s="326"/>
      <c r="AV235" s="326"/>
      <c r="AW235" s="191"/>
      <c r="AX235" s="171">
        <v>161782.08</v>
      </c>
      <c r="AY235" s="171">
        <v>159098.44</v>
      </c>
      <c r="AZ235" s="171">
        <v>154354.4</v>
      </c>
      <c r="BA235" s="171">
        <v>151041.18</v>
      </c>
      <c r="BB235" s="171">
        <v>146798.55</v>
      </c>
      <c r="BC235" s="171">
        <v>156423.26</v>
      </c>
      <c r="BD235" s="171">
        <v>157930.29</v>
      </c>
      <c r="BE235" s="171">
        <v>163050.13</v>
      </c>
      <c r="BF235" s="171">
        <v>166293.9</v>
      </c>
      <c r="BG235" s="171">
        <v>171592.71</v>
      </c>
      <c r="BH235" s="171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  <c r="CI235" s="329"/>
    </row>
    <row r="236" ht="15.75" customHeight="1">
      <c r="A236" s="317" t="s">
        <v>2547</v>
      </c>
      <c r="B236" s="317" t="s">
        <v>3201</v>
      </c>
      <c r="C236" s="331" t="s">
        <v>3202</v>
      </c>
      <c r="D236" s="319" t="s">
        <v>2659</v>
      </c>
      <c r="E236" s="319" t="s">
        <v>29</v>
      </c>
      <c r="F236" s="319" t="s">
        <v>2659</v>
      </c>
      <c r="G236" s="44" t="str">
        <f t="shared" si="1"/>
        <v>Breno</v>
      </c>
      <c r="H236" s="165" t="s">
        <v>107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190</v>
      </c>
      <c r="N236" s="334">
        <v>0.025</v>
      </c>
      <c r="O236" s="319" t="s">
        <v>191</v>
      </c>
      <c r="P236" s="322">
        <v>0.2</v>
      </c>
      <c r="Q236" s="319" t="str">
        <f>IFERROR(VLOOKUP(F236,'Cadastro de assessores'!A:B,2,FALSE),"Não Cadastrado")</f>
        <v>22400</v>
      </c>
      <c r="R236" s="319" t="s">
        <v>107</v>
      </c>
      <c r="S236" s="320">
        <v>43944.0</v>
      </c>
      <c r="T236" s="169"/>
      <c r="U236" s="169"/>
      <c r="V236" s="45" t="s">
        <v>108</v>
      </c>
      <c r="W236" s="324" t="s">
        <v>3203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119</v>
      </c>
      <c r="AC236" s="95"/>
      <c r="AD236" s="95" t="s">
        <v>2580</v>
      </c>
      <c r="AE236" s="171">
        <v>0.0</v>
      </c>
      <c r="AF236" s="171">
        <v>0.0</v>
      </c>
      <c r="AG236" s="171">
        <v>0.0</v>
      </c>
      <c r="AH236" s="171">
        <v>185447.07</v>
      </c>
      <c r="AI236" s="171">
        <v>193182.73</v>
      </c>
      <c r="AJ236" s="171">
        <v>202096.52</v>
      </c>
      <c r="AK236" s="171">
        <v>210272.13</v>
      </c>
      <c r="AL236" s="171">
        <v>198919.42</v>
      </c>
      <c r="AM236" s="171">
        <v>189756.16</v>
      </c>
      <c r="AN236" s="171">
        <v>189627.21</v>
      </c>
      <c r="AO236" s="171">
        <v>222915.18</v>
      </c>
      <c r="AP236" s="171">
        <v>232290.54</v>
      </c>
      <c r="AQ236" s="171">
        <v>222639.39</v>
      </c>
      <c r="AR236" s="171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1">
        <v>228486.51</v>
      </c>
      <c r="AY236" s="171">
        <v>221221.47</v>
      </c>
      <c r="AZ236" s="171">
        <v>211579.41</v>
      </c>
      <c r="BA236" s="171">
        <v>201165.32</v>
      </c>
      <c r="BB236" s="171">
        <v>189214.95</v>
      </c>
      <c r="BC236" s="171">
        <v>184019.43</v>
      </c>
      <c r="BD236" s="171">
        <v>183815.13</v>
      </c>
      <c r="BE236" s="171">
        <v>192454.65</v>
      </c>
      <c r="BF236" s="171">
        <v>195092.59</v>
      </c>
      <c r="BG236" s="171">
        <v>209402.86</v>
      </c>
      <c r="BH236" s="171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  <c r="CI236" s="329"/>
    </row>
    <row r="237" ht="15.75" customHeight="1">
      <c r="A237" s="317" t="s">
        <v>2547</v>
      </c>
      <c r="B237" s="42" t="s">
        <v>3204</v>
      </c>
      <c r="C237" s="45">
        <v>4652772.0</v>
      </c>
      <c r="D237" s="319" t="s">
        <v>18</v>
      </c>
      <c r="E237" s="319" t="s">
        <v>176</v>
      </c>
      <c r="F237" s="164" t="s">
        <v>2634</v>
      </c>
      <c r="G237" s="44" t="str">
        <f t="shared" si="1"/>
        <v>Augusto</v>
      </c>
      <c r="H237" s="332" t="s">
        <v>186</v>
      </c>
      <c r="I237" s="46" t="s">
        <v>24</v>
      </c>
      <c r="J237" s="319" t="str">
        <f t="shared" si="2"/>
        <v>Não</v>
      </c>
      <c r="K237" s="95" t="s">
        <v>3205</v>
      </c>
      <c r="L237" s="72">
        <v>44777.0</v>
      </c>
      <c r="M237" s="95" t="s">
        <v>55</v>
      </c>
      <c r="N237" s="334">
        <v>0.007</v>
      </c>
      <c r="O237" s="319" t="s">
        <v>2552</v>
      </c>
      <c r="P237" s="322">
        <v>0.0</v>
      </c>
      <c r="Q237" s="95" t="str">
        <f>IFERROR(VLOOKUP(F237,'Cadastro de assessores'!A:B,2,FALSE),"Não Cadastrado")</f>
        <v>22066</v>
      </c>
      <c r="R237" s="384" t="s">
        <v>2563</v>
      </c>
      <c r="S237" s="45"/>
      <c r="T237" s="50"/>
      <c r="U237" s="50"/>
      <c r="V237" s="45" t="s">
        <v>108</v>
      </c>
      <c r="W237" s="5" t="s">
        <v>3206</v>
      </c>
      <c r="X237" s="164" t="s">
        <v>180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119</v>
      </c>
      <c r="AC237" s="95"/>
      <c r="AD237" s="95" t="s">
        <v>2609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1"/>
      <c r="AQ237" s="171"/>
      <c r="AR237" s="326"/>
      <c r="AS237" s="326"/>
      <c r="AT237" s="326"/>
      <c r="AU237" s="326"/>
      <c r="AV237" s="326"/>
      <c r="AW237" s="171"/>
      <c r="AX237" s="171"/>
      <c r="AY237" s="171"/>
      <c r="AZ237" s="171"/>
      <c r="BA237" s="171"/>
      <c r="BB237" s="171"/>
      <c r="BC237" s="41"/>
      <c r="BD237" s="41"/>
      <c r="BE237" s="171">
        <v>100502.83</v>
      </c>
      <c r="BF237" s="171">
        <v>101161.47</v>
      </c>
      <c r="BG237" s="171">
        <v>103039.68</v>
      </c>
      <c r="BH237" s="171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  <c r="CI237" s="329"/>
    </row>
    <row r="238" ht="15.75" customHeight="1">
      <c r="A238" s="317" t="s">
        <v>2547</v>
      </c>
      <c r="B238" s="317" t="s">
        <v>3207</v>
      </c>
      <c r="C238" s="318" t="s">
        <v>3208</v>
      </c>
      <c r="D238" s="319" t="s">
        <v>18</v>
      </c>
      <c r="E238" s="319" t="s">
        <v>176</v>
      </c>
      <c r="F238" s="319" t="s">
        <v>177</v>
      </c>
      <c r="G238" s="44" t="str">
        <f t="shared" si="1"/>
        <v>Augusto</v>
      </c>
      <c r="H238" s="165" t="s">
        <v>147</v>
      </c>
      <c r="I238" s="51" t="s">
        <v>219</v>
      </c>
      <c r="J238" s="319" t="str">
        <f t="shared" si="2"/>
        <v>Não</v>
      </c>
      <c r="K238" s="320">
        <v>44797.0</v>
      </c>
      <c r="L238" s="95"/>
      <c r="M238" s="95" t="s">
        <v>79</v>
      </c>
      <c r="N238" s="321">
        <v>0.012</v>
      </c>
      <c r="O238" s="319" t="s">
        <v>2552</v>
      </c>
      <c r="P238" s="322">
        <v>0.0</v>
      </c>
      <c r="Q238" s="95" t="str">
        <f>IFERROR(VLOOKUP(F238,'Cadastro de assessores'!A:B,2,FALSE),"Não Cadastrado")</f>
        <v>250</v>
      </c>
      <c r="R238" s="319" t="s">
        <v>107</v>
      </c>
      <c r="S238" s="320">
        <v>44792.0</v>
      </c>
      <c r="T238" s="97"/>
      <c r="U238" s="323"/>
      <c r="V238" s="45" t="s">
        <v>108</v>
      </c>
      <c r="W238" s="324" t="s">
        <v>1581</v>
      </c>
      <c r="X238" s="11" t="s">
        <v>180</v>
      </c>
      <c r="Y238" s="51" t="str">
        <f t="shared" si="3"/>
        <v>Ativo</v>
      </c>
      <c r="Z238" s="325"/>
      <c r="AA238" s="95" t="str">
        <f t="shared" si="7"/>
        <v/>
      </c>
      <c r="AB238" s="13" t="s">
        <v>119</v>
      </c>
      <c r="AC238" s="95"/>
      <c r="AD238" s="319"/>
      <c r="AE238" s="171"/>
      <c r="AF238" s="171"/>
      <c r="AG238" s="171"/>
      <c r="AH238" s="171"/>
      <c r="AI238" s="171"/>
      <c r="AJ238" s="171"/>
      <c r="AK238" s="171"/>
      <c r="AL238" s="171"/>
      <c r="AM238" s="171"/>
      <c r="AN238" s="171"/>
      <c r="AO238" s="171"/>
      <c r="AP238" s="171"/>
      <c r="AQ238" s="171"/>
      <c r="AR238" s="171"/>
      <c r="AS238" s="326"/>
      <c r="AT238" s="326"/>
      <c r="AU238" s="326"/>
      <c r="AV238" s="326"/>
      <c r="AW238" s="326"/>
      <c r="AX238" s="171"/>
      <c r="AY238" s="171"/>
      <c r="AZ238" s="171"/>
      <c r="BA238" s="171"/>
      <c r="BB238" s="171"/>
      <c r="BC238" s="171"/>
      <c r="BD238" s="171"/>
      <c r="BE238" s="171"/>
      <c r="BF238" s="171"/>
      <c r="BG238" s="171"/>
      <c r="BH238" s="171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  <c r="CI238" s="329"/>
    </row>
    <row r="239" ht="15.75" customHeight="1">
      <c r="A239" s="317" t="s">
        <v>2547</v>
      </c>
      <c r="B239" s="317" t="s">
        <v>3209</v>
      </c>
      <c r="C239" s="318" t="s">
        <v>3210</v>
      </c>
      <c r="D239" s="319" t="s">
        <v>2659</v>
      </c>
      <c r="E239" s="319" t="s">
        <v>29</v>
      </c>
      <c r="F239" s="319" t="s">
        <v>2659</v>
      </c>
      <c r="G239" s="44" t="str">
        <f t="shared" si="1"/>
        <v>Augusto</v>
      </c>
      <c r="H239" s="165" t="s">
        <v>147</v>
      </c>
      <c r="I239" s="51" t="s">
        <v>219</v>
      </c>
      <c r="J239" s="319" t="str">
        <f t="shared" si="2"/>
        <v>Não</v>
      </c>
      <c r="K239" s="320">
        <v>43538.0</v>
      </c>
      <c r="L239" s="95"/>
      <c r="M239" s="95" t="s">
        <v>190</v>
      </c>
      <c r="N239" s="321">
        <v>0.01</v>
      </c>
      <c r="O239" s="319" t="s">
        <v>191</v>
      </c>
      <c r="P239" s="322">
        <v>0.2</v>
      </c>
      <c r="Q239" s="319" t="str">
        <f>IFERROR(VLOOKUP(F239,'Cadastro de assessores'!A:B,2,FALSE),"Não Cadastrado")</f>
        <v>22400</v>
      </c>
      <c r="R239" s="319" t="s">
        <v>107</v>
      </c>
      <c r="S239" s="320">
        <v>43538.0</v>
      </c>
      <c r="T239" s="169"/>
      <c r="U239" s="169"/>
      <c r="V239" s="45" t="s">
        <v>108</v>
      </c>
      <c r="W239" s="324" t="s">
        <v>3211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119</v>
      </c>
      <c r="AC239" s="95"/>
      <c r="AD239" s="319" t="s">
        <v>2591</v>
      </c>
      <c r="AE239" s="171">
        <v>135222.59</v>
      </c>
      <c r="AF239" s="171">
        <v>129076.26</v>
      </c>
      <c r="AG239" s="171">
        <v>101871.14</v>
      </c>
      <c r="AH239" s="171">
        <v>107079.43</v>
      </c>
      <c r="AI239" s="171">
        <v>110538.03</v>
      </c>
      <c r="AJ239" s="171">
        <v>114857.2</v>
      </c>
      <c r="AK239" s="171">
        <v>122965.54</v>
      </c>
      <c r="AL239" s="171">
        <v>118978.0</v>
      </c>
      <c r="AM239" s="171">
        <v>114221.6</v>
      </c>
      <c r="AN239" s="171">
        <v>118495.83</v>
      </c>
      <c r="AO239" s="171">
        <v>132258.15</v>
      </c>
      <c r="AP239" s="171">
        <v>136167.09</v>
      </c>
      <c r="AQ239" s="171">
        <v>135000.13</v>
      </c>
      <c r="AR239" s="171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1">
        <v>133190.23</v>
      </c>
      <c r="AY239" s="171">
        <v>129654.29</v>
      </c>
      <c r="AZ239" s="171">
        <v>123802.05</v>
      </c>
      <c r="BA239" s="171">
        <v>117385.69</v>
      </c>
      <c r="BB239" s="171">
        <v>110794.35</v>
      </c>
      <c r="BC239" s="171">
        <v>107803.91</v>
      </c>
      <c r="BD239" s="171">
        <v>107098.03</v>
      </c>
      <c r="BE239" s="171">
        <v>113986.28</v>
      </c>
      <c r="BF239" s="171">
        <v>114608.11</v>
      </c>
      <c r="BG239" s="171">
        <v>123460.29</v>
      </c>
      <c r="BH239" s="171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  <c r="CI239" s="329"/>
    </row>
    <row r="240" ht="15.75" customHeight="1">
      <c r="A240" s="317" t="s">
        <v>2547</v>
      </c>
      <c r="B240" s="317" t="s">
        <v>3212</v>
      </c>
      <c r="C240" s="318" t="s">
        <v>3213</v>
      </c>
      <c r="D240" s="319" t="s">
        <v>2550</v>
      </c>
      <c r="E240" s="319" t="s">
        <v>29</v>
      </c>
      <c r="F240" s="319" t="s">
        <v>2551</v>
      </c>
      <c r="G240" s="44" t="str">
        <f t="shared" si="1"/>
        <v>Augusto</v>
      </c>
      <c r="H240" s="165" t="s">
        <v>147</v>
      </c>
      <c r="I240" s="51" t="s">
        <v>219</v>
      </c>
      <c r="J240" s="319" t="str">
        <f t="shared" si="2"/>
        <v>Não</v>
      </c>
      <c r="K240" s="320">
        <v>43601.0</v>
      </c>
      <c r="L240" s="95"/>
      <c r="M240" s="95" t="s">
        <v>190</v>
      </c>
      <c r="N240" s="321">
        <v>0.02</v>
      </c>
      <c r="O240" s="319" t="s">
        <v>191</v>
      </c>
      <c r="P240" s="322">
        <v>0.2</v>
      </c>
      <c r="Q240" s="319" t="str">
        <f>IFERROR(VLOOKUP(F240,'Cadastro de assessores'!A:B,2,FALSE),"Não Cadastrado")</f>
        <v>17573</v>
      </c>
      <c r="R240" s="319" t="s">
        <v>107</v>
      </c>
      <c r="S240" s="320">
        <v>43601.0</v>
      </c>
      <c r="T240" s="169"/>
      <c r="U240" s="169"/>
      <c r="V240" s="45" t="s">
        <v>108</v>
      </c>
      <c r="W240" s="324" t="s">
        <v>3214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119</v>
      </c>
      <c r="AC240" s="95"/>
      <c r="AD240" s="95" t="s">
        <v>2602</v>
      </c>
      <c r="AE240" s="171">
        <v>74487.92</v>
      </c>
      <c r="AF240" s="171">
        <v>138320.85</v>
      </c>
      <c r="AG240" s="171">
        <v>110088.9</v>
      </c>
      <c r="AH240" s="171">
        <v>116710.29</v>
      </c>
      <c r="AI240" s="171">
        <v>119955.61</v>
      </c>
      <c r="AJ240" s="171">
        <v>127104.81</v>
      </c>
      <c r="AK240" s="171">
        <v>137000.97</v>
      </c>
      <c r="AL240" s="171">
        <v>129844.11</v>
      </c>
      <c r="AM240" s="171">
        <v>123965.85</v>
      </c>
      <c r="AN240" s="171">
        <v>128991.2</v>
      </c>
      <c r="AO240" s="171">
        <v>143734.09</v>
      </c>
      <c r="AP240" s="171">
        <v>148153.69</v>
      </c>
      <c r="AQ240" s="171">
        <v>141505.66</v>
      </c>
      <c r="AR240" s="171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1">
        <v>144636.62</v>
      </c>
      <c r="AY240" s="171">
        <v>140552.72</v>
      </c>
      <c r="AZ240" s="171">
        <v>134008.87</v>
      </c>
      <c r="BA240" s="171">
        <v>127034.87</v>
      </c>
      <c r="BB240" s="171">
        <v>119444.27</v>
      </c>
      <c r="BC240" s="171">
        <v>115543.24</v>
      </c>
      <c r="BD240" s="171">
        <v>116333.79</v>
      </c>
      <c r="BE240" s="171">
        <v>123455.83</v>
      </c>
      <c r="BF240" s="171">
        <v>124897.14</v>
      </c>
      <c r="BG240" s="171">
        <v>133933.97</v>
      </c>
      <c r="BH240" s="171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  <c r="CI240" s="329"/>
    </row>
    <row r="241" ht="15.75" customHeight="1">
      <c r="A241" s="317" t="s">
        <v>2547</v>
      </c>
      <c r="B241" s="42" t="s">
        <v>3215</v>
      </c>
      <c r="C241" s="366" t="s">
        <v>3216</v>
      </c>
      <c r="D241" s="319" t="s">
        <v>18</v>
      </c>
      <c r="E241" s="319" t="s">
        <v>176</v>
      </c>
      <c r="F241" s="95" t="s">
        <v>197</v>
      </c>
      <c r="G241" s="44" t="str">
        <f t="shared" si="1"/>
        <v>Augusto</v>
      </c>
      <c r="H241" s="332" t="s">
        <v>186</v>
      </c>
      <c r="I241" s="46" t="s">
        <v>24</v>
      </c>
      <c r="J241" s="319" t="str">
        <f t="shared" si="2"/>
        <v>Não</v>
      </c>
      <c r="K241" s="333">
        <v>44322.0</v>
      </c>
      <c r="L241" s="333">
        <v>44652.0</v>
      </c>
      <c r="M241" s="95" t="s">
        <v>47</v>
      </c>
      <c r="N241" s="334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2563</v>
      </c>
      <c r="S241" s="333">
        <v>44322.0</v>
      </c>
      <c r="T241" s="50"/>
      <c r="U241" s="50"/>
      <c r="V241" s="45" t="s">
        <v>108</v>
      </c>
      <c r="W241" s="5" t="s">
        <v>3217</v>
      </c>
      <c r="X241" s="164" t="s">
        <v>180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2609</v>
      </c>
      <c r="AE241" s="191"/>
      <c r="AF241" s="191"/>
      <c r="AG241" s="191"/>
      <c r="AH241" s="191"/>
      <c r="AI241" s="191"/>
      <c r="AJ241" s="191"/>
      <c r="AK241" s="191"/>
      <c r="AL241" s="191"/>
      <c r="AM241" s="191"/>
      <c r="AN241" s="191"/>
      <c r="AO241" s="191"/>
      <c r="AP241" s="191"/>
      <c r="AQ241" s="191"/>
      <c r="AR241" s="171"/>
      <c r="AS241" s="171"/>
      <c r="AT241" s="171"/>
      <c r="AU241" s="171"/>
      <c r="AV241" s="171"/>
      <c r="AW241" s="171">
        <v>322521.53</v>
      </c>
      <c r="AX241" s="171">
        <v>274157.47</v>
      </c>
      <c r="AY241" s="171">
        <v>185038.99</v>
      </c>
      <c r="AZ241" s="171">
        <v>83591.85</v>
      </c>
      <c r="BA241" s="171">
        <v>70957.78</v>
      </c>
      <c r="BB241" s="171">
        <v>38698.7</v>
      </c>
      <c r="BC241" s="171">
        <v>34560.61</v>
      </c>
      <c r="BD241" s="171">
        <v>24666.4</v>
      </c>
      <c r="BE241" s="171">
        <v>22481.9</v>
      </c>
      <c r="BF241" s="171">
        <v>16879.38</v>
      </c>
      <c r="BG241" s="171">
        <v>15010.14</v>
      </c>
      <c r="BH241" s="171">
        <v>0.0</v>
      </c>
      <c r="BI241" s="171" t="s">
        <v>2566</v>
      </c>
      <c r="BJ241" s="171">
        <v>0.0</v>
      </c>
      <c r="BK241" s="171" t="s">
        <v>2566</v>
      </c>
      <c r="BL241" s="171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  <c r="CI241" s="329"/>
    </row>
    <row r="242" ht="15.75" customHeight="1">
      <c r="A242" s="317" t="s">
        <v>2547</v>
      </c>
      <c r="B242" s="235" t="s">
        <v>3218</v>
      </c>
      <c r="C242" s="356" t="s">
        <v>3219</v>
      </c>
      <c r="D242" s="319" t="s">
        <v>18</v>
      </c>
      <c r="E242" s="319" t="s">
        <v>176</v>
      </c>
      <c r="F242" s="95" t="s">
        <v>2634</v>
      </c>
      <c r="G242" s="44" t="str">
        <f t="shared" si="1"/>
        <v>Augusto</v>
      </c>
      <c r="H242" s="332" t="s">
        <v>186</v>
      </c>
      <c r="I242" s="46" t="s">
        <v>24</v>
      </c>
      <c r="J242" s="319" t="str">
        <f t="shared" si="2"/>
        <v>Não</v>
      </c>
      <c r="K242" s="333">
        <v>44279.0</v>
      </c>
      <c r="L242" s="72">
        <v>44473.0</v>
      </c>
      <c r="M242" s="95" t="s">
        <v>269</v>
      </c>
      <c r="N242" s="334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2563</v>
      </c>
      <c r="S242" s="333">
        <v>44279.0</v>
      </c>
      <c r="T242" s="169"/>
      <c r="U242" s="169"/>
      <c r="V242" s="45" t="s">
        <v>108</v>
      </c>
      <c r="W242" s="13" t="s">
        <v>3220</v>
      </c>
      <c r="X242" s="164" t="s">
        <v>180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2609</v>
      </c>
      <c r="AE242" s="337"/>
      <c r="AF242" s="337"/>
      <c r="AG242" s="337"/>
      <c r="AH242" s="337"/>
      <c r="AI242" s="337"/>
      <c r="AJ242" s="337"/>
      <c r="AK242" s="337"/>
      <c r="AL242" s="337"/>
      <c r="AM242" s="337"/>
      <c r="AN242" s="337"/>
      <c r="AO242" s="337"/>
      <c r="AP242" s="337"/>
      <c r="AQ242" s="337"/>
      <c r="AR242" s="171"/>
      <c r="AS242" s="171"/>
      <c r="AT242" s="171">
        <v>255831.81</v>
      </c>
      <c r="AU242" s="171"/>
      <c r="AV242" s="171">
        <v>284899.14</v>
      </c>
      <c r="AW242" s="171">
        <v>267778.18</v>
      </c>
      <c r="AX242" s="171">
        <v>265811.13</v>
      </c>
      <c r="AY242" s="171">
        <v>261252.15</v>
      </c>
      <c r="AZ242" s="171">
        <v>253344.82</v>
      </c>
      <c r="BA242" s="171">
        <v>237009.79</v>
      </c>
      <c r="BB242" s="171"/>
      <c r="BC242" s="171"/>
      <c r="BD242" s="171"/>
      <c r="BE242" s="171"/>
      <c r="BF242" s="171">
        <v>0.0</v>
      </c>
      <c r="BG242" s="171">
        <v>0.0</v>
      </c>
      <c r="BH242" s="171">
        <v>0.0</v>
      </c>
      <c r="BI242" s="171" t="s">
        <v>2566</v>
      </c>
      <c r="BJ242" s="171">
        <v>0.0</v>
      </c>
      <c r="BK242" s="171" t="s">
        <v>2566</v>
      </c>
      <c r="BL242" s="171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  <c r="CI242" s="329"/>
    </row>
    <row r="243" ht="15.75" customHeight="1">
      <c r="A243" s="317" t="s">
        <v>2547</v>
      </c>
      <c r="B243" s="42" t="s">
        <v>3221</v>
      </c>
      <c r="C243" s="330" t="s">
        <v>3222</v>
      </c>
      <c r="D243" s="319" t="s">
        <v>18</v>
      </c>
      <c r="E243" s="319" t="s">
        <v>29</v>
      </c>
      <c r="F243" s="319" t="s">
        <v>3223</v>
      </c>
      <c r="G243" s="44" t="str">
        <f t="shared" si="1"/>
        <v>Augusto</v>
      </c>
      <c r="H243" s="165" t="s">
        <v>147</v>
      </c>
      <c r="I243" s="51" t="s">
        <v>219</v>
      </c>
      <c r="J243" s="319" t="str">
        <f t="shared" si="2"/>
        <v>Não</v>
      </c>
      <c r="K243" s="320"/>
      <c r="L243" s="45"/>
      <c r="M243" s="95" t="s">
        <v>55</v>
      </c>
      <c r="N243" s="117">
        <v>0.007</v>
      </c>
      <c r="O243" s="319" t="s">
        <v>2552</v>
      </c>
      <c r="P243" s="322">
        <v>0.0</v>
      </c>
      <c r="Q243" s="95">
        <f>IFERROR(VLOOKUP(F243,'Cadastro de assessores'!A:B,2,FALSE),"Não Cadastrado")</f>
        <v>12355</v>
      </c>
      <c r="R243" s="319" t="s">
        <v>147</v>
      </c>
      <c r="S243" s="319" t="s">
        <v>2600</v>
      </c>
      <c r="T243" s="50"/>
      <c r="U243" s="50"/>
      <c r="V243" s="45" t="s">
        <v>108</v>
      </c>
      <c r="W243" s="5" t="s">
        <v>3224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119</v>
      </c>
      <c r="AC243" s="95"/>
      <c r="AD243" s="95"/>
      <c r="AE243" s="191"/>
      <c r="AF243" s="191"/>
      <c r="AG243" s="191"/>
      <c r="AH243" s="191"/>
      <c r="AI243" s="191"/>
      <c r="AJ243" s="191"/>
      <c r="AK243" s="191"/>
      <c r="AL243" s="191"/>
      <c r="AM243" s="191"/>
      <c r="AN243" s="191"/>
      <c r="AO243" s="191"/>
      <c r="AP243" s="191"/>
      <c r="AQ243" s="191"/>
      <c r="AR243" s="171"/>
      <c r="AS243" s="171"/>
      <c r="AT243" s="171"/>
      <c r="AU243" s="171"/>
      <c r="AV243" s="171"/>
      <c r="AW243" s="171"/>
      <c r="AX243" s="171"/>
      <c r="AY243" s="171"/>
      <c r="AZ243" s="171"/>
      <c r="BA243" s="171"/>
      <c r="BB243" s="171"/>
      <c r="BC243" s="171"/>
      <c r="BD243" s="171"/>
      <c r="BE243" s="171"/>
      <c r="BF243" s="171"/>
      <c r="BG243" s="171"/>
      <c r="BH243" s="171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  <c r="CI243" s="329"/>
    </row>
    <row r="244" ht="20.25" customHeight="1">
      <c r="A244" s="317" t="s">
        <v>2547</v>
      </c>
      <c r="B244" s="42" t="s">
        <v>3225</v>
      </c>
      <c r="C244" s="330" t="s">
        <v>3226</v>
      </c>
      <c r="D244" s="319" t="s">
        <v>18</v>
      </c>
      <c r="E244" s="319" t="s">
        <v>176</v>
      </c>
      <c r="F244" s="319" t="s">
        <v>177</v>
      </c>
      <c r="G244" s="44" t="str">
        <f t="shared" si="1"/>
        <v>Augusto</v>
      </c>
      <c r="H244" s="165" t="s">
        <v>147</v>
      </c>
      <c r="I244" s="51" t="s">
        <v>219</v>
      </c>
      <c r="J244" s="319" t="str">
        <f t="shared" si="2"/>
        <v>Não</v>
      </c>
      <c r="K244" s="320">
        <v>44323.0</v>
      </c>
      <c r="L244" s="45"/>
      <c r="M244" s="95" t="s">
        <v>194</v>
      </c>
      <c r="N244" s="117">
        <v>0.008</v>
      </c>
      <c r="O244" s="319" t="s">
        <v>2552</v>
      </c>
      <c r="P244" s="322">
        <v>0.0</v>
      </c>
      <c r="Q244" s="319" t="str">
        <f>IFERROR(VLOOKUP(F244,'Cadastro de assessores'!A:B,2,FALSE),"Não Cadastrado")</f>
        <v>250</v>
      </c>
      <c r="R244" s="319" t="s">
        <v>107</v>
      </c>
      <c r="S244" s="320">
        <v>44323.0</v>
      </c>
      <c r="T244" s="97"/>
      <c r="U244" s="50"/>
      <c r="V244" s="45" t="s">
        <v>369</v>
      </c>
      <c r="W244" s="5" t="s">
        <v>3227</v>
      </c>
      <c r="X244" s="164" t="s">
        <v>180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119</v>
      </c>
      <c r="AC244" s="95"/>
      <c r="AD244" s="95" t="s">
        <v>2559</v>
      </c>
      <c r="AE244" s="191"/>
      <c r="AF244" s="191"/>
      <c r="AG244" s="191"/>
      <c r="AH244" s="191"/>
      <c r="AI244" s="191"/>
      <c r="AJ244" s="191"/>
      <c r="AK244" s="191"/>
      <c r="AL244" s="191"/>
      <c r="AM244" s="191"/>
      <c r="AN244" s="191"/>
      <c r="AO244" s="191"/>
      <c r="AP244" s="191"/>
      <c r="AQ244" s="191"/>
      <c r="AR244" s="171"/>
      <c r="AS244" s="171"/>
      <c r="AT244" s="171"/>
      <c r="AU244" s="171"/>
      <c r="AV244" s="171"/>
      <c r="AW244" s="171">
        <v>255422.59</v>
      </c>
      <c r="AX244" s="171">
        <v>248460.75</v>
      </c>
      <c r="AY244" s="171">
        <v>398120.62</v>
      </c>
      <c r="AZ244" s="171">
        <v>510683.39</v>
      </c>
      <c r="BA244" s="171">
        <v>502475.43</v>
      </c>
      <c r="BB244" s="171">
        <v>529489.32</v>
      </c>
      <c r="BC244" s="171">
        <v>487003.11</v>
      </c>
      <c r="BD244" s="171">
        <v>474720.69</v>
      </c>
      <c r="BE244" s="171">
        <v>519255.38</v>
      </c>
      <c r="BF244" s="171">
        <v>515992.42</v>
      </c>
      <c r="BG244" s="171">
        <v>527785.77</v>
      </c>
      <c r="BH244" s="171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  <c r="CI244" s="329"/>
    </row>
    <row r="245" ht="15.75" customHeight="1">
      <c r="A245" s="317" t="s">
        <v>2547</v>
      </c>
      <c r="B245" s="239" t="s">
        <v>3228</v>
      </c>
      <c r="C245" s="331" t="s">
        <v>3229</v>
      </c>
      <c r="D245" s="319" t="s">
        <v>2550</v>
      </c>
      <c r="E245" s="319" t="s">
        <v>29</v>
      </c>
      <c r="F245" s="95" t="s">
        <v>2562</v>
      </c>
      <c r="G245" s="44" t="str">
        <f t="shared" si="1"/>
        <v>Augusto</v>
      </c>
      <c r="H245" s="332" t="s">
        <v>186</v>
      </c>
      <c r="I245" s="46" t="s">
        <v>24</v>
      </c>
      <c r="J245" s="319" t="str">
        <f t="shared" si="2"/>
        <v>Não</v>
      </c>
      <c r="K245" s="333">
        <v>43570.0</v>
      </c>
      <c r="L245" s="333">
        <v>45007.0</v>
      </c>
      <c r="M245" s="95" t="s">
        <v>79</v>
      </c>
      <c r="N245" s="334">
        <v>0.005</v>
      </c>
      <c r="O245" s="319" t="s">
        <v>2552</v>
      </c>
      <c r="P245" s="322">
        <v>0.0</v>
      </c>
      <c r="Q245" s="95" t="str">
        <f>IFERROR(VLOOKUP(F245,'Cadastro de assessores'!A:B,2,FALSE),"Não Cadastrado")</f>
        <v>2971</v>
      </c>
      <c r="R245" s="95" t="s">
        <v>2563</v>
      </c>
      <c r="S245" s="333">
        <v>43570.0</v>
      </c>
      <c r="T245" s="169"/>
      <c r="U245" s="169"/>
      <c r="V245" s="45" t="s">
        <v>108</v>
      </c>
      <c r="W245" s="13" t="s">
        <v>3230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2602</v>
      </c>
      <c r="AE245" s="171">
        <v>430100.49</v>
      </c>
      <c r="AF245" s="171">
        <v>431114.2</v>
      </c>
      <c r="AG245" s="171">
        <v>432304.18</v>
      </c>
      <c r="AH245" s="171">
        <v>432992.58</v>
      </c>
      <c r="AI245" s="171">
        <v>431768.37</v>
      </c>
      <c r="AJ245" s="171">
        <v>432531.58</v>
      </c>
      <c r="AK245" s="171">
        <v>433208.01</v>
      </c>
      <c r="AL245" s="171">
        <v>389174.43</v>
      </c>
      <c r="AM245" s="337"/>
      <c r="AN245" s="171">
        <v>198892.19</v>
      </c>
      <c r="AO245" s="171">
        <v>206063.63</v>
      </c>
      <c r="AP245" s="171">
        <v>207706.03</v>
      </c>
      <c r="AQ245" s="171">
        <v>205976.13</v>
      </c>
      <c r="AR245" s="171">
        <v>43.67</v>
      </c>
      <c r="AS245" s="171">
        <v>43.67</v>
      </c>
      <c r="AT245" s="171">
        <v>43.67</v>
      </c>
      <c r="AU245" s="171">
        <v>43.67</v>
      </c>
      <c r="AV245" s="171">
        <v>43.67</v>
      </c>
      <c r="AW245" s="171"/>
      <c r="AX245" s="337"/>
      <c r="AY245" s="337"/>
      <c r="AZ245" s="337"/>
      <c r="BA245" s="171"/>
      <c r="BB245" s="171"/>
      <c r="BC245" s="171"/>
      <c r="BD245" s="171"/>
      <c r="BE245" s="171"/>
      <c r="BF245" s="171">
        <v>0.0</v>
      </c>
      <c r="BG245" s="171">
        <v>0.0</v>
      </c>
      <c r="BH245" s="171">
        <v>0.0</v>
      </c>
      <c r="BI245" s="171" t="s">
        <v>2566</v>
      </c>
      <c r="BJ245" s="171">
        <v>0.0</v>
      </c>
      <c r="BK245" s="171" t="s">
        <v>2566</v>
      </c>
      <c r="BL245" s="171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  <c r="CI245" s="329"/>
    </row>
    <row r="246" ht="15.75" customHeight="1">
      <c r="A246" s="317" t="s">
        <v>2547</v>
      </c>
      <c r="B246" s="317" t="s">
        <v>3228</v>
      </c>
      <c r="C246" s="318" t="s">
        <v>3231</v>
      </c>
      <c r="D246" s="319" t="s">
        <v>2550</v>
      </c>
      <c r="E246" s="319" t="s">
        <v>29</v>
      </c>
      <c r="F246" s="319" t="s">
        <v>2562</v>
      </c>
      <c r="G246" s="44" t="str">
        <f t="shared" si="1"/>
        <v>Augusto</v>
      </c>
      <c r="H246" s="332" t="s">
        <v>186</v>
      </c>
      <c r="I246" s="46" t="s">
        <v>24</v>
      </c>
      <c r="J246" s="319" t="str">
        <f t="shared" si="2"/>
        <v>Não</v>
      </c>
      <c r="K246" s="320">
        <v>43570.0</v>
      </c>
      <c r="L246" s="333">
        <v>44972.0</v>
      </c>
      <c r="M246" s="95" t="s">
        <v>47</v>
      </c>
      <c r="N246" s="334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107</v>
      </c>
      <c r="S246" s="320">
        <v>43570.0</v>
      </c>
      <c r="T246" s="169"/>
      <c r="U246" s="169"/>
      <c r="V246" s="45" t="s">
        <v>108</v>
      </c>
      <c r="W246" s="324" t="s">
        <v>3230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119</v>
      </c>
      <c r="AC246" s="95"/>
      <c r="AD246" s="95" t="s">
        <v>2602</v>
      </c>
      <c r="AE246" s="171">
        <v>326311.45</v>
      </c>
      <c r="AF246" s="171">
        <v>319083.72</v>
      </c>
      <c r="AG246" s="171">
        <v>305578.0</v>
      </c>
      <c r="AH246" s="171">
        <v>307960.9</v>
      </c>
      <c r="AI246" s="171">
        <v>312075.74</v>
      </c>
      <c r="AJ246" s="171">
        <v>315741.07</v>
      </c>
      <c r="AK246" s="171">
        <v>320125.16</v>
      </c>
      <c r="AL246" s="171">
        <v>359446.13</v>
      </c>
      <c r="AM246" s="171">
        <v>740526.36</v>
      </c>
      <c r="AN246" s="337"/>
      <c r="AO246" s="337"/>
      <c r="AP246" s="337"/>
      <c r="AQ246" s="337"/>
      <c r="AR246" s="171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1">
        <v>785087.26</v>
      </c>
      <c r="AY246" s="171">
        <v>776994.57</v>
      </c>
      <c r="AZ246" s="171">
        <v>761139.32</v>
      </c>
      <c r="BA246" s="171">
        <v>748549.32</v>
      </c>
      <c r="BB246" s="171">
        <v>730050.23</v>
      </c>
      <c r="BC246" s="171">
        <v>719015.13</v>
      </c>
      <c r="BD246" s="171">
        <v>725038.65</v>
      </c>
      <c r="BE246" s="171">
        <v>747621.13</v>
      </c>
      <c r="BF246" s="171">
        <v>748326.94</v>
      </c>
      <c r="BG246" s="171">
        <v>772900.59</v>
      </c>
      <c r="BH246" s="171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  <c r="CI246" s="329"/>
    </row>
    <row r="247" ht="15.75" customHeight="1">
      <c r="A247" s="317" t="s">
        <v>2547</v>
      </c>
      <c r="B247" s="239" t="s">
        <v>3228</v>
      </c>
      <c r="C247" s="331" t="s">
        <v>3232</v>
      </c>
      <c r="D247" s="319" t="s">
        <v>2550</v>
      </c>
      <c r="E247" s="319" t="s">
        <v>29</v>
      </c>
      <c r="F247" s="95" t="s">
        <v>2562</v>
      </c>
      <c r="G247" s="44" t="str">
        <f t="shared" si="1"/>
        <v>Augusto</v>
      </c>
      <c r="H247" s="332" t="s">
        <v>186</v>
      </c>
      <c r="I247" s="46" t="s">
        <v>24</v>
      </c>
      <c r="J247" s="319" t="str">
        <f t="shared" si="2"/>
        <v>Não</v>
      </c>
      <c r="K247" s="333">
        <v>43570.0</v>
      </c>
      <c r="L247" s="333">
        <v>45007.0</v>
      </c>
      <c r="M247" s="95" t="s">
        <v>190</v>
      </c>
      <c r="N247" s="334">
        <v>0.02</v>
      </c>
      <c r="O247" s="319" t="s">
        <v>191</v>
      </c>
      <c r="P247" s="322">
        <v>0.2</v>
      </c>
      <c r="Q247" s="95" t="str">
        <f>IFERROR(VLOOKUP(F247,'Cadastro de assessores'!A:B,2,FALSE),"Não Cadastrado")</f>
        <v>2971</v>
      </c>
      <c r="R247" s="95" t="s">
        <v>2563</v>
      </c>
      <c r="S247" s="333">
        <v>43570.0</v>
      </c>
      <c r="T247" s="169"/>
      <c r="U247" s="169"/>
      <c r="V247" s="45" t="s">
        <v>108</v>
      </c>
      <c r="W247" s="13" t="s">
        <v>3230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2602</v>
      </c>
      <c r="AE247" s="171">
        <v>0.0</v>
      </c>
      <c r="AF247" s="171">
        <v>0.0</v>
      </c>
      <c r="AG247" s="171">
        <v>0.0</v>
      </c>
      <c r="AH247" s="171">
        <v>0.0</v>
      </c>
      <c r="AI247" s="171">
        <v>0.0</v>
      </c>
      <c r="AJ247" s="171">
        <v>0.0</v>
      </c>
      <c r="AK247" s="171">
        <v>0.0</v>
      </c>
      <c r="AL247" s="171"/>
      <c r="AM247" s="171"/>
      <c r="AN247" s="171">
        <v>733421.83</v>
      </c>
      <c r="AO247" s="171">
        <v>76932.08</v>
      </c>
      <c r="AP247" s="171">
        <v>779671.58</v>
      </c>
      <c r="AQ247" s="171">
        <v>764648.77</v>
      </c>
      <c r="AR247" s="171"/>
      <c r="AS247" s="171"/>
      <c r="AT247" s="171"/>
      <c r="AU247" s="171"/>
      <c r="AV247" s="171"/>
      <c r="AW247" s="171"/>
      <c r="AX247" s="337"/>
      <c r="AY247" s="337"/>
      <c r="AZ247" s="337"/>
      <c r="BA247" s="171"/>
      <c r="BB247" s="171"/>
      <c r="BC247" s="171"/>
      <c r="BD247" s="171"/>
      <c r="BE247" s="171"/>
      <c r="BF247" s="171">
        <v>0.0</v>
      </c>
      <c r="BG247" s="171">
        <v>0.0</v>
      </c>
      <c r="BH247" s="171">
        <v>0.0</v>
      </c>
      <c r="BI247" s="171" t="s">
        <v>2566</v>
      </c>
      <c r="BJ247" s="171">
        <v>0.0</v>
      </c>
      <c r="BK247" s="171" t="s">
        <v>2566</v>
      </c>
      <c r="BL247" s="171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  <c r="CI247" s="329"/>
    </row>
    <row r="248" ht="15.75" customHeight="1">
      <c r="A248" s="317" t="s">
        <v>2547</v>
      </c>
      <c r="B248" s="42" t="s">
        <v>1642</v>
      </c>
      <c r="C248" s="330" t="s">
        <v>3233</v>
      </c>
      <c r="D248" s="319" t="s">
        <v>18</v>
      </c>
      <c r="E248" s="319" t="s">
        <v>176</v>
      </c>
      <c r="F248" s="93" t="s">
        <v>197</v>
      </c>
      <c r="G248" s="44" t="str">
        <f t="shared" si="1"/>
        <v>Augusto</v>
      </c>
      <c r="H248" s="332" t="s">
        <v>186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269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107</v>
      </c>
      <c r="S248" s="72">
        <v>44382.0</v>
      </c>
      <c r="T248" s="97"/>
      <c r="U248" s="50"/>
      <c r="V248" s="45" t="s">
        <v>108</v>
      </c>
      <c r="W248" s="5" t="s">
        <v>1645</v>
      </c>
      <c r="X248" s="164" t="s">
        <v>180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119</v>
      </c>
      <c r="AC248" s="95"/>
      <c r="AD248" s="45" t="s">
        <v>2609</v>
      </c>
      <c r="AE248" s="191"/>
      <c r="AF248" s="191"/>
      <c r="AG248" s="191"/>
      <c r="AH248" s="191"/>
      <c r="AI248" s="191"/>
      <c r="AJ248" s="191"/>
      <c r="AK248" s="191"/>
      <c r="AL248" s="191"/>
      <c r="AM248" s="191"/>
      <c r="AN248" s="191"/>
      <c r="AO248" s="191"/>
      <c r="AP248" s="191"/>
      <c r="AQ248" s="171"/>
      <c r="AR248" s="171"/>
      <c r="AS248" s="171"/>
      <c r="AT248" s="171"/>
      <c r="AU248" s="171"/>
      <c r="AV248" s="171"/>
      <c r="AW248" s="191"/>
      <c r="AX248" s="171">
        <v>120892.91</v>
      </c>
      <c r="AY248" s="171">
        <v>54763.04</v>
      </c>
      <c r="AZ248" s="171">
        <v>53126.97</v>
      </c>
      <c r="BA248" s="171">
        <v>51666.16</v>
      </c>
      <c r="BB248" s="171">
        <v>49508.4</v>
      </c>
      <c r="BC248" s="171">
        <v>48536.71</v>
      </c>
      <c r="BD248" s="171">
        <v>48926.72</v>
      </c>
      <c r="BE248" s="171">
        <v>50088.33</v>
      </c>
      <c r="BF248" s="171">
        <v>50962.87</v>
      </c>
      <c r="BG248" s="171">
        <v>53112.37</v>
      </c>
      <c r="BH248" s="171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  <c r="CI248" s="329"/>
    </row>
    <row r="249" ht="15.75" customHeight="1">
      <c r="A249" s="317" t="s">
        <v>2547</v>
      </c>
      <c r="B249" s="239" t="s">
        <v>3234</v>
      </c>
      <c r="C249" s="331" t="s">
        <v>3235</v>
      </c>
      <c r="D249" s="319" t="s">
        <v>18</v>
      </c>
      <c r="E249" s="319" t="s">
        <v>29</v>
      </c>
      <c r="F249" s="95" t="s">
        <v>2803</v>
      </c>
      <c r="G249" s="44" t="str">
        <f t="shared" si="1"/>
        <v>Augusto</v>
      </c>
      <c r="H249" s="332" t="s">
        <v>186</v>
      </c>
      <c r="I249" s="46" t="s">
        <v>24</v>
      </c>
      <c r="J249" s="319" t="str">
        <f t="shared" si="2"/>
        <v>Não</v>
      </c>
      <c r="K249" s="333">
        <v>43990.0</v>
      </c>
      <c r="L249" s="333">
        <v>44309.0</v>
      </c>
      <c r="M249" s="95" t="s">
        <v>47</v>
      </c>
      <c r="N249" s="334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2563</v>
      </c>
      <c r="S249" s="333">
        <v>43990.0</v>
      </c>
      <c r="T249" s="169"/>
      <c r="U249" s="169"/>
      <c r="V249" s="45" t="s">
        <v>108</v>
      </c>
      <c r="W249" s="13" t="s">
        <v>3236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2614</v>
      </c>
      <c r="AE249" s="171">
        <v>0.0</v>
      </c>
      <c r="AF249" s="171">
        <v>0.0</v>
      </c>
      <c r="AG249" s="171">
        <v>0.0</v>
      </c>
      <c r="AH249" s="171">
        <v>0.0</v>
      </c>
      <c r="AI249" s="171">
        <v>0.0</v>
      </c>
      <c r="AJ249" s="171">
        <v>67714.78</v>
      </c>
      <c r="AK249" s="171">
        <v>71790.67</v>
      </c>
      <c r="AL249" s="171">
        <v>67278.12</v>
      </c>
      <c r="AM249" s="171">
        <v>63186.8</v>
      </c>
      <c r="AN249" s="171"/>
      <c r="AO249" s="171"/>
      <c r="AP249" s="171"/>
      <c r="AQ249" s="171"/>
      <c r="AR249" s="171"/>
      <c r="AS249" s="171"/>
      <c r="AT249" s="171"/>
      <c r="AU249" s="171"/>
      <c r="AV249" s="171"/>
      <c r="AW249" s="171"/>
      <c r="AX249" s="337"/>
      <c r="AY249" s="337"/>
      <c r="AZ249" s="337"/>
      <c r="BA249" s="171"/>
      <c r="BB249" s="171"/>
      <c r="BC249" s="171"/>
      <c r="BD249" s="171"/>
      <c r="BE249" s="171"/>
      <c r="BF249" s="171">
        <v>0.0</v>
      </c>
      <c r="BG249" s="171">
        <v>0.0</v>
      </c>
      <c r="BH249" s="171">
        <v>0.0</v>
      </c>
      <c r="BI249" s="171" t="s">
        <v>2566</v>
      </c>
      <c r="BJ249" s="171">
        <v>0.0</v>
      </c>
      <c r="BK249" s="171" t="s">
        <v>2566</v>
      </c>
      <c r="BL249" s="171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  <c r="CI249" s="329"/>
    </row>
    <row r="250" ht="15.75" customHeight="1">
      <c r="A250" s="317" t="s">
        <v>2547</v>
      </c>
      <c r="B250" s="42" t="s">
        <v>1646</v>
      </c>
      <c r="C250" s="330" t="s">
        <v>3237</v>
      </c>
      <c r="D250" s="319" t="s">
        <v>18</v>
      </c>
      <c r="E250" s="319" t="s">
        <v>176</v>
      </c>
      <c r="F250" s="93" t="s">
        <v>197</v>
      </c>
      <c r="G250" s="44" t="str">
        <f t="shared" si="1"/>
        <v>Breno</v>
      </c>
      <c r="H250" s="332" t="s">
        <v>107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4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107</v>
      </c>
      <c r="S250" s="320">
        <v>44328.0</v>
      </c>
      <c r="T250" s="60"/>
      <c r="U250" s="50"/>
      <c r="V250" s="45" t="s">
        <v>108</v>
      </c>
      <c r="W250" s="5" t="s">
        <v>1648</v>
      </c>
      <c r="X250" s="164" t="s">
        <v>180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119</v>
      </c>
      <c r="AC250" s="95"/>
      <c r="AD250" s="95" t="s">
        <v>2609</v>
      </c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326"/>
      <c r="AT250" s="326"/>
      <c r="AU250" s="326"/>
      <c r="AV250" s="326"/>
      <c r="AW250" s="326">
        <v>270279.47</v>
      </c>
      <c r="AX250" s="171">
        <v>271998.37</v>
      </c>
      <c r="AY250" s="171">
        <v>270765.53</v>
      </c>
      <c r="AZ250" s="171">
        <v>266487.0</v>
      </c>
      <c r="BA250" s="171">
        <v>240309.55</v>
      </c>
      <c r="BB250" s="171">
        <v>255423.86</v>
      </c>
      <c r="BC250" s="171">
        <v>253066.95</v>
      </c>
      <c r="BD250" s="171">
        <v>254007.65</v>
      </c>
      <c r="BE250" s="171">
        <v>260697.1</v>
      </c>
      <c r="BF250" s="171">
        <v>262266.95</v>
      </c>
      <c r="BG250" s="171">
        <v>272589.71</v>
      </c>
      <c r="BH250" s="171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  <c r="CI250" s="329"/>
    </row>
    <row r="251" ht="15.75" customHeight="1">
      <c r="A251" s="317" t="s">
        <v>2547</v>
      </c>
      <c r="B251" s="235" t="s">
        <v>3238</v>
      </c>
      <c r="C251" s="331" t="s">
        <v>3239</v>
      </c>
      <c r="D251" s="319" t="s">
        <v>2550</v>
      </c>
      <c r="E251" s="319" t="s">
        <v>29</v>
      </c>
      <c r="F251" s="95" t="s">
        <v>2550</v>
      </c>
      <c r="G251" s="44" t="str">
        <f t="shared" si="1"/>
        <v>Augusto</v>
      </c>
      <c r="H251" s="332" t="s">
        <v>186</v>
      </c>
      <c r="I251" s="46" t="s">
        <v>24</v>
      </c>
      <c r="J251" s="319" t="str">
        <f t="shared" si="2"/>
        <v>Não</v>
      </c>
      <c r="K251" s="333">
        <v>44036.0</v>
      </c>
      <c r="L251" s="338">
        <v>44484.0</v>
      </c>
      <c r="M251" s="95" t="s">
        <v>79</v>
      </c>
      <c r="N251" s="334">
        <v>0.012</v>
      </c>
      <c r="O251" s="319" t="s">
        <v>2552</v>
      </c>
      <c r="P251" s="322">
        <v>0.0</v>
      </c>
      <c r="Q251" s="95" t="str">
        <f>IFERROR(VLOOKUP(F251,'Cadastro de assessores'!A:B,2,FALSE),"Não Cadastrado")</f>
        <v>18986</v>
      </c>
      <c r="R251" s="95" t="s">
        <v>2563</v>
      </c>
      <c r="S251" s="333">
        <v>44036.0</v>
      </c>
      <c r="T251" s="169"/>
      <c r="U251" s="169"/>
      <c r="V251" s="45" t="s">
        <v>108</v>
      </c>
      <c r="W251" s="13" t="s">
        <v>3240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3241</v>
      </c>
      <c r="AE251" s="171">
        <v>0.0</v>
      </c>
      <c r="AF251" s="171">
        <v>0.0</v>
      </c>
      <c r="AG251" s="171">
        <v>0.0</v>
      </c>
      <c r="AH251" s="171">
        <v>0.0</v>
      </c>
      <c r="AI251" s="171">
        <v>0.0</v>
      </c>
      <c r="AJ251" s="171">
        <v>0.0</v>
      </c>
      <c r="AK251" s="171">
        <v>30461.16</v>
      </c>
      <c r="AL251" s="171">
        <v>30245.47</v>
      </c>
      <c r="AM251" s="171">
        <v>29907.87</v>
      </c>
      <c r="AN251" s="171">
        <v>62946.48</v>
      </c>
      <c r="AO251" s="171">
        <v>71454.95</v>
      </c>
      <c r="AP251" s="171">
        <v>0.0</v>
      </c>
      <c r="AQ251" s="337"/>
      <c r="AR251" s="171">
        <v>30803.16</v>
      </c>
      <c r="AS251" s="171">
        <v>30681.75</v>
      </c>
      <c r="AT251" s="171">
        <v>31106.87</v>
      </c>
      <c r="AU251" s="171">
        <v>31180.94</v>
      </c>
      <c r="AV251" s="171">
        <v>31078.54</v>
      </c>
      <c r="AW251" s="171">
        <v>31306.96</v>
      </c>
      <c r="AX251" s="171">
        <v>0.83</v>
      </c>
      <c r="AY251" s="337"/>
      <c r="AZ251" s="337">
        <v>0.22</v>
      </c>
      <c r="BA251" s="171">
        <v>0.22</v>
      </c>
      <c r="BB251" s="171"/>
      <c r="BC251" s="171"/>
      <c r="BD251" s="171"/>
      <c r="BE251" s="171"/>
      <c r="BF251" s="171">
        <v>0.0</v>
      </c>
      <c r="BG251" s="171">
        <v>0.0</v>
      </c>
      <c r="BH251" s="171">
        <v>0.0</v>
      </c>
      <c r="BI251" s="171" t="s">
        <v>2566</v>
      </c>
      <c r="BJ251" s="171">
        <v>0.0</v>
      </c>
      <c r="BK251" s="171" t="s">
        <v>2566</v>
      </c>
      <c r="BL251" s="171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  <c r="CI251" s="329"/>
    </row>
    <row r="252" ht="15.75" customHeight="1">
      <c r="A252" s="317" t="s">
        <v>2547</v>
      </c>
      <c r="B252" s="156" t="s">
        <v>3242</v>
      </c>
      <c r="C252" s="330" t="s">
        <v>3243</v>
      </c>
      <c r="D252" s="319" t="s">
        <v>18</v>
      </c>
      <c r="E252" s="319" t="s">
        <v>29</v>
      </c>
      <c r="F252" s="95" t="s">
        <v>60</v>
      </c>
      <c r="G252" s="44" t="str">
        <f t="shared" si="1"/>
        <v>Breno</v>
      </c>
      <c r="H252" s="165" t="s">
        <v>107</v>
      </c>
      <c r="I252" s="46" t="s">
        <v>24</v>
      </c>
      <c r="J252" s="319" t="str">
        <f t="shared" si="2"/>
        <v>Não</v>
      </c>
      <c r="K252" s="333">
        <v>45163.0</v>
      </c>
      <c r="L252" s="338"/>
      <c r="M252" s="95" t="s">
        <v>55</v>
      </c>
      <c r="N252" s="334">
        <v>0.01</v>
      </c>
      <c r="O252" s="319" t="s">
        <v>2552</v>
      </c>
      <c r="P252" s="322">
        <v>0.0</v>
      </c>
      <c r="Q252" s="45">
        <v>12332.0</v>
      </c>
      <c r="R252" s="95"/>
      <c r="S252" s="333"/>
      <c r="T252" s="169"/>
      <c r="U252" s="169"/>
      <c r="V252" s="45" t="s">
        <v>108</v>
      </c>
      <c r="W252" s="11" t="s">
        <v>3244</v>
      </c>
      <c r="X252" s="13" t="s">
        <v>1818</v>
      </c>
      <c r="Y252" s="51" t="str">
        <f t="shared" si="3"/>
        <v>Ativo</v>
      </c>
      <c r="Z252" s="325"/>
      <c r="AA252" s="95" t="str">
        <f t="shared" si="7"/>
        <v/>
      </c>
      <c r="AB252" s="13" t="s">
        <v>119</v>
      </c>
      <c r="AC252" s="95"/>
      <c r="AD252" s="95"/>
      <c r="AE252" s="171"/>
      <c r="AF252" s="171"/>
      <c r="AG252" s="171"/>
      <c r="AH252" s="171"/>
      <c r="AI252" s="171"/>
      <c r="AJ252" s="171"/>
      <c r="AK252" s="171"/>
      <c r="AL252" s="171"/>
      <c r="AM252" s="171"/>
      <c r="AN252" s="171"/>
      <c r="AO252" s="171"/>
      <c r="AP252" s="171"/>
      <c r="AQ252" s="337"/>
      <c r="AR252" s="171"/>
      <c r="AS252" s="171"/>
      <c r="AT252" s="171"/>
      <c r="AU252" s="171"/>
      <c r="AV252" s="171"/>
      <c r="AW252" s="171"/>
      <c r="AX252" s="171"/>
      <c r="AY252" s="337"/>
      <c r="AZ252" s="337"/>
      <c r="BA252" s="171"/>
      <c r="BB252" s="171"/>
      <c r="BC252" s="171"/>
      <c r="BD252" s="171"/>
      <c r="BE252" s="171"/>
      <c r="BF252" s="171"/>
      <c r="BG252" s="171"/>
      <c r="BH252" s="171"/>
      <c r="BI252" s="171"/>
      <c r="BJ252" s="171"/>
      <c r="BK252" s="171"/>
      <c r="BL252" s="171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  <c r="CI252" s="329"/>
    </row>
    <row r="253" ht="15.75" customHeight="1">
      <c r="A253" s="317" t="s">
        <v>2547</v>
      </c>
      <c r="B253" s="239" t="s">
        <v>3245</v>
      </c>
      <c r="C253" s="331" t="s">
        <v>3246</v>
      </c>
      <c r="D253" s="319" t="s">
        <v>2550</v>
      </c>
      <c r="E253" s="319" t="s">
        <v>29</v>
      </c>
      <c r="F253" s="95" t="s">
        <v>2551</v>
      </c>
      <c r="G253" s="44" t="str">
        <f t="shared" si="1"/>
        <v>Augusto</v>
      </c>
      <c r="H253" s="332" t="s">
        <v>186</v>
      </c>
      <c r="I253" s="46" t="s">
        <v>24</v>
      </c>
      <c r="J253" s="319" t="str">
        <f t="shared" si="2"/>
        <v>Não</v>
      </c>
      <c r="K253" s="333">
        <v>43564.0</v>
      </c>
      <c r="L253" s="355">
        <v>43899.0</v>
      </c>
      <c r="M253" s="95" t="s">
        <v>190</v>
      </c>
      <c r="N253" s="334">
        <v>0.02</v>
      </c>
      <c r="O253" s="319" t="s">
        <v>191</v>
      </c>
      <c r="P253" s="322">
        <v>0.2</v>
      </c>
      <c r="Q253" s="95" t="str">
        <f>IFERROR(VLOOKUP(F253,'Cadastro de assessores'!A:B,2,FALSE),"Não Cadastrado")</f>
        <v>17573</v>
      </c>
      <c r="R253" s="95" t="s">
        <v>2563</v>
      </c>
      <c r="S253" s="333">
        <v>43564.0</v>
      </c>
      <c r="T253" s="169"/>
      <c r="U253" s="169"/>
      <c r="V253" s="45" t="s">
        <v>108</v>
      </c>
      <c r="W253" s="13" t="s">
        <v>3247</v>
      </c>
      <c r="X253" s="164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2591</v>
      </c>
      <c r="AE253" s="171">
        <v>8761.69</v>
      </c>
      <c r="AF253" s="171">
        <v>8857.1</v>
      </c>
      <c r="AG253" s="171">
        <v>0.0</v>
      </c>
      <c r="AH253" s="171">
        <v>0.0</v>
      </c>
      <c r="AI253" s="171">
        <v>0.0</v>
      </c>
      <c r="AJ253" s="171">
        <v>0.0</v>
      </c>
      <c r="AK253" s="171">
        <v>0.0</v>
      </c>
      <c r="AL253" s="337"/>
      <c r="AM253" s="337"/>
      <c r="AN253" s="171">
        <v>29929.01</v>
      </c>
      <c r="AO253" s="171">
        <v>30932.65</v>
      </c>
      <c r="AP253" s="171">
        <v>31502.25</v>
      </c>
      <c r="AQ253" s="171">
        <v>31216.78</v>
      </c>
      <c r="AR253" s="171"/>
      <c r="AS253" s="171"/>
      <c r="AT253" s="171"/>
      <c r="AU253" s="171"/>
      <c r="AV253" s="171"/>
      <c r="AW253" s="171">
        <v>26052.28</v>
      </c>
      <c r="AX253" s="171">
        <v>26052.28</v>
      </c>
      <c r="AY253" s="171">
        <v>26052.28</v>
      </c>
      <c r="AZ253" s="171">
        <v>26052.28</v>
      </c>
      <c r="BA253" s="171"/>
      <c r="BB253" s="171"/>
      <c r="BC253" s="171"/>
      <c r="BD253" s="171"/>
      <c r="BE253" s="171"/>
      <c r="BF253" s="171">
        <v>0.0</v>
      </c>
      <c r="BG253" s="171">
        <v>0.0</v>
      </c>
      <c r="BH253" s="171">
        <v>0.0</v>
      </c>
      <c r="BI253" s="171" t="s">
        <v>2566</v>
      </c>
      <c r="BJ253" s="171">
        <v>0.0</v>
      </c>
      <c r="BK253" s="171" t="s">
        <v>2566</v>
      </c>
      <c r="BL253" s="171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  <c r="CI253" s="329"/>
    </row>
    <row r="254" ht="15.75" customHeight="1">
      <c r="A254" s="317" t="s">
        <v>2547</v>
      </c>
      <c r="B254" s="235" t="s">
        <v>3245</v>
      </c>
      <c r="C254" s="331" t="s">
        <v>3248</v>
      </c>
      <c r="D254" s="319" t="s">
        <v>18</v>
      </c>
      <c r="E254" s="319" t="s">
        <v>29</v>
      </c>
      <c r="F254" s="319" t="s">
        <v>294</v>
      </c>
      <c r="G254" s="44" t="str">
        <f t="shared" si="1"/>
        <v>Augusto</v>
      </c>
      <c r="H254" s="165" t="s">
        <v>107</v>
      </c>
      <c r="I254" s="46" t="s">
        <v>24</v>
      </c>
      <c r="J254" s="319" t="str">
        <f t="shared" si="2"/>
        <v>Sim</v>
      </c>
      <c r="K254" s="335">
        <v>43811.0</v>
      </c>
      <c r="L254" s="95"/>
      <c r="M254" s="95" t="s">
        <v>79</v>
      </c>
      <c r="N254" s="334">
        <v>0.012</v>
      </c>
      <c r="O254" s="319" t="s">
        <v>2552</v>
      </c>
      <c r="P254" s="322">
        <v>0.0</v>
      </c>
      <c r="Q254" s="319">
        <f>IFERROR(VLOOKUP(F254,'Cadastro de assessores'!A:B,2,FALSE),"Não Cadastrado")</f>
        <v>12359</v>
      </c>
      <c r="R254" s="319" t="s">
        <v>107</v>
      </c>
      <c r="S254" s="335">
        <v>43811.0</v>
      </c>
      <c r="T254" s="336" t="s">
        <v>3249</v>
      </c>
      <c r="U254" s="336" t="s">
        <v>3042</v>
      </c>
      <c r="V254" s="45" t="s">
        <v>108</v>
      </c>
      <c r="W254" s="13" t="s">
        <v>3247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110</v>
      </c>
      <c r="AC254" s="95"/>
      <c r="AD254" s="319" t="s">
        <v>2591</v>
      </c>
      <c r="AE254" s="171">
        <v>1002347.14</v>
      </c>
      <c r="AF254" s="171">
        <v>991543.44</v>
      </c>
      <c r="AG254" s="171">
        <v>951304.34</v>
      </c>
      <c r="AH254" s="171">
        <v>963372.96</v>
      </c>
      <c r="AI254" s="171">
        <v>973781.19</v>
      </c>
      <c r="AJ254" s="171">
        <v>1164927.06</v>
      </c>
      <c r="AK254" s="171">
        <v>1185978.42</v>
      </c>
      <c r="AL254" s="171">
        <v>1495938.39</v>
      </c>
      <c r="AM254" s="171">
        <v>1396288.53</v>
      </c>
      <c r="AN254" s="337"/>
      <c r="AO254" s="337"/>
      <c r="AP254" s="337"/>
      <c r="AQ254" s="337"/>
      <c r="AR254" s="171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1">
        <v>1370848.85</v>
      </c>
      <c r="AY254" s="171">
        <v>1320234.63</v>
      </c>
      <c r="AZ254" s="171">
        <v>1307388.13</v>
      </c>
      <c r="BA254" s="171">
        <v>1214684.84</v>
      </c>
      <c r="BB254" s="171">
        <v>1229403.82</v>
      </c>
      <c r="BC254" s="171">
        <v>1221835.86</v>
      </c>
      <c r="BD254" s="171">
        <v>1234230.05</v>
      </c>
      <c r="BE254" s="171">
        <v>1175679.42</v>
      </c>
      <c r="BF254" s="171">
        <v>1225859.36</v>
      </c>
      <c r="BG254" s="171">
        <v>1201452.19</v>
      </c>
      <c r="BH254" s="171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  <c r="CI254" s="329"/>
    </row>
    <row r="255" ht="15.75" customHeight="1">
      <c r="A255" s="317" t="s">
        <v>2547</v>
      </c>
      <c r="B255" s="239" t="s">
        <v>1665</v>
      </c>
      <c r="C255" s="331" t="s">
        <v>3250</v>
      </c>
      <c r="D255" s="319" t="s">
        <v>18</v>
      </c>
      <c r="E255" s="319" t="s">
        <v>176</v>
      </c>
      <c r="F255" s="95" t="s">
        <v>2634</v>
      </c>
      <c r="G255" s="44" t="str">
        <f t="shared" si="1"/>
        <v>Augusto</v>
      </c>
      <c r="H255" s="165" t="s">
        <v>147</v>
      </c>
      <c r="I255" s="51" t="s">
        <v>219</v>
      </c>
      <c r="J255" s="319" t="str">
        <f t="shared" si="2"/>
        <v>Sim</v>
      </c>
      <c r="K255" s="333">
        <v>44761.0</v>
      </c>
      <c r="L255" s="333"/>
      <c r="M255" s="95" t="s">
        <v>55</v>
      </c>
      <c r="N255" s="334">
        <v>0.007</v>
      </c>
      <c r="O255" s="319" t="s">
        <v>2552</v>
      </c>
      <c r="P255" s="322">
        <v>0.0</v>
      </c>
      <c r="Q255" s="319" t="str">
        <f>IFERROR(VLOOKUP(F255,'Cadastro de assessores'!A:B,2,FALSE),"Não Cadastrado")</f>
        <v>22066</v>
      </c>
      <c r="R255" s="319" t="s">
        <v>107</v>
      </c>
      <c r="S255" s="333">
        <v>44761.0</v>
      </c>
      <c r="T255" s="169" t="s">
        <v>3251</v>
      </c>
      <c r="U255" s="169"/>
      <c r="V255" s="45" t="s">
        <v>108</v>
      </c>
      <c r="W255" s="13" t="s">
        <v>1668</v>
      </c>
      <c r="X255" s="164" t="s">
        <v>180</v>
      </c>
      <c r="Y255" s="51" t="str">
        <f t="shared" si="3"/>
        <v>Ativo</v>
      </c>
      <c r="Z255" s="325"/>
      <c r="AA255" s="95" t="str">
        <f t="shared" si="7"/>
        <v/>
      </c>
      <c r="AB255" s="13" t="s">
        <v>119</v>
      </c>
      <c r="AC255" s="95"/>
      <c r="AD255" s="95" t="s">
        <v>2559</v>
      </c>
      <c r="AE255" s="171"/>
      <c r="AF255" s="171"/>
      <c r="AG255" s="171"/>
      <c r="AH255" s="171"/>
      <c r="AI255" s="171"/>
      <c r="AJ255" s="171"/>
      <c r="AK255" s="171"/>
      <c r="AL255" s="171"/>
      <c r="AM255" s="171"/>
      <c r="AN255" s="171"/>
      <c r="AO255" s="171"/>
      <c r="AP255" s="171"/>
      <c r="AQ255" s="171"/>
      <c r="AR255" s="171"/>
      <c r="AS255" s="171"/>
      <c r="AT255" s="171"/>
      <c r="AU255" s="171"/>
      <c r="AV255" s="171"/>
      <c r="AW255" s="171"/>
      <c r="AX255" s="337"/>
      <c r="AY255" s="337"/>
      <c r="AZ255" s="337"/>
      <c r="BA255" s="171"/>
      <c r="BB255" s="171"/>
      <c r="BC255" s="171"/>
      <c r="BD255" s="171"/>
      <c r="BE255" s="171"/>
      <c r="BF255" s="171"/>
      <c r="BG255" s="171"/>
      <c r="BH255" s="171"/>
      <c r="BI255" s="171"/>
      <c r="BJ255" s="171"/>
      <c r="BK255" s="171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  <c r="CI255" s="329"/>
    </row>
    <row r="256" ht="15.75" customHeight="1">
      <c r="A256" s="317" t="s">
        <v>2547</v>
      </c>
      <c r="B256" s="239" t="s">
        <v>3252</v>
      </c>
      <c r="C256" s="331" t="s">
        <v>3253</v>
      </c>
      <c r="D256" s="319" t="s">
        <v>18</v>
      </c>
      <c r="E256" s="319" t="s">
        <v>29</v>
      </c>
      <c r="F256" s="95" t="s">
        <v>60</v>
      </c>
      <c r="G256" s="44" t="str">
        <f t="shared" si="1"/>
        <v>Augusto</v>
      </c>
      <c r="H256" s="332" t="s">
        <v>186</v>
      </c>
      <c r="I256" s="46" t="s">
        <v>24</v>
      </c>
      <c r="J256" s="319" t="str">
        <f t="shared" si="2"/>
        <v>Não</v>
      </c>
      <c r="K256" s="333">
        <v>43475.0</v>
      </c>
      <c r="L256" s="333">
        <v>44309.0</v>
      </c>
      <c r="M256" s="95" t="s">
        <v>269</v>
      </c>
      <c r="N256" s="334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2563</v>
      </c>
      <c r="S256" s="333">
        <v>43475.0</v>
      </c>
      <c r="T256" s="377"/>
      <c r="U256" s="377"/>
      <c r="V256" s="45" t="s">
        <v>108</v>
      </c>
      <c r="W256" s="13" t="s">
        <v>3254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2623</v>
      </c>
      <c r="AE256" s="171">
        <v>110797.11</v>
      </c>
      <c r="AF256" s="171">
        <v>107308.33</v>
      </c>
      <c r="AG256" s="171">
        <v>97522.68</v>
      </c>
      <c r="AH256" s="171">
        <v>99909.68</v>
      </c>
      <c r="AI256" s="171">
        <v>101363.87</v>
      </c>
      <c r="AJ256" s="171">
        <v>103410.41</v>
      </c>
      <c r="AK256" s="171">
        <v>105146.28</v>
      </c>
      <c r="AL256" s="171">
        <v>102279.88</v>
      </c>
      <c r="AM256" s="171">
        <v>100101.96</v>
      </c>
      <c r="AN256" s="171">
        <v>1379673.24</v>
      </c>
      <c r="AO256" s="171">
        <v>1568661.45</v>
      </c>
      <c r="AP256" s="171">
        <v>1539323.24</v>
      </c>
      <c r="AQ256" s="171">
        <v>1507367.72</v>
      </c>
      <c r="AR256" s="171">
        <v>26077.54</v>
      </c>
      <c r="AS256" s="171"/>
      <c r="AT256" s="171"/>
      <c r="AU256" s="171"/>
      <c r="AV256" s="171"/>
      <c r="AW256" s="171"/>
      <c r="AX256" s="337"/>
      <c r="AY256" s="337"/>
      <c r="AZ256" s="337"/>
      <c r="BA256" s="171"/>
      <c r="BB256" s="171"/>
      <c r="BC256" s="171"/>
      <c r="BD256" s="171"/>
      <c r="BE256" s="171"/>
      <c r="BF256" s="171">
        <v>0.0</v>
      </c>
      <c r="BG256" s="171">
        <v>0.0</v>
      </c>
      <c r="BH256" s="171">
        <v>0.0</v>
      </c>
      <c r="BI256" s="171" t="s">
        <v>2566</v>
      </c>
      <c r="BJ256" s="171">
        <v>0.0</v>
      </c>
      <c r="BK256" s="171" t="s">
        <v>2566</v>
      </c>
      <c r="BL256" s="171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  <c r="CI256" s="329"/>
    </row>
    <row r="257" ht="15.75" customHeight="1">
      <c r="A257" s="317" t="s">
        <v>2547</v>
      </c>
      <c r="B257" s="42" t="s">
        <v>3255</v>
      </c>
      <c r="C257" s="330" t="s">
        <v>3256</v>
      </c>
      <c r="D257" s="319" t="s">
        <v>18</v>
      </c>
      <c r="E257" s="319" t="s">
        <v>176</v>
      </c>
      <c r="F257" s="93" t="s">
        <v>177</v>
      </c>
      <c r="G257" s="44" t="str">
        <f t="shared" si="1"/>
        <v>Augusto</v>
      </c>
      <c r="H257" s="332" t="s">
        <v>186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190</v>
      </c>
      <c r="N257" s="334">
        <v>0.025</v>
      </c>
      <c r="O257" s="319" t="s">
        <v>191</v>
      </c>
      <c r="P257" s="322">
        <v>0.2</v>
      </c>
      <c r="Q257" s="93" t="str">
        <f>IFERROR(VLOOKUP(F257,'Cadastro de assessores'!A:B,2,FALSE),"Não Cadastrado")</f>
        <v>250</v>
      </c>
      <c r="R257" s="319" t="s">
        <v>107</v>
      </c>
      <c r="S257" s="320">
        <v>44371.0</v>
      </c>
      <c r="T257" s="63"/>
      <c r="U257" s="50"/>
      <c r="V257" s="45" t="s">
        <v>108</v>
      </c>
      <c r="W257" s="5" t="s">
        <v>3257</v>
      </c>
      <c r="X257" s="164" t="s">
        <v>180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119</v>
      </c>
      <c r="AC257" s="95"/>
      <c r="AD257" s="45" t="s">
        <v>2559</v>
      </c>
      <c r="AE257" s="191"/>
      <c r="AF257" s="191"/>
      <c r="AG257" s="191"/>
      <c r="AH257" s="191"/>
      <c r="AI257" s="191"/>
      <c r="AJ257" s="191"/>
      <c r="AK257" s="191"/>
      <c r="AL257" s="191"/>
      <c r="AM257" s="191"/>
      <c r="AN257" s="191"/>
      <c r="AO257" s="191"/>
      <c r="AP257" s="191"/>
      <c r="AQ257" s="171"/>
      <c r="AR257" s="326"/>
      <c r="AS257" s="326"/>
      <c r="AT257" s="326"/>
      <c r="AU257" s="326"/>
      <c r="AV257" s="326"/>
      <c r="AW257" s="191"/>
      <c r="AX257" s="171">
        <v>416203.28</v>
      </c>
      <c r="AY257" s="171">
        <v>407926.14</v>
      </c>
      <c r="AZ257" s="171">
        <v>395484.42</v>
      </c>
      <c r="BA257" s="171">
        <v>384252.56</v>
      </c>
      <c r="BB257" s="171">
        <v>365813.88</v>
      </c>
      <c r="BC257" s="171">
        <v>357575.17</v>
      </c>
      <c r="BD257" s="171">
        <v>358987.34</v>
      </c>
      <c r="BE257" s="171">
        <v>376590.94</v>
      </c>
      <c r="BF257" s="171">
        <v>379223.79</v>
      </c>
      <c r="BG257" s="171">
        <v>402090.91</v>
      </c>
      <c r="BH257" s="171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  <c r="CI257" s="329"/>
    </row>
    <row r="258" ht="15.75" customHeight="1">
      <c r="A258" s="317" t="s">
        <v>2547</v>
      </c>
      <c r="B258" s="235" t="s">
        <v>3258</v>
      </c>
      <c r="C258" s="219" t="s">
        <v>3259</v>
      </c>
      <c r="D258" s="319" t="s">
        <v>18</v>
      </c>
      <c r="E258" s="319" t="s">
        <v>19</v>
      </c>
      <c r="F258" s="319" t="s">
        <v>213</v>
      </c>
      <c r="G258" s="44" t="str">
        <f t="shared" si="1"/>
        <v>Augusto</v>
      </c>
      <c r="H258" s="165" t="s">
        <v>147</v>
      </c>
      <c r="I258" s="51" t="s">
        <v>219</v>
      </c>
      <c r="J258" s="319" t="str">
        <f t="shared" si="2"/>
        <v>Não</v>
      </c>
      <c r="K258" s="320">
        <v>44818.0</v>
      </c>
      <c r="L258" s="95"/>
      <c r="M258" s="95" t="s">
        <v>79</v>
      </c>
      <c r="N258" s="334">
        <v>0.012</v>
      </c>
      <c r="O258" s="319" t="s">
        <v>2552</v>
      </c>
      <c r="P258" s="322">
        <v>0.0</v>
      </c>
      <c r="Q258" s="93" t="str">
        <f>IFERROR(VLOOKUP(F258,'Cadastro de assessores'!A:B,2,FALSE),"Não Cadastrado")</f>
        <v>17831</v>
      </c>
      <c r="R258" s="319" t="s">
        <v>107</v>
      </c>
      <c r="S258" s="320">
        <v>44818.0</v>
      </c>
      <c r="T258" s="169"/>
      <c r="U258" s="169"/>
      <c r="V258" s="45" t="s">
        <v>108</v>
      </c>
      <c r="W258" s="13" t="s">
        <v>1691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110</v>
      </c>
      <c r="AC258" s="95"/>
      <c r="AD258" s="95"/>
      <c r="AE258" s="337"/>
      <c r="AF258" s="337"/>
      <c r="AG258" s="337"/>
      <c r="AH258" s="337"/>
      <c r="AI258" s="337"/>
      <c r="AJ258" s="337"/>
      <c r="AK258" s="337"/>
      <c r="AL258" s="337"/>
      <c r="AM258" s="337"/>
      <c r="AN258" s="337"/>
      <c r="AO258" s="337"/>
      <c r="AP258" s="337"/>
      <c r="AQ258" s="337"/>
      <c r="AR258" s="171"/>
      <c r="AS258" s="326"/>
      <c r="AT258" s="326"/>
      <c r="AU258" s="326"/>
      <c r="AV258" s="326"/>
      <c r="AW258" s="326"/>
      <c r="AX258" s="171"/>
      <c r="AY258" s="171"/>
      <c r="AZ258" s="171"/>
      <c r="BA258" s="171"/>
      <c r="BB258" s="171"/>
      <c r="BC258" s="171"/>
      <c r="BD258" s="171"/>
      <c r="BE258" s="171"/>
      <c r="BF258" s="171"/>
      <c r="BG258" s="171"/>
      <c r="BH258" s="171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  <c r="CI258" s="329"/>
    </row>
    <row r="259" ht="15.75" customHeight="1">
      <c r="A259" s="317" t="s">
        <v>2547</v>
      </c>
      <c r="B259" s="235" t="s">
        <v>1696</v>
      </c>
      <c r="C259" s="219" t="s">
        <v>3260</v>
      </c>
      <c r="D259" s="319" t="s">
        <v>18</v>
      </c>
      <c r="E259" s="319" t="s">
        <v>176</v>
      </c>
      <c r="F259" s="319" t="s">
        <v>197</v>
      </c>
      <c r="G259" s="44" t="str">
        <f t="shared" si="1"/>
        <v>Augusto</v>
      </c>
      <c r="H259" s="165" t="s">
        <v>147</v>
      </c>
      <c r="I259" s="51" t="s">
        <v>219</v>
      </c>
      <c r="J259" s="319" t="str">
        <f t="shared" si="2"/>
        <v>Não</v>
      </c>
      <c r="K259" s="320">
        <v>44287.0</v>
      </c>
      <c r="L259" s="95"/>
      <c r="M259" s="95" t="s">
        <v>79</v>
      </c>
      <c r="N259" s="334">
        <v>0.012</v>
      </c>
      <c r="O259" s="319" t="s">
        <v>2552</v>
      </c>
      <c r="P259" s="322">
        <v>0.0</v>
      </c>
      <c r="Q259" s="319" t="str">
        <f>IFERROR(VLOOKUP(F259,'Cadastro de assessores'!A:B,2,FALSE),"Não Cadastrado")</f>
        <v>28411</v>
      </c>
      <c r="R259" s="319" t="s">
        <v>107</v>
      </c>
      <c r="S259" s="320">
        <v>44287.0</v>
      </c>
      <c r="T259" s="63"/>
      <c r="U259" s="169"/>
      <c r="V259" s="45" t="s">
        <v>108</v>
      </c>
      <c r="W259" s="13" t="s">
        <v>1698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110</v>
      </c>
      <c r="AC259" s="95"/>
      <c r="AD259" s="95" t="s">
        <v>3261</v>
      </c>
      <c r="AE259" s="337"/>
      <c r="AF259" s="337"/>
      <c r="AG259" s="337"/>
      <c r="AH259" s="337"/>
      <c r="AI259" s="337"/>
      <c r="AJ259" s="337"/>
      <c r="AK259" s="337"/>
      <c r="AL259" s="337"/>
      <c r="AM259" s="337"/>
      <c r="AN259" s="337"/>
      <c r="AO259" s="337"/>
      <c r="AP259" s="337"/>
      <c r="AQ259" s="337"/>
      <c r="AR259" s="171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1">
        <v>1414252.62</v>
      </c>
      <c r="AY259" s="171">
        <v>1400043.41</v>
      </c>
      <c r="AZ259" s="171">
        <v>1372773.44</v>
      </c>
      <c r="BA259" s="171">
        <v>1353082.99</v>
      </c>
      <c r="BB259" s="171">
        <v>1319317.77</v>
      </c>
      <c r="BC259" s="171">
        <v>1306605.2</v>
      </c>
      <c r="BD259" s="171">
        <v>1317837.94</v>
      </c>
      <c r="BE259" s="171">
        <v>1345959.33</v>
      </c>
      <c r="BF259" s="171">
        <v>1355026.7</v>
      </c>
      <c r="BG259" s="171">
        <v>1246146.41</v>
      </c>
      <c r="BH259" s="171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  <c r="CI259" s="329"/>
    </row>
    <row r="260" ht="15.75" customHeight="1">
      <c r="A260" s="317" t="s">
        <v>2547</v>
      </c>
      <c r="B260" s="42" t="s">
        <v>3262</v>
      </c>
      <c r="C260" s="330" t="s">
        <v>3263</v>
      </c>
      <c r="D260" s="319" t="s">
        <v>18</v>
      </c>
      <c r="E260" s="319" t="s">
        <v>176</v>
      </c>
      <c r="F260" s="319" t="s">
        <v>197</v>
      </c>
      <c r="G260" s="44" t="str">
        <f t="shared" si="1"/>
        <v>Augusto</v>
      </c>
      <c r="H260" s="165" t="s">
        <v>147</v>
      </c>
      <c r="I260" s="51" t="s">
        <v>219</v>
      </c>
      <c r="J260" s="319" t="str">
        <f t="shared" si="2"/>
        <v>Não</v>
      </c>
      <c r="K260" s="320">
        <v>44321.0</v>
      </c>
      <c r="L260" s="95"/>
      <c r="M260" s="95" t="s">
        <v>55</v>
      </c>
      <c r="N260" s="334">
        <v>0.015</v>
      </c>
      <c r="O260" s="319" t="s">
        <v>2552</v>
      </c>
      <c r="P260" s="322">
        <v>0.0</v>
      </c>
      <c r="Q260" s="319" t="str">
        <f>IFERROR(VLOOKUP(F260,'Cadastro de assessores'!A:B,2,FALSE),"Não Cadastrado")</f>
        <v>28411</v>
      </c>
      <c r="R260" s="319" t="s">
        <v>107</v>
      </c>
      <c r="S260" s="320">
        <v>44321.0</v>
      </c>
      <c r="T260" s="63"/>
      <c r="U260" s="50"/>
      <c r="V260" s="45" t="s">
        <v>108</v>
      </c>
      <c r="W260" s="5" t="s">
        <v>3264</v>
      </c>
      <c r="X260" s="164" t="s">
        <v>180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119</v>
      </c>
      <c r="AC260" s="95"/>
      <c r="AD260" s="95" t="s">
        <v>2609</v>
      </c>
      <c r="AE260" s="191"/>
      <c r="AF260" s="191"/>
      <c r="AG260" s="191"/>
      <c r="AH260" s="191"/>
      <c r="AI260" s="191"/>
      <c r="AJ260" s="191"/>
      <c r="AK260" s="191"/>
      <c r="AL260" s="191"/>
      <c r="AM260" s="191"/>
      <c r="AN260" s="191"/>
      <c r="AO260" s="191"/>
      <c r="AP260" s="191"/>
      <c r="AQ260" s="191"/>
      <c r="AR260" s="171"/>
      <c r="AS260" s="326"/>
      <c r="AT260" s="326"/>
      <c r="AU260" s="326"/>
      <c r="AV260" s="326"/>
      <c r="AW260" s="326">
        <v>1226086.09</v>
      </c>
      <c r="AX260" s="171">
        <v>1226802.64</v>
      </c>
      <c r="AY260" s="171">
        <v>1123524.39</v>
      </c>
      <c r="AZ260" s="171">
        <v>1113409.09</v>
      </c>
      <c r="BA260" s="171">
        <v>1097597.89</v>
      </c>
      <c r="BB260" s="171">
        <v>1067162.57</v>
      </c>
      <c r="BC260" s="171">
        <v>1059987.03</v>
      </c>
      <c r="BD260" s="171">
        <v>1061677.64</v>
      </c>
      <c r="BE260" s="171">
        <v>1089953.59</v>
      </c>
      <c r="BF260" s="171">
        <v>1095314.66</v>
      </c>
      <c r="BG260" s="171">
        <v>364087.61</v>
      </c>
      <c r="BH260" s="171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  <c r="CI260" s="329"/>
    </row>
    <row r="261" ht="15.75" customHeight="1">
      <c r="A261" s="317" t="s">
        <v>2547</v>
      </c>
      <c r="B261" s="42" t="s">
        <v>3265</v>
      </c>
      <c r="C261" s="330" t="s">
        <v>3266</v>
      </c>
      <c r="D261" s="319" t="s">
        <v>18</v>
      </c>
      <c r="E261" s="319" t="s">
        <v>176</v>
      </c>
      <c r="F261" s="319" t="s">
        <v>197</v>
      </c>
      <c r="G261" s="44" t="str">
        <f t="shared" si="1"/>
        <v>Augusto</v>
      </c>
      <c r="H261" s="165" t="s">
        <v>147</v>
      </c>
      <c r="I261" s="51" t="s">
        <v>219</v>
      </c>
      <c r="J261" s="319" t="str">
        <f t="shared" si="2"/>
        <v>Não</v>
      </c>
      <c r="K261" s="320">
        <v>44448.0</v>
      </c>
      <c r="L261" s="95"/>
      <c r="M261" s="95" t="s">
        <v>269</v>
      </c>
      <c r="N261" s="334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107</v>
      </c>
      <c r="S261" s="320">
        <v>44448.0</v>
      </c>
      <c r="T261" s="50"/>
      <c r="U261" s="50"/>
      <c r="V261" s="45" t="s">
        <v>108</v>
      </c>
      <c r="W261" s="5" t="s">
        <v>3267</v>
      </c>
      <c r="X261" s="164" t="s">
        <v>180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119</v>
      </c>
      <c r="AC261" s="95"/>
      <c r="AD261" s="95" t="s">
        <v>2609</v>
      </c>
      <c r="AE261" s="234"/>
      <c r="AF261" s="234"/>
      <c r="AG261" s="234"/>
      <c r="AH261" s="234"/>
      <c r="AI261" s="234"/>
      <c r="AJ261" s="234"/>
      <c r="AK261" s="234"/>
      <c r="AL261" s="234"/>
      <c r="AM261" s="234"/>
      <c r="AN261" s="234"/>
      <c r="AO261" s="234"/>
      <c r="AP261" s="171"/>
      <c r="AQ261" s="171"/>
      <c r="AR261" s="326"/>
      <c r="AS261" s="326"/>
      <c r="AT261" s="326"/>
      <c r="AU261" s="326"/>
      <c r="AV261" s="326"/>
      <c r="AW261" s="171"/>
      <c r="AX261" s="171"/>
      <c r="AY261" s="191"/>
      <c r="AZ261" s="191"/>
      <c r="BA261" s="171">
        <v>290862.39</v>
      </c>
      <c r="BB261" s="171">
        <v>278140.32</v>
      </c>
      <c r="BC261" s="171">
        <v>273886.68</v>
      </c>
      <c r="BD261" s="171">
        <v>275540.89</v>
      </c>
      <c r="BE261" s="171">
        <v>283598.63</v>
      </c>
      <c r="BF261" s="171">
        <v>223342.02</v>
      </c>
      <c r="BG261" s="171">
        <v>82079.49</v>
      </c>
      <c r="BH261" s="171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  <c r="CI261" s="329"/>
    </row>
    <row r="262" ht="15.75" customHeight="1">
      <c r="A262" s="317" t="s">
        <v>2547</v>
      </c>
      <c r="B262" s="235" t="s">
        <v>3268</v>
      </c>
      <c r="C262" s="331" t="s">
        <v>3269</v>
      </c>
      <c r="D262" s="319" t="s">
        <v>2550</v>
      </c>
      <c r="E262" s="319" t="s">
        <v>29</v>
      </c>
      <c r="F262" s="95" t="s">
        <v>2551</v>
      </c>
      <c r="G262" s="44" t="str">
        <f t="shared" si="1"/>
        <v>Augusto</v>
      </c>
      <c r="H262" s="332" t="s">
        <v>186</v>
      </c>
      <c r="I262" s="46" t="s">
        <v>24</v>
      </c>
      <c r="J262" s="319" t="str">
        <f t="shared" si="2"/>
        <v>Não</v>
      </c>
      <c r="K262" s="333">
        <v>43873.0</v>
      </c>
      <c r="L262" s="333">
        <v>44473.0</v>
      </c>
      <c r="M262" s="95" t="s">
        <v>47</v>
      </c>
      <c r="N262" s="334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2563</v>
      </c>
      <c r="S262" s="333">
        <v>43873.0</v>
      </c>
      <c r="T262" s="169"/>
      <c r="U262" s="169"/>
      <c r="V262" s="45" t="s">
        <v>108</v>
      </c>
      <c r="W262" s="13" t="s">
        <v>3270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3123</v>
      </c>
      <c r="AE262" s="171">
        <v>0.0</v>
      </c>
      <c r="AF262" s="171">
        <v>216412.44</v>
      </c>
      <c r="AG262" s="171">
        <v>206795.83</v>
      </c>
      <c r="AH262" s="171">
        <v>210045.72</v>
      </c>
      <c r="AI262" s="171">
        <v>212079.09</v>
      </c>
      <c r="AJ262" s="171">
        <v>212436.21</v>
      </c>
      <c r="AK262" s="171">
        <v>215690.26</v>
      </c>
      <c r="AL262" s="171">
        <v>212835.72</v>
      </c>
      <c r="AM262" s="171">
        <v>210208.9</v>
      </c>
      <c r="AN262" s="171">
        <v>99861.65</v>
      </c>
      <c r="AO262" s="171">
        <v>105502.05</v>
      </c>
      <c r="AP262" s="171">
        <v>107696.34</v>
      </c>
      <c r="AQ262" s="171">
        <v>104909.32</v>
      </c>
      <c r="AR262" s="171">
        <v>203112.06</v>
      </c>
      <c r="AS262" s="171">
        <v>192018.42</v>
      </c>
      <c r="AT262" s="171">
        <v>194944.78</v>
      </c>
      <c r="AU262" s="171">
        <v>194270.59</v>
      </c>
      <c r="AV262" s="171">
        <v>194622.83</v>
      </c>
      <c r="AW262" s="171">
        <v>193378.88</v>
      </c>
      <c r="AX262" s="171">
        <v>192384.99</v>
      </c>
      <c r="AY262" s="171">
        <v>183434.52</v>
      </c>
      <c r="AZ262" s="171">
        <v>179990.94</v>
      </c>
      <c r="BA262" s="171">
        <v>154589.27</v>
      </c>
      <c r="BB262" s="171">
        <v>172179.44</v>
      </c>
      <c r="BC262" s="171"/>
      <c r="BD262" s="171"/>
      <c r="BE262" s="171"/>
      <c r="BF262" s="171">
        <v>0.0</v>
      </c>
      <c r="BG262" s="171">
        <v>0.0</v>
      </c>
      <c r="BH262" s="171">
        <v>0.0</v>
      </c>
      <c r="BI262" s="171" t="s">
        <v>2566</v>
      </c>
      <c r="BJ262" s="171">
        <v>0.0</v>
      </c>
      <c r="BK262" s="171" t="s">
        <v>2566</v>
      </c>
      <c r="BL262" s="171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  <c r="CI262" s="329"/>
    </row>
    <row r="263" ht="15.75" customHeight="1">
      <c r="A263" s="317" t="s">
        <v>2547</v>
      </c>
      <c r="B263" s="42" t="s">
        <v>3271</v>
      </c>
      <c r="C263" s="366">
        <v>763978.0</v>
      </c>
      <c r="D263" s="319" t="s">
        <v>18</v>
      </c>
      <c r="E263" s="319" t="s">
        <v>176</v>
      </c>
      <c r="F263" s="319" t="s">
        <v>197</v>
      </c>
      <c r="G263" s="44" t="str">
        <f t="shared" si="1"/>
        <v>Augusto</v>
      </c>
      <c r="H263" s="332" t="s">
        <v>147</v>
      </c>
      <c r="I263" s="51" t="s">
        <v>219</v>
      </c>
      <c r="J263" s="319" t="str">
        <f t="shared" si="2"/>
        <v>Não</v>
      </c>
      <c r="K263" s="333">
        <v>44789.0</v>
      </c>
      <c r="L263" s="338"/>
      <c r="M263" s="95" t="s">
        <v>55</v>
      </c>
      <c r="N263" s="334">
        <v>0.007</v>
      </c>
      <c r="O263" s="319" t="s">
        <v>2552</v>
      </c>
      <c r="P263" s="322">
        <v>0.0</v>
      </c>
      <c r="Q263" s="95" t="str">
        <f>IFERROR(VLOOKUP(F263,'Cadastro de assessores'!A:B,2,FALSE),"Não Cadastrado")</f>
        <v>28411</v>
      </c>
      <c r="R263" s="95" t="s">
        <v>107</v>
      </c>
      <c r="S263" s="333">
        <v>44789.0</v>
      </c>
      <c r="T263" s="169"/>
      <c r="U263" s="169"/>
      <c r="V263" s="45" t="s">
        <v>108</v>
      </c>
      <c r="W263" s="5" t="s">
        <v>3272</v>
      </c>
      <c r="X263" s="164" t="s">
        <v>180</v>
      </c>
      <c r="Y263" s="51" t="str">
        <f t="shared" si="3"/>
        <v>Ativo</v>
      </c>
      <c r="Z263" s="325"/>
      <c r="AA263" s="95" t="str">
        <f t="shared" si="7"/>
        <v/>
      </c>
      <c r="AB263" s="13" t="s">
        <v>119</v>
      </c>
      <c r="AC263" s="95"/>
      <c r="AD263" s="95" t="s">
        <v>2559</v>
      </c>
      <c r="AE263" s="191"/>
      <c r="AF263" s="191"/>
      <c r="AG263" s="191"/>
      <c r="AH263" s="191"/>
      <c r="AI263" s="191"/>
      <c r="AJ263" s="191"/>
      <c r="AK263" s="191"/>
      <c r="AL263" s="191"/>
      <c r="AM263" s="191"/>
      <c r="AN263" s="191"/>
      <c r="AO263" s="191"/>
      <c r="AP263" s="191"/>
      <c r="AQ263" s="191"/>
      <c r="AR263" s="171"/>
      <c r="AS263" s="171"/>
      <c r="AT263" s="171"/>
      <c r="AU263" s="171"/>
      <c r="AV263" s="171"/>
      <c r="AW263" s="171"/>
      <c r="AX263" s="171"/>
      <c r="AY263" s="171"/>
      <c r="AZ263" s="171"/>
      <c r="BA263" s="171"/>
      <c r="BB263" s="171"/>
      <c r="BC263" s="171"/>
      <c r="BD263" s="171"/>
      <c r="BE263" s="171"/>
      <c r="BF263" s="171"/>
      <c r="BG263" s="171"/>
      <c r="BH263" s="171"/>
      <c r="BI263" s="339"/>
      <c r="BJ263" s="171"/>
      <c r="BK263" s="171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  <c r="CI263" s="329"/>
    </row>
    <row r="264" ht="15.75" customHeight="1">
      <c r="A264" s="317" t="s">
        <v>2547</v>
      </c>
      <c r="B264" s="42" t="s">
        <v>1714</v>
      </c>
      <c r="C264" s="385" t="s">
        <v>3273</v>
      </c>
      <c r="D264" s="319" t="s">
        <v>18</v>
      </c>
      <c r="E264" s="319" t="s">
        <v>176</v>
      </c>
      <c r="F264" s="95" t="s">
        <v>177</v>
      </c>
      <c r="G264" s="44" t="str">
        <f t="shared" si="1"/>
        <v>Augusto</v>
      </c>
      <c r="H264" s="332" t="s">
        <v>186</v>
      </c>
      <c r="I264" s="46" t="s">
        <v>24</v>
      </c>
      <c r="J264" s="319" t="str">
        <f t="shared" si="2"/>
        <v>Não</v>
      </c>
      <c r="K264" s="333">
        <v>44322.0</v>
      </c>
      <c r="L264" s="338">
        <v>44512.0</v>
      </c>
      <c r="M264" s="95" t="s">
        <v>47</v>
      </c>
      <c r="N264" s="334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2563</v>
      </c>
      <c r="S264" s="333">
        <v>44322.0</v>
      </c>
      <c r="T264" s="169"/>
      <c r="U264" s="169"/>
      <c r="V264" s="45" t="s">
        <v>108</v>
      </c>
      <c r="W264" s="5" t="s">
        <v>1716</v>
      </c>
      <c r="X264" s="164" t="s">
        <v>180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2609</v>
      </c>
      <c r="AE264" s="191"/>
      <c r="AF264" s="191"/>
      <c r="AG264" s="191"/>
      <c r="AH264" s="191"/>
      <c r="AI264" s="191"/>
      <c r="AJ264" s="191"/>
      <c r="AK264" s="191"/>
      <c r="AL264" s="191"/>
      <c r="AM264" s="191"/>
      <c r="AN264" s="191"/>
      <c r="AO264" s="191"/>
      <c r="AP264" s="191"/>
      <c r="AQ264" s="191"/>
      <c r="AR264" s="171"/>
      <c r="AS264" s="171"/>
      <c r="AT264" s="171"/>
      <c r="AU264" s="171"/>
      <c r="AV264" s="171"/>
      <c r="AW264" s="171">
        <v>368440.03</v>
      </c>
      <c r="AX264" s="171">
        <v>178008.89</v>
      </c>
      <c r="AY264" s="171">
        <v>52436.91</v>
      </c>
      <c r="AZ264" s="171">
        <v>52270.46</v>
      </c>
      <c r="BA264" s="171">
        <v>52424.75</v>
      </c>
      <c r="BB264" s="171">
        <v>52519.83</v>
      </c>
      <c r="BC264" s="171">
        <v>-61.98</v>
      </c>
      <c r="BD264" s="171"/>
      <c r="BE264" s="171"/>
      <c r="BF264" s="171">
        <v>0.0</v>
      </c>
      <c r="BG264" s="171">
        <v>0.0</v>
      </c>
      <c r="BH264" s="171">
        <v>0.0</v>
      </c>
      <c r="BI264" s="339" t="s">
        <v>2566</v>
      </c>
      <c r="BJ264" s="171">
        <v>0.0</v>
      </c>
      <c r="BK264" s="171" t="s">
        <v>2566</v>
      </c>
      <c r="BL264" s="171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  <c r="CI264" s="329"/>
    </row>
    <row r="265" ht="15.75" customHeight="1">
      <c r="A265" s="317" t="s">
        <v>2547</v>
      </c>
      <c r="B265" s="317" t="s">
        <v>1714</v>
      </c>
      <c r="C265" s="318" t="s">
        <v>3274</v>
      </c>
      <c r="D265" s="319" t="s">
        <v>18</v>
      </c>
      <c r="E265" s="319" t="s">
        <v>176</v>
      </c>
      <c r="F265" s="319" t="s">
        <v>177</v>
      </c>
      <c r="G265" s="44" t="str">
        <f t="shared" si="1"/>
        <v>Augusto</v>
      </c>
      <c r="H265" s="165" t="s">
        <v>147</v>
      </c>
      <c r="I265" s="51" t="s">
        <v>219</v>
      </c>
      <c r="J265" s="319" t="str">
        <f t="shared" si="2"/>
        <v>Sim</v>
      </c>
      <c r="K265" s="320">
        <v>44715.0</v>
      </c>
      <c r="L265" s="95"/>
      <c r="M265" s="95" t="s">
        <v>55</v>
      </c>
      <c r="N265" s="321">
        <v>0.007</v>
      </c>
      <c r="O265" s="319" t="s">
        <v>2552</v>
      </c>
      <c r="P265" s="322">
        <v>0.0</v>
      </c>
      <c r="Q265" s="319">
        <v>250.0</v>
      </c>
      <c r="R265" s="319" t="s">
        <v>107</v>
      </c>
      <c r="S265" s="320">
        <v>44714.0</v>
      </c>
      <c r="T265" s="169" t="s">
        <v>3275</v>
      </c>
      <c r="U265" s="169"/>
      <c r="V265" s="45" t="s">
        <v>108</v>
      </c>
      <c r="W265" s="324" t="s">
        <v>1716</v>
      </c>
      <c r="X265" s="164" t="s">
        <v>180</v>
      </c>
      <c r="Y265" s="51" t="str">
        <f t="shared" si="3"/>
        <v>Ativo</v>
      </c>
      <c r="Z265" s="325"/>
      <c r="AA265" s="95" t="str">
        <f t="shared" si="7"/>
        <v/>
      </c>
      <c r="AB265" s="13" t="s">
        <v>119</v>
      </c>
      <c r="AC265" s="95"/>
      <c r="AD265" s="95" t="s">
        <v>2609</v>
      </c>
      <c r="AE265" s="171"/>
      <c r="AF265" s="171"/>
      <c r="AG265" s="171"/>
      <c r="AH265" s="171"/>
      <c r="AI265" s="171"/>
      <c r="AJ265" s="171"/>
      <c r="AK265" s="171"/>
      <c r="AL265" s="171"/>
      <c r="AM265" s="171"/>
      <c r="AN265" s="171"/>
      <c r="AO265" s="171"/>
      <c r="AP265" s="171"/>
      <c r="AQ265" s="171"/>
      <c r="AR265" s="171"/>
      <c r="AS265" s="326"/>
      <c r="AT265" s="326"/>
      <c r="AU265" s="326"/>
      <c r="AV265" s="326"/>
      <c r="AW265" s="326"/>
      <c r="AX265" s="171"/>
      <c r="AY265" s="171"/>
      <c r="AZ265" s="171"/>
      <c r="BA265" s="171"/>
      <c r="BB265" s="171"/>
      <c r="BC265" s="171"/>
      <c r="BD265" s="171"/>
      <c r="BE265" s="171"/>
      <c r="BF265" s="171">
        <v>0.0</v>
      </c>
      <c r="BG265" s="171">
        <v>0.0</v>
      </c>
      <c r="BH265" s="171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  <c r="CI265" s="329"/>
    </row>
    <row r="266" ht="15.75" customHeight="1">
      <c r="A266" s="317" t="s">
        <v>2547</v>
      </c>
      <c r="B266" s="317" t="s">
        <v>3276</v>
      </c>
      <c r="C266" s="318" t="s">
        <v>3277</v>
      </c>
      <c r="D266" s="319" t="s">
        <v>18</v>
      </c>
      <c r="E266" s="319" t="s">
        <v>29</v>
      </c>
      <c r="F266" s="319" t="s">
        <v>168</v>
      </c>
      <c r="G266" s="44" t="str">
        <f t="shared" si="1"/>
        <v>Augusto</v>
      </c>
      <c r="H266" s="165" t="s">
        <v>107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79</v>
      </c>
      <c r="N266" s="321">
        <v>0.005</v>
      </c>
      <c r="O266" s="319" t="s">
        <v>2552</v>
      </c>
      <c r="P266" s="322">
        <v>0.0</v>
      </c>
      <c r="Q266" s="319">
        <f>IFERROR(VLOOKUP(F266,'Cadastro de assessores'!A:B,2,FALSE),"Não Cadastrado")</f>
        <v>12344</v>
      </c>
      <c r="R266" s="319" t="s">
        <v>107</v>
      </c>
      <c r="S266" s="320">
        <v>43630.0</v>
      </c>
      <c r="T266" s="169"/>
      <c r="U266" s="336" t="s">
        <v>3278</v>
      </c>
      <c r="V266" s="45" t="s">
        <v>108</v>
      </c>
      <c r="W266" s="324" t="s">
        <v>3279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119</v>
      </c>
      <c r="AC266" s="95"/>
      <c r="AD266" s="319" t="s">
        <v>2591</v>
      </c>
      <c r="AE266" s="171">
        <v>93498.7</v>
      </c>
      <c r="AF266" s="171">
        <v>93666.51</v>
      </c>
      <c r="AG266" s="171">
        <v>93088.27</v>
      </c>
      <c r="AH266" s="171">
        <v>92907.39</v>
      </c>
      <c r="AI266" s="171">
        <v>93048.31</v>
      </c>
      <c r="AJ266" s="171">
        <v>93069.52</v>
      </c>
      <c r="AK266" s="171">
        <v>93297.93</v>
      </c>
      <c r="AL266" s="171">
        <v>93470.01</v>
      </c>
      <c r="AM266" s="171">
        <v>93533.86</v>
      </c>
      <c r="AN266" s="171">
        <v>93533.55</v>
      </c>
      <c r="AO266" s="171">
        <v>93124.62</v>
      </c>
      <c r="AP266" s="171">
        <v>93601.73</v>
      </c>
      <c r="AQ266" s="171">
        <v>93847.03</v>
      </c>
      <c r="AR266" s="171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1">
        <v>94046.91</v>
      </c>
      <c r="AY266" s="171">
        <v>93762.44</v>
      </c>
      <c r="AZ266" s="171">
        <v>93140.09</v>
      </c>
      <c r="BA266" s="171">
        <v>92675.78</v>
      </c>
      <c r="BB266" s="171">
        <v>91915.4</v>
      </c>
      <c r="BC266" s="171">
        <v>91820.89</v>
      </c>
      <c r="BD266" s="171">
        <v>92025.84</v>
      </c>
      <c r="BE266" s="171">
        <v>93448.07</v>
      </c>
      <c r="BF266" s="171">
        <v>94095.72</v>
      </c>
      <c r="BG266" s="171">
        <v>95874.83</v>
      </c>
      <c r="BH266" s="171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  <c r="CI266" s="329"/>
    </row>
    <row r="267" ht="15.75" customHeight="1">
      <c r="A267" s="317" t="s">
        <v>2547</v>
      </c>
      <c r="B267" s="235" t="s">
        <v>3280</v>
      </c>
      <c r="C267" s="356" t="s">
        <v>3281</v>
      </c>
      <c r="D267" s="319" t="s">
        <v>18</v>
      </c>
      <c r="E267" s="319" t="s">
        <v>176</v>
      </c>
      <c r="F267" s="95" t="s">
        <v>197</v>
      </c>
      <c r="G267" s="44" t="str">
        <f t="shared" si="1"/>
        <v>Augusto</v>
      </c>
      <c r="H267" s="332" t="s">
        <v>186</v>
      </c>
      <c r="I267" s="46" t="s">
        <v>24</v>
      </c>
      <c r="J267" s="319" t="str">
        <f t="shared" si="2"/>
        <v>Não</v>
      </c>
      <c r="K267" s="333">
        <v>44280.0</v>
      </c>
      <c r="L267" s="123">
        <v>44482.0</v>
      </c>
      <c r="M267" s="95" t="s">
        <v>269</v>
      </c>
      <c r="N267" s="334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2563</v>
      </c>
      <c r="S267" s="333">
        <v>44280.0</v>
      </c>
      <c r="T267" s="169"/>
      <c r="U267" s="169"/>
      <c r="V267" s="45" t="s">
        <v>108</v>
      </c>
      <c r="W267" s="13" t="s">
        <v>3282</v>
      </c>
      <c r="X267" s="164" t="s">
        <v>180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2609</v>
      </c>
      <c r="AE267" s="337"/>
      <c r="AF267" s="337"/>
      <c r="AG267" s="337"/>
      <c r="AH267" s="337"/>
      <c r="AI267" s="337"/>
      <c r="AJ267" s="337"/>
      <c r="AK267" s="337"/>
      <c r="AL267" s="337"/>
      <c r="AM267" s="337"/>
      <c r="AN267" s="337"/>
      <c r="AO267" s="337"/>
      <c r="AP267" s="337"/>
      <c r="AQ267" s="337"/>
      <c r="AR267" s="171"/>
      <c r="AS267" s="171"/>
      <c r="AT267" s="171">
        <v>566741.96</v>
      </c>
      <c r="AU267" s="171"/>
      <c r="AV267" s="171">
        <v>536198.32</v>
      </c>
      <c r="AW267" s="171">
        <v>549190.35</v>
      </c>
      <c r="AX267" s="171">
        <v>546073.05</v>
      </c>
      <c r="AY267" s="171">
        <v>537062.23</v>
      </c>
      <c r="AZ267" s="171">
        <v>520603.53</v>
      </c>
      <c r="BA267" s="171">
        <v>489398.81</v>
      </c>
      <c r="BB267" s="171"/>
      <c r="BC267" s="171"/>
      <c r="BD267" s="171"/>
      <c r="BE267" s="171"/>
      <c r="BF267" s="171">
        <v>0.0</v>
      </c>
      <c r="BG267" s="171">
        <v>0.0</v>
      </c>
      <c r="BH267" s="171">
        <v>0.0</v>
      </c>
      <c r="BI267" s="171" t="s">
        <v>2566</v>
      </c>
      <c r="BJ267" s="171">
        <v>0.0</v>
      </c>
      <c r="BK267" s="171" t="s">
        <v>2566</v>
      </c>
      <c r="BL267" s="171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  <c r="CI267" s="329"/>
    </row>
    <row r="268" ht="15.75" customHeight="1">
      <c r="A268" s="317" t="s">
        <v>2547</v>
      </c>
      <c r="B268" s="239" t="s">
        <v>3283</v>
      </c>
      <c r="C268" s="331" t="s">
        <v>3284</v>
      </c>
      <c r="D268" s="319" t="s">
        <v>2550</v>
      </c>
      <c r="E268" s="319" t="s">
        <v>29</v>
      </c>
      <c r="F268" s="95" t="s">
        <v>2562</v>
      </c>
      <c r="G268" s="44" t="str">
        <f t="shared" si="1"/>
        <v>Augusto</v>
      </c>
      <c r="H268" s="332" t="s">
        <v>186</v>
      </c>
      <c r="I268" s="46" t="s">
        <v>24</v>
      </c>
      <c r="J268" s="319" t="str">
        <f t="shared" si="2"/>
        <v>Não</v>
      </c>
      <c r="K268" s="333">
        <v>43622.0</v>
      </c>
      <c r="L268" s="338">
        <v>44484.0</v>
      </c>
      <c r="M268" s="95" t="s">
        <v>79</v>
      </c>
      <c r="N268" s="334">
        <v>0.012</v>
      </c>
      <c r="O268" s="319" t="s">
        <v>2552</v>
      </c>
      <c r="P268" s="322">
        <v>0.0</v>
      </c>
      <c r="Q268" s="95" t="str">
        <f>IFERROR(VLOOKUP(F268,'Cadastro de assessores'!A:B,2,FALSE),"Não Cadastrado")</f>
        <v>2971</v>
      </c>
      <c r="R268" s="95" t="s">
        <v>2563</v>
      </c>
      <c r="S268" s="333">
        <v>43622.0</v>
      </c>
      <c r="T268" s="169"/>
      <c r="U268" s="169"/>
      <c r="V268" s="45" t="s">
        <v>108</v>
      </c>
      <c r="W268" s="13" t="s">
        <v>3285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2580</v>
      </c>
      <c r="AE268" s="171">
        <v>259438.82</v>
      </c>
      <c r="AF268" s="171">
        <v>256333.59</v>
      </c>
      <c r="AG268" s="171">
        <v>249315.18</v>
      </c>
      <c r="AH268" s="171">
        <v>252843.39</v>
      </c>
      <c r="AI268" s="171">
        <v>254869.5</v>
      </c>
      <c r="AJ268" s="171">
        <v>255203.14</v>
      </c>
      <c r="AK268" s="171">
        <v>259402.03</v>
      </c>
      <c r="AL268" s="171">
        <v>256304.86</v>
      </c>
      <c r="AM268" s="171">
        <v>250733.41</v>
      </c>
      <c r="AN268" s="171">
        <v>230776.06</v>
      </c>
      <c r="AO268" s="171">
        <v>206003.1</v>
      </c>
      <c r="AP268" s="171">
        <v>208643.11</v>
      </c>
      <c r="AQ268" s="171">
        <v>206961.63</v>
      </c>
      <c r="AR268" s="171">
        <v>203251.26</v>
      </c>
      <c r="AS268" s="171">
        <v>203283.37</v>
      </c>
      <c r="AT268" s="171">
        <v>203869.45</v>
      </c>
      <c r="AU268" s="171">
        <v>205565.71</v>
      </c>
      <c r="AV268" s="171">
        <v>191.96</v>
      </c>
      <c r="AW268" s="171"/>
      <c r="AX268" s="171">
        <v>55.54</v>
      </c>
      <c r="AY268" s="337"/>
      <c r="AZ268" s="337">
        <v>2.93</v>
      </c>
      <c r="BA268" s="171">
        <v>2.93</v>
      </c>
      <c r="BB268" s="171"/>
      <c r="BC268" s="171"/>
      <c r="BD268" s="171"/>
      <c r="BE268" s="171"/>
      <c r="BF268" s="171">
        <v>0.0</v>
      </c>
      <c r="BG268" s="171">
        <v>0.0</v>
      </c>
      <c r="BH268" s="171">
        <v>0.0</v>
      </c>
      <c r="BI268" s="171" t="s">
        <v>2566</v>
      </c>
      <c r="BJ268" s="171">
        <v>0.0</v>
      </c>
      <c r="BK268" s="171" t="s">
        <v>2566</v>
      </c>
      <c r="BL268" s="171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  <c r="CI268" s="329"/>
    </row>
    <row r="269" ht="15.75" customHeight="1">
      <c r="A269" s="317" t="s">
        <v>2547</v>
      </c>
      <c r="B269" s="239" t="s">
        <v>3283</v>
      </c>
      <c r="C269" s="331" t="s">
        <v>3286</v>
      </c>
      <c r="D269" s="319" t="s">
        <v>2550</v>
      </c>
      <c r="E269" s="319" t="s">
        <v>29</v>
      </c>
      <c r="F269" s="95" t="s">
        <v>2562</v>
      </c>
      <c r="G269" s="44" t="str">
        <f t="shared" si="1"/>
        <v>Augusto</v>
      </c>
      <c r="H269" s="332" t="s">
        <v>186</v>
      </c>
      <c r="I269" s="46" t="s">
        <v>24</v>
      </c>
      <c r="J269" s="319" t="str">
        <f t="shared" si="2"/>
        <v>Não</v>
      </c>
      <c r="K269" s="333">
        <v>43622.0</v>
      </c>
      <c r="L269" s="338">
        <v>44484.0</v>
      </c>
      <c r="M269" s="95" t="s">
        <v>47</v>
      </c>
      <c r="N269" s="334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2563</v>
      </c>
      <c r="S269" s="333">
        <v>43622.0</v>
      </c>
      <c r="T269" s="169"/>
      <c r="U269" s="169"/>
      <c r="V269" s="45" t="s">
        <v>108</v>
      </c>
      <c r="W269" s="13" t="s">
        <v>3285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2580</v>
      </c>
      <c r="AE269" s="171">
        <v>0.0</v>
      </c>
      <c r="AF269" s="171">
        <v>0.0</v>
      </c>
      <c r="AG269" s="171">
        <v>0.0</v>
      </c>
      <c r="AH269" s="171">
        <v>0.0</v>
      </c>
      <c r="AI269" s="171">
        <v>0.0</v>
      </c>
      <c r="AJ269" s="171">
        <v>0.0</v>
      </c>
      <c r="AK269" s="171">
        <v>0.0</v>
      </c>
      <c r="AL269" s="171"/>
      <c r="AM269" s="171"/>
      <c r="AN269" s="171"/>
      <c r="AO269" s="171"/>
      <c r="AP269" s="171"/>
      <c r="AQ269" s="171"/>
      <c r="AR269" s="171"/>
      <c r="AS269" s="171"/>
      <c r="AT269" s="171"/>
      <c r="AU269" s="171"/>
      <c r="AV269" s="171"/>
      <c r="AW269" s="171"/>
      <c r="AX269" s="337"/>
      <c r="AY269" s="337"/>
      <c r="AZ269" s="337"/>
      <c r="BA269" s="171"/>
      <c r="BB269" s="171"/>
      <c r="BC269" s="171"/>
      <c r="BD269" s="171"/>
      <c r="BE269" s="171"/>
      <c r="BF269" s="171">
        <v>0.0</v>
      </c>
      <c r="BG269" s="171">
        <v>0.0</v>
      </c>
      <c r="BH269" s="171">
        <v>0.0</v>
      </c>
      <c r="BI269" s="171" t="s">
        <v>2566</v>
      </c>
      <c r="BJ269" s="171">
        <v>0.0</v>
      </c>
      <c r="BK269" s="171" t="s">
        <v>2566</v>
      </c>
      <c r="BL269" s="171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  <c r="CI269" s="329"/>
    </row>
    <row r="270" ht="15.75" customHeight="1">
      <c r="A270" s="317" t="s">
        <v>2547</v>
      </c>
      <c r="B270" s="235" t="s">
        <v>3287</v>
      </c>
      <c r="C270" s="331" t="s">
        <v>3288</v>
      </c>
      <c r="D270" s="319" t="s">
        <v>2550</v>
      </c>
      <c r="E270" s="319" t="s">
        <v>29</v>
      </c>
      <c r="F270" s="319" t="s">
        <v>2551</v>
      </c>
      <c r="G270" s="44" t="str">
        <f t="shared" si="1"/>
        <v>Augusto</v>
      </c>
      <c r="H270" s="165" t="s">
        <v>147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79</v>
      </c>
      <c r="N270" s="334">
        <v>0.012</v>
      </c>
      <c r="O270" s="319" t="s">
        <v>2552</v>
      </c>
      <c r="P270" s="322">
        <v>0.0</v>
      </c>
      <c r="Q270" s="319" t="str">
        <f>IFERROR(VLOOKUP(F270,'Cadastro de assessores'!A:B,2,FALSE),"Não Cadastrado")</f>
        <v>17573</v>
      </c>
      <c r="R270" s="319" t="s">
        <v>3289</v>
      </c>
      <c r="S270" s="320">
        <v>43917.0</v>
      </c>
      <c r="T270" s="323"/>
      <c r="U270" s="323"/>
      <c r="V270" s="45" t="s">
        <v>108</v>
      </c>
      <c r="W270" s="13" t="s">
        <v>3290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119</v>
      </c>
      <c r="AC270" s="95"/>
      <c r="AD270" s="319" t="s">
        <v>2675</v>
      </c>
      <c r="AE270" s="171">
        <v>0.0</v>
      </c>
      <c r="AF270" s="171">
        <v>0.0</v>
      </c>
      <c r="AG270" s="171">
        <v>0.0</v>
      </c>
      <c r="AH270" s="171">
        <v>547813.77</v>
      </c>
      <c r="AI270" s="171">
        <v>551812.01</v>
      </c>
      <c r="AJ270" s="171">
        <v>555612.77</v>
      </c>
      <c r="AK270" s="171">
        <v>557828.69</v>
      </c>
      <c r="AL270" s="171">
        <v>555099.85</v>
      </c>
      <c r="AM270" s="171">
        <v>548203.22</v>
      </c>
      <c r="AN270" s="171">
        <v>549263.37</v>
      </c>
      <c r="AO270" s="171">
        <v>564638.39</v>
      </c>
      <c r="AP270" s="171">
        <v>1780.49</v>
      </c>
      <c r="AQ270" s="171">
        <v>1845.37</v>
      </c>
      <c r="AR270" s="171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1">
        <v>1541.6</v>
      </c>
      <c r="AY270" s="171">
        <v>1747.9</v>
      </c>
      <c r="AZ270" s="171">
        <v>1752.47</v>
      </c>
      <c r="BA270" s="171">
        <v>1757.33</v>
      </c>
      <c r="BB270" s="171">
        <v>1761.58</v>
      </c>
      <c r="BC270" s="171">
        <v>1768.08</v>
      </c>
      <c r="BD270" s="171">
        <v>1775.43</v>
      </c>
      <c r="BE270" s="171">
        <v>1782.42</v>
      </c>
      <c r="BF270" s="171">
        <v>1791.34</v>
      </c>
      <c r="BG270" s="171">
        <v>1801.27</v>
      </c>
      <c r="BH270" s="171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  <c r="CI270" s="329"/>
    </row>
    <row r="271" ht="15.75" customHeight="1">
      <c r="A271" s="317" t="s">
        <v>2547</v>
      </c>
      <c r="B271" s="235" t="s">
        <v>3291</v>
      </c>
      <c r="C271" s="331" t="s">
        <v>3292</v>
      </c>
      <c r="D271" s="319" t="s">
        <v>18</v>
      </c>
      <c r="E271" s="319" t="s">
        <v>176</v>
      </c>
      <c r="F271" s="95" t="s">
        <v>2634</v>
      </c>
      <c r="G271" s="44" t="str">
        <f t="shared" si="1"/>
        <v>Augusto</v>
      </c>
      <c r="H271" s="332" t="s">
        <v>186</v>
      </c>
      <c r="I271" s="46" t="s">
        <v>24</v>
      </c>
      <c r="J271" s="319" t="str">
        <f t="shared" si="2"/>
        <v>Não</v>
      </c>
      <c r="K271" s="333">
        <v>44280.0</v>
      </c>
      <c r="L271" s="333">
        <v>44281.0</v>
      </c>
      <c r="M271" s="95" t="s">
        <v>79</v>
      </c>
      <c r="N271" s="334">
        <v>0.012</v>
      </c>
      <c r="O271" s="319" t="s">
        <v>2552</v>
      </c>
      <c r="P271" s="322">
        <v>0.0</v>
      </c>
      <c r="Q271" s="95" t="str">
        <f>IFERROR(VLOOKUP(F271,'Cadastro de assessores'!A:B,2,FALSE),"Não Cadastrado")</f>
        <v>22066</v>
      </c>
      <c r="R271" s="95" t="s">
        <v>2563</v>
      </c>
      <c r="S271" s="333">
        <v>44280.0</v>
      </c>
      <c r="T271" s="169"/>
      <c r="U271" s="169"/>
      <c r="V271" s="45" t="s">
        <v>108</v>
      </c>
      <c r="W271" s="13" t="s">
        <v>3293</v>
      </c>
      <c r="X271" s="164" t="s">
        <v>180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2609</v>
      </c>
      <c r="AE271" s="337"/>
      <c r="AF271" s="337"/>
      <c r="AG271" s="337"/>
      <c r="AH271" s="337"/>
      <c r="AI271" s="337"/>
      <c r="AJ271" s="337"/>
      <c r="AK271" s="337"/>
      <c r="AL271" s="337"/>
      <c r="AM271" s="337"/>
      <c r="AN271" s="337"/>
      <c r="AO271" s="337"/>
      <c r="AP271" s="337"/>
      <c r="AQ271" s="337"/>
      <c r="AR271" s="171"/>
      <c r="AS271" s="171"/>
      <c r="AT271" s="171">
        <v>201360.54</v>
      </c>
      <c r="AU271" s="171"/>
      <c r="AV271" s="171"/>
      <c r="AW271" s="171"/>
      <c r="AX271" s="337"/>
      <c r="AY271" s="337"/>
      <c r="AZ271" s="337"/>
      <c r="BA271" s="171"/>
      <c r="BB271" s="171"/>
      <c r="BC271" s="171"/>
      <c r="BD271" s="171"/>
      <c r="BE271" s="171"/>
      <c r="BF271" s="171">
        <v>0.0</v>
      </c>
      <c r="BG271" s="171">
        <v>0.0</v>
      </c>
      <c r="BH271" s="171">
        <v>0.0</v>
      </c>
      <c r="BI271" s="171" t="s">
        <v>2566</v>
      </c>
      <c r="BJ271" s="171">
        <v>0.0</v>
      </c>
      <c r="BK271" s="171" t="s">
        <v>2566</v>
      </c>
      <c r="BL271" s="171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  <c r="CI271" s="329"/>
    </row>
    <row r="272" ht="15.75" customHeight="1">
      <c r="A272" s="317" t="s">
        <v>2547</v>
      </c>
      <c r="B272" s="42" t="s">
        <v>1759</v>
      </c>
      <c r="C272" s="330" t="s">
        <v>3294</v>
      </c>
      <c r="D272" s="319" t="s">
        <v>18</v>
      </c>
      <c r="E272" s="319" t="s">
        <v>176</v>
      </c>
      <c r="F272" s="319" t="s">
        <v>197</v>
      </c>
      <c r="G272" s="44" t="str">
        <f t="shared" si="1"/>
        <v>Augusto</v>
      </c>
      <c r="H272" s="165" t="s">
        <v>147</v>
      </c>
      <c r="I272" s="51" t="s">
        <v>219</v>
      </c>
      <c r="J272" s="319" t="str">
        <f t="shared" si="2"/>
        <v>Não</v>
      </c>
      <c r="K272" s="320">
        <v>44679.0</v>
      </c>
      <c r="L272" s="45"/>
      <c r="M272" s="95" t="s">
        <v>79</v>
      </c>
      <c r="N272" s="117">
        <v>0.012</v>
      </c>
      <c r="O272" s="319" t="s">
        <v>2552</v>
      </c>
      <c r="P272" s="322">
        <v>0.0</v>
      </c>
      <c r="Q272" s="319" t="str">
        <f>IFERROR(VLOOKUP(F272,'Cadastro de assessores'!A:B,2,FALSE),"Não Cadastrado")</f>
        <v>28411</v>
      </c>
      <c r="R272" s="319" t="s">
        <v>107</v>
      </c>
      <c r="S272" s="320">
        <v>44679.0</v>
      </c>
      <c r="T272" s="50"/>
      <c r="U272" s="50"/>
      <c r="V272" s="45" t="s">
        <v>108</v>
      </c>
      <c r="W272" s="5" t="s">
        <v>1761</v>
      </c>
      <c r="X272" s="164" t="s">
        <v>180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119</v>
      </c>
      <c r="AC272" s="95"/>
      <c r="AD272" s="95" t="s">
        <v>2609</v>
      </c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71"/>
      <c r="AS272" s="171"/>
      <c r="AT272" s="171"/>
      <c r="AU272" s="171"/>
      <c r="AV272" s="171"/>
      <c r="AW272" s="171"/>
      <c r="AX272" s="171"/>
      <c r="AY272" s="171"/>
      <c r="AZ272" s="171"/>
      <c r="BA272" s="171"/>
      <c r="BB272" s="171"/>
      <c r="BC272" s="171"/>
      <c r="BD272" s="171"/>
      <c r="BE272" s="171"/>
      <c r="BF272" s="171"/>
      <c r="BG272" s="171"/>
      <c r="BH272" s="171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  <c r="CI272" s="329"/>
    </row>
    <row r="273" ht="15.75" customHeight="1">
      <c r="A273" s="317" t="s">
        <v>2547</v>
      </c>
      <c r="B273" s="235" t="s">
        <v>3295</v>
      </c>
      <c r="C273" s="331" t="s">
        <v>3296</v>
      </c>
      <c r="D273" s="319" t="s">
        <v>2550</v>
      </c>
      <c r="E273" s="319" t="s">
        <v>29</v>
      </c>
      <c r="F273" s="95" t="s">
        <v>2562</v>
      </c>
      <c r="G273" s="44" t="str">
        <f t="shared" si="1"/>
        <v>Augusto</v>
      </c>
      <c r="H273" s="332" t="s">
        <v>186</v>
      </c>
      <c r="I273" s="46" t="s">
        <v>24</v>
      </c>
      <c r="J273" s="319" t="str">
        <f t="shared" si="2"/>
        <v>Não</v>
      </c>
      <c r="K273" s="338">
        <v>43795.0</v>
      </c>
      <c r="L273" s="333">
        <v>44342.0</v>
      </c>
      <c r="M273" s="95" t="s">
        <v>79</v>
      </c>
      <c r="N273" s="334">
        <v>0.01</v>
      </c>
      <c r="O273" s="319" t="s">
        <v>2552</v>
      </c>
      <c r="P273" s="322">
        <v>0.0</v>
      </c>
      <c r="Q273" s="95" t="str">
        <f>IFERROR(VLOOKUP(F273,'Cadastro de assessores'!A:B,2,FALSE),"Não Cadastrado")</f>
        <v>2971</v>
      </c>
      <c r="R273" s="95" t="s">
        <v>2563</v>
      </c>
      <c r="S273" s="338">
        <v>43795.0</v>
      </c>
      <c r="T273" s="169"/>
      <c r="U273" s="169"/>
      <c r="V273" s="45" t="s">
        <v>108</v>
      </c>
      <c r="W273" s="13" t="s">
        <v>3297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2656</v>
      </c>
      <c r="AE273" s="171">
        <v>271054.97</v>
      </c>
      <c r="AF273" s="171">
        <v>268708.9</v>
      </c>
      <c r="AG273" s="171">
        <v>262284.11</v>
      </c>
      <c r="AH273" s="171">
        <v>265887.65</v>
      </c>
      <c r="AI273" s="171">
        <v>268246.34</v>
      </c>
      <c r="AJ273" s="171">
        <v>271557.62</v>
      </c>
      <c r="AK273" s="171">
        <v>272973.56</v>
      </c>
      <c r="AL273" s="171">
        <v>273688.91</v>
      </c>
      <c r="AM273" s="171">
        <v>271167.58</v>
      </c>
      <c r="AN273" s="171">
        <v>270986.69</v>
      </c>
      <c r="AO273" s="171">
        <v>270133.6</v>
      </c>
      <c r="AP273" s="171">
        <v>271260.25</v>
      </c>
      <c r="AQ273" s="171">
        <v>69133.59</v>
      </c>
      <c r="AR273" s="171">
        <v>1090.9</v>
      </c>
      <c r="AS273" s="171">
        <v>871.12</v>
      </c>
      <c r="AT273" s="171">
        <v>871.12</v>
      </c>
      <c r="AU273" s="171">
        <v>659.74</v>
      </c>
      <c r="AV273" s="171">
        <v>351.96</v>
      </c>
      <c r="AW273" s="171"/>
      <c r="AX273" s="337"/>
      <c r="AY273" s="337"/>
      <c r="AZ273" s="337"/>
      <c r="BA273" s="171"/>
      <c r="BB273" s="171"/>
      <c r="BC273" s="171"/>
      <c r="BD273" s="171"/>
      <c r="BE273" s="171"/>
      <c r="BF273" s="171">
        <v>0.0</v>
      </c>
      <c r="BG273" s="171">
        <v>0.0</v>
      </c>
      <c r="BH273" s="171">
        <v>0.0</v>
      </c>
      <c r="BI273" s="171" t="s">
        <v>2566</v>
      </c>
      <c r="BJ273" s="171">
        <v>0.0</v>
      </c>
      <c r="BK273" s="171" t="s">
        <v>2566</v>
      </c>
      <c r="BL273" s="171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  <c r="CI273" s="329"/>
    </row>
    <row r="274" ht="15.75" customHeight="1">
      <c r="A274" s="317" t="s">
        <v>2547</v>
      </c>
      <c r="B274" s="61" t="s">
        <v>1790</v>
      </c>
      <c r="C274" s="366" t="s">
        <v>3298</v>
      </c>
      <c r="D274" s="319" t="s">
        <v>18</v>
      </c>
      <c r="E274" s="319" t="s">
        <v>176</v>
      </c>
      <c r="F274" s="95" t="s">
        <v>177</v>
      </c>
      <c r="G274" s="44" t="str">
        <f t="shared" si="1"/>
        <v>Augusto</v>
      </c>
      <c r="H274" s="332" t="s">
        <v>186</v>
      </c>
      <c r="I274" s="46" t="s">
        <v>24</v>
      </c>
      <c r="J274" s="319" t="str">
        <f t="shared" si="2"/>
        <v>Não</v>
      </c>
      <c r="K274" s="333">
        <v>44627.0</v>
      </c>
      <c r="L274" s="72">
        <v>44637.0</v>
      </c>
      <c r="M274" s="95" t="s">
        <v>55</v>
      </c>
      <c r="N274" s="334">
        <v>0.007</v>
      </c>
      <c r="O274" s="319" t="s">
        <v>2552</v>
      </c>
      <c r="P274" s="322">
        <v>0.0</v>
      </c>
      <c r="Q274" s="95" t="str">
        <f>IFERROR(VLOOKUP(F274,'Cadastro de assessores'!A:B,2,FALSE),"Não Cadastrado")</f>
        <v>250</v>
      </c>
      <c r="R274" s="95" t="s">
        <v>2563</v>
      </c>
      <c r="S274" s="333">
        <v>44627.0</v>
      </c>
      <c r="T274" s="50"/>
      <c r="U274" s="50"/>
      <c r="V274" s="45" t="s">
        <v>108</v>
      </c>
      <c r="W274" s="5" t="s">
        <v>1792</v>
      </c>
      <c r="X274" s="164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119</v>
      </c>
      <c r="AC274" s="95"/>
      <c r="AD274" s="95" t="s">
        <v>2760</v>
      </c>
      <c r="AE274" s="191"/>
      <c r="AF274" s="191"/>
      <c r="AG274" s="191"/>
      <c r="AH274" s="191"/>
      <c r="AI274" s="191"/>
      <c r="AJ274" s="191"/>
      <c r="AK274" s="191"/>
      <c r="AL274" s="191"/>
      <c r="AM274" s="191"/>
      <c r="AN274" s="191"/>
      <c r="AO274" s="191"/>
      <c r="AP274" s="191"/>
      <c r="AQ274" s="191"/>
      <c r="AR274" s="171"/>
      <c r="AS274" s="171"/>
      <c r="AT274" s="171"/>
      <c r="AU274" s="171"/>
      <c r="AV274" s="171"/>
      <c r="AW274" s="171"/>
      <c r="AX274" s="171"/>
      <c r="AY274" s="171"/>
      <c r="AZ274" s="171"/>
      <c r="BA274" s="171"/>
      <c r="BB274" s="171"/>
      <c r="BC274" s="171"/>
      <c r="BD274" s="171"/>
      <c r="BE274" s="171"/>
      <c r="BF274" s="171">
        <v>0.0</v>
      </c>
      <c r="BG274" s="171">
        <v>256144.67</v>
      </c>
      <c r="BH274" s="171">
        <v>16144.93</v>
      </c>
      <c r="BI274" s="339" t="s">
        <v>2566</v>
      </c>
      <c r="BJ274" s="171">
        <v>0.0</v>
      </c>
      <c r="BK274" s="171">
        <v>0.0</v>
      </c>
      <c r="BL274" s="171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  <c r="CI274" s="329"/>
    </row>
    <row r="275" ht="15.75" customHeight="1">
      <c r="A275" s="317" t="s">
        <v>2547</v>
      </c>
      <c r="B275" s="61" t="s">
        <v>1790</v>
      </c>
      <c r="C275" s="366" t="s">
        <v>3299</v>
      </c>
      <c r="D275" s="319" t="s">
        <v>18</v>
      </c>
      <c r="E275" s="319" t="s">
        <v>176</v>
      </c>
      <c r="F275" s="95" t="s">
        <v>177</v>
      </c>
      <c r="G275" s="44" t="str">
        <f t="shared" si="1"/>
        <v>Augusto</v>
      </c>
      <c r="H275" s="332" t="s">
        <v>186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2914</v>
      </c>
      <c r="N275" s="334">
        <v>0.01</v>
      </c>
      <c r="O275" s="319" t="s">
        <v>2552</v>
      </c>
      <c r="P275" s="322">
        <v>0.0</v>
      </c>
      <c r="Q275" s="95" t="str">
        <f>IFERROR(VLOOKUP(F275,'Cadastro de assessores'!A:B,2,FALSE),"Não Cadastrado")</f>
        <v>250</v>
      </c>
      <c r="R275" s="95" t="s">
        <v>2563</v>
      </c>
      <c r="S275" s="95"/>
      <c r="T275" s="50"/>
      <c r="U275" s="50"/>
      <c r="V275" s="45" t="s">
        <v>108</v>
      </c>
      <c r="W275" s="5" t="s">
        <v>1792</v>
      </c>
      <c r="X275" s="164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2760</v>
      </c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71"/>
      <c r="AS275" s="171"/>
      <c r="AT275" s="171"/>
      <c r="AU275" s="171"/>
      <c r="AV275" s="171"/>
      <c r="AW275" s="171"/>
      <c r="AX275" s="171"/>
      <c r="AY275" s="171"/>
      <c r="AZ275" s="171"/>
      <c r="BA275" s="171"/>
      <c r="BB275" s="171"/>
      <c r="BC275" s="171"/>
      <c r="BD275" s="171"/>
      <c r="BE275" s="171"/>
      <c r="BF275" s="171">
        <v>0.0</v>
      </c>
      <c r="BG275" s="171">
        <v>0.0</v>
      </c>
      <c r="BH275" s="171">
        <v>0.0</v>
      </c>
      <c r="BI275" s="171" t="s">
        <v>2566</v>
      </c>
      <c r="BJ275" s="171">
        <v>0.0</v>
      </c>
      <c r="BK275" s="171" t="s">
        <v>2566</v>
      </c>
      <c r="BL275" s="171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  <c r="CI275" s="329"/>
    </row>
    <row r="276" ht="15.75" customHeight="1">
      <c r="A276" s="317" t="s">
        <v>2547</v>
      </c>
      <c r="B276" s="61" t="s">
        <v>1790</v>
      </c>
      <c r="C276" s="330" t="s">
        <v>3300</v>
      </c>
      <c r="D276" s="319" t="s">
        <v>18</v>
      </c>
      <c r="E276" s="319" t="s">
        <v>176</v>
      </c>
      <c r="F276" s="319" t="s">
        <v>532</v>
      </c>
      <c r="G276" s="44" t="str">
        <f t="shared" si="1"/>
        <v>Bruno</v>
      </c>
      <c r="H276" s="165" t="s">
        <v>107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55</v>
      </c>
      <c r="N276" s="334">
        <v>0.007</v>
      </c>
      <c r="O276" s="319" t="s">
        <v>2552</v>
      </c>
      <c r="P276" s="322">
        <v>0.0</v>
      </c>
      <c r="Q276" s="319">
        <f>IFERROR(VLOOKUP(F276,'Cadastro de assessores'!A:B,2,FALSE),"Não Cadastrado")</f>
        <v>12362</v>
      </c>
      <c r="R276" s="319" t="s">
        <v>107</v>
      </c>
      <c r="S276" s="320">
        <v>44622.0</v>
      </c>
      <c r="T276" s="50"/>
      <c r="U276" s="50"/>
      <c r="V276" s="45" t="s">
        <v>108</v>
      </c>
      <c r="W276" s="5" t="s">
        <v>1792</v>
      </c>
      <c r="X276" s="164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110</v>
      </c>
      <c r="AC276" s="95"/>
      <c r="AD276" s="95" t="s">
        <v>2760</v>
      </c>
      <c r="AE276" s="191"/>
      <c r="AF276" s="191"/>
      <c r="AG276" s="191"/>
      <c r="AH276" s="191"/>
      <c r="AI276" s="191"/>
      <c r="AJ276" s="191"/>
      <c r="AK276" s="191"/>
      <c r="AL276" s="191"/>
      <c r="AM276" s="191"/>
      <c r="AN276" s="191"/>
      <c r="AO276" s="191"/>
      <c r="AP276" s="191"/>
      <c r="AQ276" s="191"/>
      <c r="AR276" s="171"/>
      <c r="AS276" s="171"/>
      <c r="AT276" s="171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1"/>
      <c r="BE276" s="171"/>
      <c r="BF276" s="171"/>
      <c r="BG276" s="171"/>
      <c r="BH276" s="171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  <c r="CI276" s="329"/>
    </row>
    <row r="277" ht="15.75" customHeight="1">
      <c r="A277" s="317" t="s">
        <v>2547</v>
      </c>
      <c r="B277" s="61" t="s">
        <v>3301</v>
      </c>
      <c r="C277" s="330" t="s">
        <v>3302</v>
      </c>
      <c r="D277" s="319" t="s">
        <v>18</v>
      </c>
      <c r="E277" s="319" t="s">
        <v>176</v>
      </c>
      <c r="F277" s="319" t="s">
        <v>177</v>
      </c>
      <c r="G277" s="44" t="str">
        <f t="shared" si="1"/>
        <v>Augusto</v>
      </c>
      <c r="H277" s="332" t="s">
        <v>186</v>
      </c>
      <c r="I277" s="46" t="s">
        <v>24</v>
      </c>
      <c r="J277" s="319" t="str">
        <f t="shared" si="2"/>
        <v>Não</v>
      </c>
      <c r="K277" s="320">
        <v>44319.0</v>
      </c>
      <c r="L277" s="333">
        <v>44965.0</v>
      </c>
      <c r="M277" s="95" t="s">
        <v>47</v>
      </c>
      <c r="N277" s="334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107</v>
      </c>
      <c r="S277" s="320">
        <v>44319.0</v>
      </c>
      <c r="T277" s="50"/>
      <c r="U277" s="50"/>
      <c r="V277" s="45" t="s">
        <v>108</v>
      </c>
      <c r="W277" s="5" t="s">
        <v>3303</v>
      </c>
      <c r="X277" s="164" t="s">
        <v>180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119</v>
      </c>
      <c r="AC277" s="95"/>
      <c r="AD277" s="95" t="s">
        <v>2609</v>
      </c>
      <c r="AE277" s="191"/>
      <c r="AF277" s="191"/>
      <c r="AG277" s="191"/>
      <c r="AH277" s="191"/>
      <c r="AI277" s="191"/>
      <c r="AJ277" s="191"/>
      <c r="AK277" s="191"/>
      <c r="AL277" s="191"/>
      <c r="AM277" s="191"/>
      <c r="AN277" s="191"/>
      <c r="AO277" s="191"/>
      <c r="AP277" s="191"/>
      <c r="AQ277" s="191"/>
      <c r="AR277" s="171"/>
      <c r="AS277" s="171"/>
      <c r="AT277" s="171"/>
      <c r="AU277" s="171"/>
      <c r="AV277" s="171"/>
      <c r="AW277" s="171">
        <v>394740.74</v>
      </c>
      <c r="AX277" s="171">
        <v>392893.77</v>
      </c>
      <c r="AY277" s="171">
        <v>329400.9</v>
      </c>
      <c r="AZ277" s="171">
        <v>322534.5</v>
      </c>
      <c r="BA277" s="171">
        <v>184400.83</v>
      </c>
      <c r="BB277" s="171">
        <v>189743.67</v>
      </c>
      <c r="BC277" s="171">
        <v>188761.23</v>
      </c>
      <c r="BD277" s="171">
        <v>187270.01</v>
      </c>
      <c r="BE277" s="171">
        <v>191319.05</v>
      </c>
      <c r="BF277" s="171">
        <v>192803.87</v>
      </c>
      <c r="BG277" s="171">
        <v>201063.36</v>
      </c>
      <c r="BH277" s="171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  <c r="CI277" s="329"/>
    </row>
    <row r="278" ht="15.75" customHeight="1">
      <c r="A278" s="317" t="s">
        <v>2547</v>
      </c>
      <c r="B278" s="42" t="s">
        <v>3304</v>
      </c>
      <c r="C278" s="144">
        <v>326845.0</v>
      </c>
      <c r="D278" s="319" t="s">
        <v>18</v>
      </c>
      <c r="E278" s="319" t="s">
        <v>176</v>
      </c>
      <c r="F278" s="319" t="s">
        <v>197</v>
      </c>
      <c r="G278" s="44" t="str">
        <f t="shared" si="1"/>
        <v>Augusto</v>
      </c>
      <c r="H278" s="165" t="s">
        <v>147</v>
      </c>
      <c r="I278" s="51" t="s">
        <v>219</v>
      </c>
      <c r="J278" s="319" t="str">
        <f t="shared" si="2"/>
        <v>Não</v>
      </c>
      <c r="K278" s="320">
        <v>44585.0</v>
      </c>
      <c r="L278" s="45"/>
      <c r="M278" s="95" t="s">
        <v>55</v>
      </c>
      <c r="N278" s="334">
        <v>0.007</v>
      </c>
      <c r="O278" s="319" t="s">
        <v>2552</v>
      </c>
      <c r="P278" s="322">
        <v>0.0</v>
      </c>
      <c r="Q278" s="319" t="str">
        <f>IFERROR(VLOOKUP(F278,'Cadastro de assessores'!A:B,2,FALSE),"Não Cadastrado")</f>
        <v>28411</v>
      </c>
      <c r="R278" s="319" t="s">
        <v>107</v>
      </c>
      <c r="S278" s="320">
        <v>44585.0</v>
      </c>
      <c r="T278" s="50"/>
      <c r="U278" s="50"/>
      <c r="V278" s="45" t="s">
        <v>108</v>
      </c>
      <c r="W278" s="5" t="s">
        <v>3305</v>
      </c>
      <c r="X278" s="164" t="s">
        <v>180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119</v>
      </c>
      <c r="AC278" s="95"/>
      <c r="AD278" s="95" t="s">
        <v>2609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1"/>
      <c r="AX278" s="171"/>
      <c r="AY278" s="171"/>
      <c r="AZ278" s="171"/>
      <c r="BA278" s="171"/>
      <c r="BB278" s="171"/>
      <c r="BC278" s="171"/>
      <c r="BD278" s="41"/>
      <c r="BE278" s="171">
        <v>112330.84</v>
      </c>
      <c r="BF278" s="171">
        <v>112976.58</v>
      </c>
      <c r="BG278" s="171">
        <v>115087.08</v>
      </c>
      <c r="BH278" s="171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  <c r="CI278" s="329"/>
    </row>
    <row r="279" ht="15.75" customHeight="1">
      <c r="A279" s="317" t="s">
        <v>2547</v>
      </c>
      <c r="B279" s="317" t="s">
        <v>3306</v>
      </c>
      <c r="C279" s="318" t="s">
        <v>3307</v>
      </c>
      <c r="D279" s="319" t="s">
        <v>2659</v>
      </c>
      <c r="E279" s="319" t="s">
        <v>29</v>
      </c>
      <c r="F279" s="319" t="s">
        <v>2659</v>
      </c>
      <c r="G279" s="44" t="str">
        <f t="shared" si="1"/>
        <v>Breno</v>
      </c>
      <c r="H279" s="165" t="s">
        <v>107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190</v>
      </c>
      <c r="N279" s="321">
        <v>0.01</v>
      </c>
      <c r="O279" s="319" t="s">
        <v>2552</v>
      </c>
      <c r="P279" s="322">
        <v>0.0</v>
      </c>
      <c r="Q279" s="319" t="str">
        <f>IFERROR(VLOOKUP(F279,'Cadastro de assessores'!A:B,2,FALSE),"Não Cadastrado")</f>
        <v>22400</v>
      </c>
      <c r="R279" s="319" t="s">
        <v>107</v>
      </c>
      <c r="S279" s="320">
        <v>43441.0</v>
      </c>
      <c r="T279" s="169"/>
      <c r="U279" s="169"/>
      <c r="V279" s="45" t="s">
        <v>108</v>
      </c>
      <c r="W279" s="324" t="s">
        <v>3308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119</v>
      </c>
      <c r="AC279" s="95"/>
      <c r="AD279" s="319" t="s">
        <v>2591</v>
      </c>
      <c r="AE279" s="171">
        <v>205777.82</v>
      </c>
      <c r="AF279" s="171">
        <v>195981.48</v>
      </c>
      <c r="AG279" s="171">
        <v>179946.0</v>
      </c>
      <c r="AH279" s="171">
        <v>193349.48</v>
      </c>
      <c r="AI279" s="171">
        <v>202050.55</v>
      </c>
      <c r="AJ279" s="171">
        <v>215767.48</v>
      </c>
      <c r="AK279" s="171">
        <v>231635.89</v>
      </c>
      <c r="AL279" s="171">
        <v>217983.46</v>
      </c>
      <c r="AM279" s="171">
        <v>206251.29</v>
      </c>
      <c r="AN279" s="171">
        <v>212164.79</v>
      </c>
      <c r="AO279" s="171">
        <v>240942.9</v>
      </c>
      <c r="AP279" s="171">
        <v>248442.24</v>
      </c>
      <c r="AQ279" s="171">
        <v>237182.59</v>
      </c>
      <c r="AR279" s="171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1">
        <v>243383.57</v>
      </c>
      <c r="AY279" s="171">
        <v>236473.77</v>
      </c>
      <c r="AZ279" s="171">
        <v>225981.12</v>
      </c>
      <c r="BA279" s="171">
        <v>214760.5</v>
      </c>
      <c r="BB279" s="171">
        <v>201840.63</v>
      </c>
      <c r="BC279" s="171">
        <v>197186.32</v>
      </c>
      <c r="BD279" s="171">
        <v>198810.42</v>
      </c>
      <c r="BE279" s="171">
        <v>215656.32</v>
      </c>
      <c r="BF279" s="171">
        <v>224467.79</v>
      </c>
      <c r="BG279" s="171">
        <v>237534.45</v>
      </c>
      <c r="BH279" s="171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  <c r="CI279" s="329"/>
    </row>
    <row r="280" ht="15.75" customHeight="1">
      <c r="A280" s="317" t="s">
        <v>2547</v>
      </c>
      <c r="B280" s="368" t="s">
        <v>3309</v>
      </c>
      <c r="C280" s="71" t="s">
        <v>3310</v>
      </c>
      <c r="D280" s="319" t="s">
        <v>18</v>
      </c>
      <c r="E280" s="319" t="s">
        <v>29</v>
      </c>
      <c r="F280" s="95" t="s">
        <v>60</v>
      </c>
      <c r="G280" s="44" t="str">
        <f t="shared" si="1"/>
        <v>Breno</v>
      </c>
      <c r="H280" s="165" t="s">
        <v>107</v>
      </c>
      <c r="I280" s="46" t="s">
        <v>24</v>
      </c>
      <c r="J280" s="319" t="str">
        <f t="shared" si="2"/>
        <v>Não</v>
      </c>
      <c r="K280" s="333">
        <v>45013.0</v>
      </c>
      <c r="L280" s="386"/>
      <c r="M280" s="95" t="s">
        <v>55</v>
      </c>
      <c r="N280" s="321">
        <v>0.01</v>
      </c>
      <c r="O280" s="319" t="s">
        <v>2552</v>
      </c>
      <c r="P280" s="322">
        <v>0.0</v>
      </c>
      <c r="Q280" s="319">
        <f>IFERROR(VLOOKUP(F280,'Cadastro de assessores'!A:B,2,FALSE),"Não Cadastrado")</f>
        <v>12332</v>
      </c>
      <c r="R280" s="95"/>
      <c r="S280" s="334"/>
      <c r="T280" s="169"/>
      <c r="U280" s="169"/>
      <c r="V280" s="45" t="s">
        <v>108</v>
      </c>
      <c r="W280" s="13" t="s">
        <v>1817</v>
      </c>
      <c r="X280" s="13" t="s">
        <v>1818</v>
      </c>
      <c r="Y280" s="51" t="str">
        <f t="shared" si="3"/>
        <v>Ativo</v>
      </c>
      <c r="Z280" s="325"/>
      <c r="AA280" s="95" t="str">
        <f t="shared" si="7"/>
        <v/>
      </c>
      <c r="AB280" s="13" t="s">
        <v>119</v>
      </c>
      <c r="AC280" s="95"/>
      <c r="AD280" s="95"/>
      <c r="AE280" s="171"/>
      <c r="AF280" s="171"/>
      <c r="AG280" s="171"/>
      <c r="AH280" s="171"/>
      <c r="AI280" s="171"/>
      <c r="AJ280" s="171"/>
      <c r="AK280" s="171"/>
      <c r="AL280" s="337"/>
      <c r="AM280" s="337"/>
      <c r="AN280" s="337"/>
      <c r="AO280" s="171"/>
      <c r="AP280" s="171"/>
      <c r="AQ280" s="171"/>
      <c r="AR280" s="171"/>
      <c r="AS280" s="171"/>
      <c r="AT280" s="171"/>
      <c r="AU280" s="171"/>
      <c r="AV280" s="171"/>
      <c r="AW280" s="171"/>
      <c r="AX280" s="171"/>
      <c r="AY280" s="171"/>
      <c r="AZ280" s="171"/>
      <c r="BA280" s="171"/>
      <c r="BB280" s="171"/>
      <c r="BC280" s="171"/>
      <c r="BD280" s="171"/>
      <c r="BE280" s="171"/>
      <c r="BF280" s="171"/>
      <c r="BG280" s="171"/>
      <c r="BH280" s="171"/>
      <c r="BI280" s="171"/>
      <c r="BJ280" s="171"/>
      <c r="BK280" s="171"/>
      <c r="BL280" s="171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  <c r="CI280" s="329"/>
    </row>
    <row r="281" ht="15.75" customHeight="1">
      <c r="A281" s="317" t="s">
        <v>2547</v>
      </c>
      <c r="B281" s="235" t="s">
        <v>3311</v>
      </c>
      <c r="C281" s="331" t="s">
        <v>3312</v>
      </c>
      <c r="D281" s="319" t="s">
        <v>2550</v>
      </c>
      <c r="E281" s="319" t="s">
        <v>29</v>
      </c>
      <c r="F281" s="95" t="s">
        <v>2550</v>
      </c>
      <c r="G281" s="44" t="str">
        <f t="shared" si="1"/>
        <v>Augusto</v>
      </c>
      <c r="H281" s="332" t="s">
        <v>186</v>
      </c>
      <c r="I281" s="46" t="s">
        <v>24</v>
      </c>
      <c r="J281" s="319" t="str">
        <f t="shared" si="2"/>
        <v>Não</v>
      </c>
      <c r="K281" s="334"/>
      <c r="L281" s="386">
        <v>44044.0</v>
      </c>
      <c r="M281" s="95" t="s">
        <v>3313</v>
      </c>
      <c r="N281" s="334">
        <v>0.02</v>
      </c>
      <c r="O281" s="319" t="s">
        <v>191</v>
      </c>
      <c r="P281" s="322">
        <v>0.2</v>
      </c>
      <c r="Q281" s="319" t="str">
        <f>IFERROR(VLOOKUP(F281,'Cadastro de assessores'!A:B,2,FALSE),"Não Cadastrado")</f>
        <v>18986</v>
      </c>
      <c r="R281" s="95" t="s">
        <v>2563</v>
      </c>
      <c r="S281" s="334"/>
      <c r="T281" s="169"/>
      <c r="U281" s="169"/>
      <c r="V281" s="45" t="s">
        <v>108</v>
      </c>
      <c r="W281" s="13" t="s">
        <v>3314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3315</v>
      </c>
      <c r="AE281" s="171"/>
      <c r="AF281" s="171"/>
      <c r="AG281" s="171"/>
      <c r="AH281" s="171"/>
      <c r="AI281" s="171"/>
      <c r="AJ281" s="171"/>
      <c r="AK281" s="171" t="s">
        <v>3316</v>
      </c>
      <c r="AL281" s="337" t="s">
        <v>3316</v>
      </c>
      <c r="AM281" s="337" t="s">
        <v>3316</v>
      </c>
      <c r="AN281" s="337" t="s">
        <v>3316</v>
      </c>
      <c r="AO281" s="171" t="s">
        <v>3316</v>
      </c>
      <c r="AP281" s="171"/>
      <c r="AQ281" s="171"/>
      <c r="AR281" s="171"/>
      <c r="AS281" s="171"/>
      <c r="AT281" s="171"/>
      <c r="AU281" s="171"/>
      <c r="AV281" s="171"/>
      <c r="AW281" s="171"/>
      <c r="AX281" s="171"/>
      <c r="AY281" s="171"/>
      <c r="AZ281" s="171"/>
      <c r="BA281" s="171"/>
      <c r="BB281" s="171"/>
      <c r="BC281" s="171"/>
      <c r="BD281" s="171"/>
      <c r="BE281" s="171"/>
      <c r="BF281" s="171"/>
      <c r="BG281" s="171"/>
      <c r="BH281" s="171"/>
      <c r="BI281" s="171"/>
      <c r="BJ281" s="171"/>
      <c r="BK281" s="171">
        <v>28.04</v>
      </c>
      <c r="BL281" s="171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  <c r="CI281" s="329"/>
    </row>
    <row r="282" ht="15.75" customHeight="1">
      <c r="A282" s="317" t="s">
        <v>2547</v>
      </c>
      <c r="B282" s="235" t="s">
        <v>3317</v>
      </c>
      <c r="C282" s="331" t="s">
        <v>3318</v>
      </c>
      <c r="D282" s="319" t="s">
        <v>2659</v>
      </c>
      <c r="E282" s="319" t="s">
        <v>29</v>
      </c>
      <c r="F282" s="319" t="s">
        <v>2659</v>
      </c>
      <c r="G282" s="44" t="str">
        <f t="shared" si="1"/>
        <v>Augusto</v>
      </c>
      <c r="H282" s="165" t="s">
        <v>147</v>
      </c>
      <c r="I282" s="51" t="s">
        <v>219</v>
      </c>
      <c r="J282" s="319" t="str">
        <f t="shared" si="2"/>
        <v>Não</v>
      </c>
      <c r="K282" s="320">
        <v>43441.0</v>
      </c>
      <c r="L282" s="95"/>
      <c r="M282" s="95" t="s">
        <v>190</v>
      </c>
      <c r="N282" s="321">
        <v>0.01</v>
      </c>
      <c r="O282" s="319" t="s">
        <v>191</v>
      </c>
      <c r="P282" s="322">
        <v>0.2</v>
      </c>
      <c r="Q282" s="319" t="str">
        <f>IFERROR(VLOOKUP(F282,'Cadastro de assessores'!A:B,2,FALSE),"Não Cadastrado")</f>
        <v>22400</v>
      </c>
      <c r="R282" s="347" t="s">
        <v>3319</v>
      </c>
      <c r="S282" s="320">
        <v>43441.0</v>
      </c>
      <c r="T282" s="169"/>
      <c r="U282" s="169"/>
      <c r="V282" s="45" t="s">
        <v>108</v>
      </c>
      <c r="W282" s="13" t="s">
        <v>3320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119</v>
      </c>
      <c r="AC282" s="95"/>
      <c r="AD282" s="95" t="s">
        <v>2656</v>
      </c>
      <c r="AE282" s="171">
        <v>305570.04</v>
      </c>
      <c r="AF282" s="171">
        <v>288075.28</v>
      </c>
      <c r="AG282" s="171">
        <v>220604.95</v>
      </c>
      <c r="AH282" s="171">
        <v>237071.95</v>
      </c>
      <c r="AI282" s="171">
        <v>245439.49</v>
      </c>
      <c r="AJ282" s="171">
        <v>46758.86</v>
      </c>
      <c r="AK282" s="171">
        <v>50833.28</v>
      </c>
      <c r="AL282" s="337"/>
      <c r="AM282" s="337"/>
      <c r="AN282" s="337"/>
      <c r="AO282" s="171">
        <v>626.76</v>
      </c>
      <c r="AP282" s="171">
        <v>104158.52</v>
      </c>
      <c r="AQ282" s="171">
        <v>99737.89</v>
      </c>
      <c r="AR282" s="171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1">
        <v>99219.9</v>
      </c>
      <c r="AY282" s="171">
        <v>96705.02</v>
      </c>
      <c r="AZ282" s="171">
        <v>92541.01</v>
      </c>
      <c r="BA282" s="171">
        <v>87768.14</v>
      </c>
      <c r="BB282" s="171">
        <v>82843.34</v>
      </c>
      <c r="BC282" s="171">
        <v>80487.74</v>
      </c>
      <c r="BD282" s="171">
        <v>80202.19</v>
      </c>
      <c r="BE282" s="171">
        <v>84499.97</v>
      </c>
      <c r="BF282" s="171">
        <v>85657.17</v>
      </c>
      <c r="BG282" s="171">
        <v>499.7</v>
      </c>
      <c r="BH282" s="171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  <c r="CI282" s="329"/>
    </row>
    <row r="283" ht="15.75" customHeight="1">
      <c r="A283" s="317" t="s">
        <v>2547</v>
      </c>
      <c r="B283" s="235" t="s">
        <v>3321</v>
      </c>
      <c r="C283" s="219" t="s">
        <v>3322</v>
      </c>
      <c r="D283" s="319" t="s">
        <v>18</v>
      </c>
      <c r="E283" s="319" t="s">
        <v>176</v>
      </c>
      <c r="F283" s="319" t="s">
        <v>197</v>
      </c>
      <c r="G283" s="44" t="str">
        <f t="shared" si="1"/>
        <v>Augusto</v>
      </c>
      <c r="H283" s="165" t="s">
        <v>147</v>
      </c>
      <c r="I283" s="51" t="s">
        <v>219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107</v>
      </c>
      <c r="S283" s="320">
        <v>44280.0</v>
      </c>
      <c r="T283" s="169"/>
      <c r="U283" s="169"/>
      <c r="V283" s="45" t="s">
        <v>108</v>
      </c>
      <c r="W283" s="13" t="s">
        <v>3323</v>
      </c>
      <c r="X283" s="164" t="s">
        <v>180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119</v>
      </c>
      <c r="AC283" s="95"/>
      <c r="AD283" s="95" t="s">
        <v>2609</v>
      </c>
      <c r="AE283" s="337"/>
      <c r="AF283" s="337"/>
      <c r="AG283" s="337"/>
      <c r="AH283" s="337"/>
      <c r="AI283" s="337"/>
      <c r="AJ283" s="337"/>
      <c r="AK283" s="337"/>
      <c r="AL283" s="337"/>
      <c r="AM283" s="337"/>
      <c r="AN283" s="337"/>
      <c r="AO283" s="337"/>
      <c r="AP283" s="337"/>
      <c r="AQ283" s="337"/>
      <c r="AR283" s="171"/>
      <c r="AS283" s="326"/>
      <c r="AT283" s="326">
        <v>480858.15</v>
      </c>
      <c r="AU283" s="326"/>
      <c r="AV283" s="326">
        <v>484671.71</v>
      </c>
      <c r="AW283" s="326">
        <v>493301.42</v>
      </c>
      <c r="AX283" s="171">
        <v>490086.75</v>
      </c>
      <c r="AY283" s="171">
        <v>484945.51</v>
      </c>
      <c r="AZ283" s="171">
        <v>476222.42</v>
      </c>
      <c r="BA283" s="171">
        <v>469259.58</v>
      </c>
      <c r="BB283" s="171">
        <v>458689.26</v>
      </c>
      <c r="BC283" s="171">
        <v>999289.46</v>
      </c>
      <c r="BD283" s="171">
        <v>491945.79</v>
      </c>
      <c r="BE283" s="171">
        <v>505061.25</v>
      </c>
      <c r="BF283" s="171">
        <v>507962.96</v>
      </c>
      <c r="BG283" s="171">
        <v>529358.69</v>
      </c>
      <c r="BH283" s="171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  <c r="CI283" s="329"/>
    </row>
    <row r="284" ht="15.75" customHeight="1">
      <c r="A284" s="317" t="s">
        <v>2547</v>
      </c>
      <c r="B284" s="42" t="s">
        <v>3324</v>
      </c>
      <c r="C284" s="366" t="s">
        <v>3325</v>
      </c>
      <c r="D284" s="319" t="s">
        <v>18</v>
      </c>
      <c r="E284" s="319" t="s">
        <v>176</v>
      </c>
      <c r="F284" s="164" t="s">
        <v>197</v>
      </c>
      <c r="G284" s="44" t="str">
        <f t="shared" si="1"/>
        <v>Augusto</v>
      </c>
      <c r="H284" s="332" t="s">
        <v>186</v>
      </c>
      <c r="I284" s="46" t="s">
        <v>24</v>
      </c>
      <c r="J284" s="319" t="str">
        <f t="shared" si="2"/>
        <v>Não</v>
      </c>
      <c r="K284" s="72">
        <v>44391.0</v>
      </c>
      <c r="L284" s="333">
        <v>44701.0</v>
      </c>
      <c r="M284" s="95" t="s">
        <v>47</v>
      </c>
      <c r="N284" s="334">
        <v>0.015</v>
      </c>
      <c r="O284" s="319" t="s">
        <v>48</v>
      </c>
      <c r="P284" s="322">
        <v>0.1</v>
      </c>
      <c r="Q284" s="164" t="str">
        <f>IFERROR(VLOOKUP(F284,'Cadastro de assessores'!A:B,2,FALSE),"Não Cadastrado")</f>
        <v>28411</v>
      </c>
      <c r="R284" s="95" t="s">
        <v>2563</v>
      </c>
      <c r="S284" s="72">
        <v>44391.0</v>
      </c>
      <c r="T284" s="50"/>
      <c r="U284" s="50"/>
      <c r="V284" s="45" t="s">
        <v>369</v>
      </c>
      <c r="W284" s="5" t="s">
        <v>3326</v>
      </c>
      <c r="X284" s="164" t="s">
        <v>180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119</v>
      </c>
      <c r="AC284" s="95"/>
      <c r="AD284" s="45" t="s">
        <v>3327</v>
      </c>
      <c r="AE284" s="191"/>
      <c r="AF284" s="191"/>
      <c r="AG284" s="191"/>
      <c r="AH284" s="191"/>
      <c r="AI284" s="191"/>
      <c r="AJ284" s="191"/>
      <c r="AK284" s="191"/>
      <c r="AL284" s="191"/>
      <c r="AM284" s="191"/>
      <c r="AN284" s="191"/>
      <c r="AO284" s="191"/>
      <c r="AP284" s="191"/>
      <c r="AQ284" s="171"/>
      <c r="AR284" s="171"/>
      <c r="AS284" s="171"/>
      <c r="AT284" s="171"/>
      <c r="AU284" s="171"/>
      <c r="AV284" s="171"/>
      <c r="AW284" s="337"/>
      <c r="AX284" s="191"/>
      <c r="AY284" s="337"/>
      <c r="AZ284" s="337">
        <v>407555.13</v>
      </c>
      <c r="BA284" s="171">
        <v>401685.42</v>
      </c>
      <c r="BB284" s="171">
        <v>137224.22</v>
      </c>
      <c r="BC284" s="171">
        <v>133426.15</v>
      </c>
      <c r="BD284" s="171">
        <v>120432.23</v>
      </c>
      <c r="BE284" s="171">
        <v>128476.03</v>
      </c>
      <c r="BF284" s="171">
        <v>126039.57</v>
      </c>
      <c r="BG284" s="171">
        <v>133436.28</v>
      </c>
      <c r="BH284" s="171">
        <v>120846.22</v>
      </c>
      <c r="BI284" s="339" t="s">
        <v>2566</v>
      </c>
      <c r="BJ284" s="171">
        <v>0.0</v>
      </c>
      <c r="BK284" s="171" t="s">
        <v>2566</v>
      </c>
      <c r="BL284" s="171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  <c r="CI284" s="329"/>
    </row>
    <row r="285" ht="15.75" customHeight="1">
      <c r="A285" s="317" t="s">
        <v>2547</v>
      </c>
      <c r="B285" s="235" t="s">
        <v>3328</v>
      </c>
      <c r="C285" s="331" t="s">
        <v>3329</v>
      </c>
      <c r="D285" s="319" t="s">
        <v>2550</v>
      </c>
      <c r="E285" s="319" t="s">
        <v>29</v>
      </c>
      <c r="F285" s="95" t="s">
        <v>2551</v>
      </c>
      <c r="G285" s="44" t="str">
        <f t="shared" si="1"/>
        <v>Augusto</v>
      </c>
      <c r="H285" s="332" t="s">
        <v>186</v>
      </c>
      <c r="I285" s="46" t="s">
        <v>24</v>
      </c>
      <c r="J285" s="319" t="str">
        <f t="shared" si="2"/>
        <v>Não</v>
      </c>
      <c r="K285" s="333">
        <v>43710.0</v>
      </c>
      <c r="L285" s="333">
        <v>44327.0</v>
      </c>
      <c r="M285" s="95" t="s">
        <v>47</v>
      </c>
      <c r="N285" s="334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2563</v>
      </c>
      <c r="S285" s="333">
        <v>43710.0</v>
      </c>
      <c r="T285" s="323"/>
      <c r="U285" s="323"/>
      <c r="V285" s="45" t="s">
        <v>108</v>
      </c>
      <c r="W285" s="13" t="s">
        <v>3330</v>
      </c>
      <c r="X285" s="164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2591</v>
      </c>
      <c r="AE285" s="171">
        <v>210513.97</v>
      </c>
      <c r="AF285" s="171">
        <v>207396.41</v>
      </c>
      <c r="AG285" s="171">
        <v>196480.41</v>
      </c>
      <c r="AH285" s="171">
        <v>200182.94</v>
      </c>
      <c r="AI285" s="171">
        <v>201653.92</v>
      </c>
      <c r="AJ285" s="171">
        <v>204800.96</v>
      </c>
      <c r="AK285" s="171">
        <v>210088.12</v>
      </c>
      <c r="AL285" s="171">
        <v>207616.66</v>
      </c>
      <c r="AM285" s="171">
        <v>205421.73</v>
      </c>
      <c r="AN285" s="171">
        <v>208405.81</v>
      </c>
      <c r="AO285" s="171">
        <v>213665.96</v>
      </c>
      <c r="AP285" s="171">
        <v>494289.95</v>
      </c>
      <c r="AQ285" s="171">
        <v>484624.7</v>
      </c>
      <c r="AR285" s="171">
        <v>145541.55</v>
      </c>
      <c r="AS285" s="171">
        <v>1130.65</v>
      </c>
      <c r="AT285" s="171">
        <v>1245.47</v>
      </c>
      <c r="AU285" s="171">
        <v>797.62</v>
      </c>
      <c r="AV285" s="171">
        <v>797.3</v>
      </c>
      <c r="AW285" s="171"/>
      <c r="AX285" s="337"/>
      <c r="AY285" s="337"/>
      <c r="AZ285" s="337"/>
      <c r="BA285" s="171"/>
      <c r="BB285" s="171"/>
      <c r="BC285" s="171"/>
      <c r="BD285" s="171"/>
      <c r="BE285" s="171"/>
      <c r="BF285" s="171">
        <v>0.0</v>
      </c>
      <c r="BG285" s="171">
        <v>0.0</v>
      </c>
      <c r="BH285" s="171">
        <v>0.0</v>
      </c>
      <c r="BI285" s="171" t="s">
        <v>2566</v>
      </c>
      <c r="BJ285" s="171">
        <v>0.0</v>
      </c>
      <c r="BK285" s="171" t="s">
        <v>2566</v>
      </c>
      <c r="BL285" s="171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  <c r="CI285" s="329"/>
    </row>
    <row r="286" ht="15.75" customHeight="1">
      <c r="A286" s="317" t="s">
        <v>2547</v>
      </c>
      <c r="B286" s="61" t="s">
        <v>1865</v>
      </c>
      <c r="C286" s="342">
        <v>323595.0</v>
      </c>
      <c r="D286" s="319" t="s">
        <v>18</v>
      </c>
      <c r="E286" s="319" t="s">
        <v>176</v>
      </c>
      <c r="F286" s="319" t="s">
        <v>177</v>
      </c>
      <c r="G286" s="44" t="str">
        <f t="shared" si="1"/>
        <v>Augusto</v>
      </c>
      <c r="H286" s="332" t="s">
        <v>147</v>
      </c>
      <c r="I286" s="51" t="s">
        <v>219</v>
      </c>
      <c r="J286" s="319" t="str">
        <f t="shared" si="2"/>
        <v>Não</v>
      </c>
      <c r="K286" s="72">
        <v>44477.0</v>
      </c>
      <c r="L286" s="45"/>
      <c r="M286" s="95" t="s">
        <v>55</v>
      </c>
      <c r="N286" s="321">
        <v>0.007</v>
      </c>
      <c r="O286" s="319" t="s">
        <v>2552</v>
      </c>
      <c r="P286" s="322">
        <v>0.0</v>
      </c>
      <c r="Q286" s="319" t="str">
        <f>IFERROR(VLOOKUP(F286,'Cadastro de assessores'!A:B,2,FALSE),"Não Cadastrado")</f>
        <v>250</v>
      </c>
      <c r="R286" s="319" t="s">
        <v>107</v>
      </c>
      <c r="S286" s="72">
        <v>44477.0</v>
      </c>
      <c r="T286" s="50"/>
      <c r="U286" s="50"/>
      <c r="V286" s="45" t="s">
        <v>108</v>
      </c>
      <c r="W286" s="5" t="s">
        <v>1868</v>
      </c>
      <c r="X286" s="164" t="s">
        <v>180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119</v>
      </c>
      <c r="AC286" s="95"/>
      <c r="AD286" s="95" t="s">
        <v>2609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7"/>
      <c r="AP286" s="337"/>
      <c r="AQ286" s="171"/>
      <c r="AR286" s="326"/>
      <c r="AS286" s="326"/>
      <c r="AT286" s="326"/>
      <c r="AU286" s="326"/>
      <c r="AV286" s="326"/>
      <c r="AW286" s="171"/>
      <c r="AX286" s="171"/>
      <c r="AY286" s="171"/>
      <c r="AZ286" s="171"/>
      <c r="BA286" s="171"/>
      <c r="BB286" s="171">
        <v>401575.01</v>
      </c>
      <c r="BC286" s="171">
        <v>403494.73</v>
      </c>
      <c r="BD286" s="171">
        <v>406304.65</v>
      </c>
      <c r="BE286" s="171">
        <v>407846.27</v>
      </c>
      <c r="BF286" s="171">
        <v>410273.39</v>
      </c>
      <c r="BG286" s="171">
        <v>417743.69</v>
      </c>
      <c r="BH286" s="171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  <c r="CI286" s="329"/>
    </row>
    <row r="287" ht="15.75" customHeight="1">
      <c r="A287" s="317" t="s">
        <v>2547</v>
      </c>
      <c r="B287" s="344" t="s">
        <v>1869</v>
      </c>
      <c r="C287" s="331" t="s">
        <v>3331</v>
      </c>
      <c r="D287" s="319" t="s">
        <v>18</v>
      </c>
      <c r="E287" s="319" t="s">
        <v>176</v>
      </c>
      <c r="F287" s="319" t="s">
        <v>177</v>
      </c>
      <c r="G287" s="44" t="str">
        <f t="shared" si="1"/>
        <v>Augusto</v>
      </c>
      <c r="H287" s="165" t="s">
        <v>147</v>
      </c>
      <c r="I287" s="51" t="s">
        <v>219</v>
      </c>
      <c r="J287" s="319" t="str">
        <f t="shared" si="2"/>
        <v>Não</v>
      </c>
      <c r="K287" s="333">
        <v>44263.0</v>
      </c>
      <c r="L287" s="95"/>
      <c r="M287" s="95" t="s">
        <v>79</v>
      </c>
      <c r="N287" s="334">
        <v>0.025</v>
      </c>
      <c r="O287" s="319" t="s">
        <v>2552</v>
      </c>
      <c r="P287" s="322">
        <v>0.0</v>
      </c>
      <c r="Q287" s="319" t="str">
        <f>IFERROR(VLOOKUP(F287,'Cadastro de assessores'!A:B,2,FALSE),"Não Cadastrado")</f>
        <v>250</v>
      </c>
      <c r="R287" s="319" t="s">
        <v>107</v>
      </c>
      <c r="S287" s="320">
        <v>44223.0</v>
      </c>
      <c r="T287" s="63"/>
      <c r="U287" s="169"/>
      <c r="V287" s="45" t="s">
        <v>108</v>
      </c>
      <c r="W287" s="324" t="s">
        <v>1871</v>
      </c>
      <c r="X287" s="164" t="s">
        <v>180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119</v>
      </c>
      <c r="AC287" s="95"/>
      <c r="AD287" s="95" t="s">
        <v>2609</v>
      </c>
      <c r="AE287" s="337"/>
      <c r="AF287" s="337"/>
      <c r="AG287" s="337"/>
      <c r="AH287" s="337"/>
      <c r="AI287" s="337"/>
      <c r="AJ287" s="337"/>
      <c r="AK287" s="337"/>
      <c r="AL287" s="337"/>
      <c r="AM287" s="337"/>
      <c r="AN287" s="337"/>
      <c r="AO287" s="337"/>
      <c r="AP287" s="337"/>
      <c r="AQ287" s="337"/>
      <c r="AR287" s="171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1">
        <v>204452.37</v>
      </c>
      <c r="AY287" s="171">
        <v>203003.08</v>
      </c>
      <c r="AZ287" s="171">
        <v>195418.38</v>
      </c>
      <c r="BA287" s="171">
        <v>189989.0</v>
      </c>
      <c r="BB287" s="171">
        <v>182075.35</v>
      </c>
      <c r="BC287" s="171">
        <v>175117.15</v>
      </c>
      <c r="BD287" s="171">
        <v>177903.84</v>
      </c>
      <c r="BE287" s="171">
        <v>184365.58</v>
      </c>
      <c r="BF287" s="171">
        <v>184937.8</v>
      </c>
      <c r="BG287" s="171">
        <v>196571.39</v>
      </c>
      <c r="BH287" s="171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  <c r="CI287" s="329"/>
    </row>
    <row r="288" ht="15.75" customHeight="1">
      <c r="A288" s="317" t="s">
        <v>2547</v>
      </c>
      <c r="B288" s="239" t="s">
        <v>3332</v>
      </c>
      <c r="C288" s="331" t="s">
        <v>3333</v>
      </c>
      <c r="D288" s="319" t="s">
        <v>2550</v>
      </c>
      <c r="E288" s="319" t="s">
        <v>29</v>
      </c>
      <c r="F288" s="95" t="s">
        <v>2551</v>
      </c>
      <c r="G288" s="44" t="str">
        <f t="shared" si="1"/>
        <v>Augusto</v>
      </c>
      <c r="H288" s="332" t="s">
        <v>186</v>
      </c>
      <c r="I288" s="46" t="s">
        <v>24</v>
      </c>
      <c r="J288" s="319" t="str">
        <f t="shared" si="2"/>
        <v>Não</v>
      </c>
      <c r="K288" s="333">
        <v>43699.0</v>
      </c>
      <c r="L288" s="387">
        <v>44105.0</v>
      </c>
      <c r="M288" s="95" t="s">
        <v>47</v>
      </c>
      <c r="N288" s="334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2563</v>
      </c>
      <c r="S288" s="333">
        <v>43699.0</v>
      </c>
      <c r="T288" s="377"/>
      <c r="U288" s="377"/>
      <c r="V288" s="45" t="s">
        <v>108</v>
      </c>
      <c r="W288" s="13" t="s">
        <v>3334</v>
      </c>
      <c r="X288" s="164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2591</v>
      </c>
      <c r="AE288" s="171">
        <v>132529.14</v>
      </c>
      <c r="AF288" s="171">
        <v>131435.46</v>
      </c>
      <c r="AG288" s="171">
        <v>130476.31</v>
      </c>
      <c r="AH288" s="171">
        <v>134831.02</v>
      </c>
      <c r="AI288" s="171">
        <v>113663.5</v>
      </c>
      <c r="AJ288" s="171">
        <v>78869.89</v>
      </c>
      <c r="AK288" s="171">
        <v>49553.76</v>
      </c>
      <c r="AL288" s="171">
        <v>38496.72</v>
      </c>
      <c r="AM288" s="171">
        <v>17805.25</v>
      </c>
      <c r="AN288" s="171">
        <v>6507.68</v>
      </c>
      <c r="AO288" s="171">
        <v>1532.6</v>
      </c>
      <c r="AP288" s="171">
        <v>0.0</v>
      </c>
      <c r="AQ288" s="337"/>
      <c r="AR288" s="171"/>
      <c r="AS288" s="171"/>
      <c r="AT288" s="171"/>
      <c r="AU288" s="171"/>
      <c r="AV288" s="171"/>
      <c r="AW288" s="171"/>
      <c r="AX288" s="337"/>
      <c r="AY288" s="337"/>
      <c r="AZ288" s="337"/>
      <c r="BA288" s="171"/>
      <c r="BB288" s="171"/>
      <c r="BC288" s="171"/>
      <c r="BD288" s="171"/>
      <c r="BE288" s="171"/>
      <c r="BF288" s="171">
        <v>0.0</v>
      </c>
      <c r="BG288" s="171">
        <v>0.0</v>
      </c>
      <c r="BH288" s="171">
        <v>0.0</v>
      </c>
      <c r="BI288" s="171" t="s">
        <v>2566</v>
      </c>
      <c r="BJ288" s="171">
        <v>0.0</v>
      </c>
      <c r="BK288" s="171" t="s">
        <v>2566</v>
      </c>
      <c r="BL288" s="171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  <c r="CI288" s="329"/>
    </row>
    <row r="289" ht="15.75" customHeight="1">
      <c r="A289" s="317" t="s">
        <v>2547</v>
      </c>
      <c r="B289" s="344" t="s">
        <v>1889</v>
      </c>
      <c r="C289" s="331" t="s">
        <v>3335</v>
      </c>
      <c r="D289" s="319" t="s">
        <v>18</v>
      </c>
      <c r="E289" s="319" t="s">
        <v>176</v>
      </c>
      <c r="F289" s="319" t="s">
        <v>177</v>
      </c>
      <c r="G289" s="44" t="str">
        <f t="shared" si="1"/>
        <v>Augusto</v>
      </c>
      <c r="H289" s="332" t="s">
        <v>147</v>
      </c>
      <c r="I289" s="51" t="s">
        <v>219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4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107</v>
      </c>
      <c r="S289" s="320">
        <v>44263.0</v>
      </c>
      <c r="T289" s="336" t="s">
        <v>3336</v>
      </c>
      <c r="U289" s="169"/>
      <c r="V289" s="45" t="s">
        <v>108</v>
      </c>
      <c r="W289" s="324" t="s">
        <v>1892</v>
      </c>
      <c r="X289" s="164" t="s">
        <v>180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119</v>
      </c>
      <c r="AC289" s="95"/>
      <c r="AD289" s="95" t="s">
        <v>2609</v>
      </c>
      <c r="AE289" s="337"/>
      <c r="AF289" s="337"/>
      <c r="AG289" s="337"/>
      <c r="AH289" s="337"/>
      <c r="AI289" s="337"/>
      <c r="AJ289" s="337"/>
      <c r="AK289" s="337"/>
      <c r="AL289" s="337"/>
      <c r="AM289" s="337"/>
      <c r="AN289" s="337"/>
      <c r="AO289" s="337"/>
      <c r="AP289" s="337"/>
      <c r="AQ289" s="337"/>
      <c r="AR289" s="171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1">
        <v>494082.93</v>
      </c>
      <c r="AY289" s="171">
        <v>487710.25</v>
      </c>
      <c r="AZ289" s="171">
        <v>476896.46</v>
      </c>
      <c r="BA289" s="171">
        <v>485180.85</v>
      </c>
      <c r="BB289" s="171">
        <v>469162.91</v>
      </c>
      <c r="BC289" s="171">
        <v>459227.68</v>
      </c>
      <c r="BD289" s="171">
        <v>459602.21</v>
      </c>
      <c r="BE289" s="171">
        <v>473529.53</v>
      </c>
      <c r="BF289" s="171">
        <v>477089.05</v>
      </c>
      <c r="BG289" s="171">
        <v>503851.52</v>
      </c>
      <c r="BH289" s="171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  <c r="CI289" s="329"/>
    </row>
    <row r="290" ht="15.75" customHeight="1">
      <c r="A290" s="317" t="s">
        <v>2547</v>
      </c>
      <c r="B290" s="239" t="s">
        <v>3337</v>
      </c>
      <c r="C290" s="331" t="s">
        <v>3338</v>
      </c>
      <c r="D290" s="319" t="s">
        <v>18</v>
      </c>
      <c r="E290" s="319" t="s">
        <v>176</v>
      </c>
      <c r="F290" s="319" t="s">
        <v>177</v>
      </c>
      <c r="G290" s="44" t="str">
        <f t="shared" si="1"/>
        <v>Augusto</v>
      </c>
      <c r="H290" s="165" t="s">
        <v>107</v>
      </c>
      <c r="I290" s="46" t="s">
        <v>24</v>
      </c>
      <c r="J290" s="319" t="str">
        <f t="shared" si="2"/>
        <v>Sim</v>
      </c>
      <c r="K290" s="333">
        <v>44781.0</v>
      </c>
      <c r="L290" s="333"/>
      <c r="M290" s="95" t="s">
        <v>55</v>
      </c>
      <c r="N290" s="334">
        <v>0.01</v>
      </c>
      <c r="O290" s="319" t="s">
        <v>2552</v>
      </c>
      <c r="P290" s="322">
        <v>0.0</v>
      </c>
      <c r="Q290" s="319" t="str">
        <f>IFERROR(VLOOKUP(F290,'Cadastro de assessores'!A:B,2,FALSE),"Não Cadastrado")</f>
        <v>250</v>
      </c>
      <c r="R290" s="95" t="s">
        <v>107</v>
      </c>
      <c r="S290" s="333">
        <v>44873.0</v>
      </c>
      <c r="T290" s="336" t="s">
        <v>3336</v>
      </c>
      <c r="U290" s="169"/>
      <c r="V290" s="45" t="s">
        <v>108</v>
      </c>
      <c r="W290" s="13" t="s">
        <v>1892</v>
      </c>
      <c r="X290" s="13" t="s">
        <v>180</v>
      </c>
      <c r="Y290" s="51" t="str">
        <f t="shared" si="3"/>
        <v>Ativo</v>
      </c>
      <c r="Z290" s="325"/>
      <c r="AA290" s="95" t="str">
        <f t="shared" si="7"/>
        <v/>
      </c>
      <c r="AB290" s="13" t="s">
        <v>119</v>
      </c>
      <c r="AC290" s="95"/>
      <c r="AD290" s="95"/>
      <c r="AE290" s="171"/>
      <c r="AF290" s="171"/>
      <c r="AG290" s="171"/>
      <c r="AH290" s="171"/>
      <c r="AI290" s="171"/>
      <c r="AJ290" s="171"/>
      <c r="AK290" s="171"/>
      <c r="AL290" s="171"/>
      <c r="AM290" s="171"/>
      <c r="AN290" s="171"/>
      <c r="AO290" s="171"/>
      <c r="AP290" s="171"/>
      <c r="AQ290" s="171"/>
      <c r="AR290" s="171"/>
      <c r="AS290" s="171"/>
      <c r="AT290" s="171"/>
      <c r="AU290" s="171"/>
      <c r="AV290" s="171"/>
      <c r="AW290" s="171"/>
      <c r="AX290" s="171"/>
      <c r="AY290" s="171"/>
      <c r="AZ290" s="171"/>
      <c r="BA290" s="171"/>
      <c r="BB290" s="171"/>
      <c r="BC290" s="171"/>
      <c r="BD290" s="171"/>
      <c r="BE290" s="171"/>
      <c r="BF290" s="171"/>
      <c r="BG290" s="171"/>
      <c r="BH290" s="171"/>
      <c r="BI290" s="171"/>
      <c r="BJ290" s="171"/>
      <c r="BK290" s="171"/>
      <c r="BL290" s="171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  <c r="CI290" s="329"/>
    </row>
    <row r="291" ht="15.75" customHeight="1">
      <c r="A291" s="317" t="s">
        <v>2547</v>
      </c>
      <c r="B291" s="239" t="s">
        <v>3339</v>
      </c>
      <c r="C291" s="331" t="s">
        <v>3340</v>
      </c>
      <c r="D291" s="319" t="s">
        <v>2550</v>
      </c>
      <c r="E291" s="319" t="s">
        <v>29</v>
      </c>
      <c r="F291" s="95" t="s">
        <v>2562</v>
      </c>
      <c r="G291" s="44" t="str">
        <f t="shared" si="1"/>
        <v>Augusto</v>
      </c>
      <c r="H291" s="332" t="s">
        <v>186</v>
      </c>
      <c r="I291" s="46" t="s">
        <v>24</v>
      </c>
      <c r="J291" s="319" t="str">
        <f t="shared" si="2"/>
        <v>Não</v>
      </c>
      <c r="K291" s="333">
        <v>43531.0</v>
      </c>
      <c r="L291" s="333">
        <v>44287.0</v>
      </c>
      <c r="M291" s="95" t="s">
        <v>47</v>
      </c>
      <c r="N291" s="334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2563</v>
      </c>
      <c r="S291" s="333">
        <v>43531.0</v>
      </c>
      <c r="T291" s="323"/>
      <c r="U291" s="323"/>
      <c r="V291" s="45" t="s">
        <v>108</v>
      </c>
      <c r="W291" s="13" t="s">
        <v>3341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2602</v>
      </c>
      <c r="AE291" s="171">
        <v>447274.33</v>
      </c>
      <c r="AF291" s="171">
        <v>443334.97</v>
      </c>
      <c r="AG291" s="171">
        <v>420697.21</v>
      </c>
      <c r="AH291" s="171">
        <v>427991.86</v>
      </c>
      <c r="AI291" s="171">
        <v>432877.63</v>
      </c>
      <c r="AJ291" s="171">
        <v>438810.44</v>
      </c>
      <c r="AK291" s="171">
        <v>443046.85</v>
      </c>
      <c r="AL291" s="171">
        <v>443520.46</v>
      </c>
      <c r="AM291" s="171">
        <v>436370.76</v>
      </c>
      <c r="AN291" s="171">
        <v>436177.14</v>
      </c>
      <c r="AO291" s="171">
        <v>448669.71</v>
      </c>
      <c r="AP291" s="171">
        <v>452800.69</v>
      </c>
      <c r="AQ291" s="171">
        <v>449091.71</v>
      </c>
      <c r="AR291" s="171">
        <v>442319.02</v>
      </c>
      <c r="AS291" s="171">
        <v>441488.04</v>
      </c>
      <c r="AT291" s="171">
        <v>222801.29</v>
      </c>
      <c r="AU291" s="171">
        <v>177190.41</v>
      </c>
      <c r="AV291" s="171">
        <v>176843.09</v>
      </c>
      <c r="AW291" s="171">
        <v>177358.37</v>
      </c>
      <c r="AX291" s="171">
        <v>177867.21</v>
      </c>
      <c r="AY291" s="171">
        <v>31658.13</v>
      </c>
      <c r="AZ291" s="171">
        <v>31787.86</v>
      </c>
      <c r="BA291" s="171">
        <v>31907.92</v>
      </c>
      <c r="BB291" s="171"/>
      <c r="BC291" s="171"/>
      <c r="BD291" s="171"/>
      <c r="BE291" s="171"/>
      <c r="BF291" s="171">
        <v>0.0</v>
      </c>
      <c r="BG291" s="171">
        <v>0.0</v>
      </c>
      <c r="BH291" s="171">
        <v>0.0</v>
      </c>
      <c r="BI291" s="171" t="s">
        <v>2566</v>
      </c>
      <c r="BJ291" s="171">
        <v>0.0</v>
      </c>
      <c r="BK291" s="171" t="s">
        <v>2566</v>
      </c>
      <c r="BL291" s="171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  <c r="CI291" s="329"/>
    </row>
    <row r="292" ht="15.75" customHeight="1">
      <c r="A292" s="317" t="s">
        <v>2547</v>
      </c>
      <c r="B292" s="239" t="s">
        <v>3339</v>
      </c>
      <c r="C292" s="331" t="s">
        <v>3342</v>
      </c>
      <c r="D292" s="319" t="s">
        <v>2550</v>
      </c>
      <c r="E292" s="319" t="s">
        <v>29</v>
      </c>
      <c r="F292" s="95" t="s">
        <v>2562</v>
      </c>
      <c r="G292" s="44" t="str">
        <f t="shared" si="1"/>
        <v>Augusto</v>
      </c>
      <c r="H292" s="332" t="s">
        <v>186</v>
      </c>
      <c r="I292" s="46" t="s">
        <v>24</v>
      </c>
      <c r="J292" s="319" t="str">
        <f t="shared" si="2"/>
        <v>Não</v>
      </c>
      <c r="K292" s="333">
        <v>43566.0</v>
      </c>
      <c r="L292" s="333">
        <v>44287.0</v>
      </c>
      <c r="M292" s="95" t="s">
        <v>79</v>
      </c>
      <c r="N292" s="334">
        <v>0.005</v>
      </c>
      <c r="O292" s="319" t="s">
        <v>2552</v>
      </c>
      <c r="P292" s="322">
        <v>0.0</v>
      </c>
      <c r="Q292" s="95" t="str">
        <f>IFERROR(VLOOKUP(F292,'Cadastro de assessores'!A:B,2,FALSE),"Não Cadastrado")</f>
        <v>2971</v>
      </c>
      <c r="R292" s="95" t="s">
        <v>2563</v>
      </c>
      <c r="S292" s="333">
        <v>43566.0</v>
      </c>
      <c r="T292" s="169"/>
      <c r="U292" s="169"/>
      <c r="V292" s="45" t="s">
        <v>108</v>
      </c>
      <c r="W292" s="13" t="s">
        <v>3341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2602</v>
      </c>
      <c r="AE292" s="171">
        <v>18441.73</v>
      </c>
      <c r="AF292" s="171">
        <v>0.0</v>
      </c>
      <c r="AG292" s="171">
        <v>0.0</v>
      </c>
      <c r="AH292" s="171">
        <v>0.0</v>
      </c>
      <c r="AI292" s="171">
        <v>0.0</v>
      </c>
      <c r="AJ292" s="171">
        <v>0.0</v>
      </c>
      <c r="AK292" s="171">
        <v>0.0</v>
      </c>
      <c r="AL292" s="337"/>
      <c r="AM292" s="337"/>
      <c r="AN292" s="337"/>
      <c r="AO292" s="337"/>
      <c r="AP292" s="337"/>
      <c r="AQ292" s="337"/>
      <c r="AR292" s="171"/>
      <c r="AS292" s="171"/>
      <c r="AT292" s="171"/>
      <c r="AU292" s="171"/>
      <c r="AV292" s="171"/>
      <c r="AW292" s="171"/>
      <c r="AX292" s="337"/>
      <c r="AY292" s="337"/>
      <c r="AZ292" s="337"/>
      <c r="BA292" s="171"/>
      <c r="BB292" s="171"/>
      <c r="BC292" s="171"/>
      <c r="BD292" s="171"/>
      <c r="BE292" s="171"/>
      <c r="BF292" s="171">
        <v>0.0</v>
      </c>
      <c r="BG292" s="171">
        <v>0.0</v>
      </c>
      <c r="BH292" s="171">
        <v>0.0</v>
      </c>
      <c r="BI292" s="171" t="s">
        <v>2566</v>
      </c>
      <c r="BJ292" s="171">
        <v>0.0</v>
      </c>
      <c r="BK292" s="171" t="s">
        <v>2566</v>
      </c>
      <c r="BL292" s="171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  <c r="CI292" s="329"/>
    </row>
    <row r="293" ht="15.75" customHeight="1">
      <c r="A293" s="317" t="s">
        <v>2547</v>
      </c>
      <c r="B293" s="235" t="s">
        <v>3343</v>
      </c>
      <c r="C293" s="331" t="s">
        <v>3344</v>
      </c>
      <c r="D293" s="319" t="s">
        <v>18</v>
      </c>
      <c r="E293" s="319" t="s">
        <v>176</v>
      </c>
      <c r="F293" s="95" t="s">
        <v>177</v>
      </c>
      <c r="G293" s="44" t="str">
        <f t="shared" si="1"/>
        <v>Augusto</v>
      </c>
      <c r="H293" s="332" t="s">
        <v>186</v>
      </c>
      <c r="I293" s="46" t="s">
        <v>24</v>
      </c>
      <c r="J293" s="319" t="str">
        <f t="shared" si="2"/>
        <v>Não</v>
      </c>
      <c r="K293" s="333">
        <v>44280.0</v>
      </c>
      <c r="L293" s="333">
        <v>44757.0</v>
      </c>
      <c r="M293" s="95" t="s">
        <v>190</v>
      </c>
      <c r="N293" s="334">
        <v>0.025</v>
      </c>
      <c r="O293" s="319" t="s">
        <v>191</v>
      </c>
      <c r="P293" s="322">
        <v>0.2</v>
      </c>
      <c r="Q293" s="95" t="str">
        <f>IFERROR(VLOOKUP(F293,'Cadastro de assessores'!A:B,2,FALSE),"Não Cadastrado")</f>
        <v>250</v>
      </c>
      <c r="R293" s="95" t="s">
        <v>2563</v>
      </c>
      <c r="S293" s="333">
        <v>44280.0</v>
      </c>
      <c r="T293" s="169"/>
      <c r="U293" s="169"/>
      <c r="V293" s="45" t="s">
        <v>369</v>
      </c>
      <c r="W293" s="13" t="s">
        <v>3345</v>
      </c>
      <c r="X293" s="164" t="s">
        <v>180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119</v>
      </c>
      <c r="AC293" s="95"/>
      <c r="AD293" s="95" t="s">
        <v>2609</v>
      </c>
      <c r="AE293" s="337"/>
      <c r="AF293" s="337"/>
      <c r="AG293" s="337"/>
      <c r="AH293" s="337"/>
      <c r="AI293" s="337"/>
      <c r="AJ293" s="337"/>
      <c r="AK293" s="337"/>
      <c r="AL293" s="337"/>
      <c r="AM293" s="337"/>
      <c r="AN293" s="337"/>
      <c r="AO293" s="337"/>
      <c r="AP293" s="337"/>
      <c r="AQ293" s="337"/>
      <c r="AR293" s="171"/>
      <c r="AS293" s="171">
        <v>254446.37</v>
      </c>
      <c r="AT293" s="171">
        <v>268252.37</v>
      </c>
      <c r="AU293" s="171">
        <v>269830.89</v>
      </c>
      <c r="AV293" s="171">
        <v>272037.0</v>
      </c>
      <c r="AW293" s="171">
        <v>281307.71</v>
      </c>
      <c r="AX293" s="171">
        <v>277952.15</v>
      </c>
      <c r="AY293" s="171">
        <v>271102.9</v>
      </c>
      <c r="AZ293" s="171">
        <v>259110.43</v>
      </c>
      <c r="BA293" s="171">
        <v>248717.1</v>
      </c>
      <c r="BB293" s="171">
        <v>235546.01</v>
      </c>
      <c r="BC293" s="171">
        <v>228493.8</v>
      </c>
      <c r="BD293" s="171">
        <v>226167.66</v>
      </c>
      <c r="BE293" s="171">
        <v>237755.25</v>
      </c>
      <c r="BF293" s="171">
        <v>239653.1</v>
      </c>
      <c r="BG293" s="171">
        <v>27704.29</v>
      </c>
      <c r="BH293" s="171">
        <v>27448.17</v>
      </c>
      <c r="BI293" s="171">
        <v>28156.92</v>
      </c>
      <c r="BJ293" s="171">
        <v>0.0</v>
      </c>
      <c r="BK293" s="171" t="s">
        <v>2566</v>
      </c>
      <c r="BL293" s="171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  <c r="CI293" s="329"/>
    </row>
    <row r="294" ht="15.75" customHeight="1">
      <c r="A294" s="317" t="s">
        <v>2547</v>
      </c>
      <c r="B294" s="344" t="s">
        <v>3346</v>
      </c>
      <c r="C294" s="331" t="s">
        <v>3347</v>
      </c>
      <c r="D294" s="319" t="s">
        <v>18</v>
      </c>
      <c r="E294" s="319" t="s">
        <v>176</v>
      </c>
      <c r="F294" s="319" t="s">
        <v>177</v>
      </c>
      <c r="G294" s="44" t="str">
        <f t="shared" si="1"/>
        <v>Augusto</v>
      </c>
      <c r="H294" s="165" t="s">
        <v>147</v>
      </c>
      <c r="I294" s="51" t="s">
        <v>219</v>
      </c>
      <c r="J294" s="319" t="str">
        <f t="shared" si="2"/>
        <v>Não</v>
      </c>
      <c r="K294" s="320">
        <v>44280.0</v>
      </c>
      <c r="L294" s="95"/>
      <c r="M294" s="95" t="s">
        <v>269</v>
      </c>
      <c r="N294" s="334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7" t="s">
        <v>107</v>
      </c>
      <c r="S294" s="320">
        <v>44232.0</v>
      </c>
      <c r="T294" s="169"/>
      <c r="U294" s="169"/>
      <c r="V294" s="45" t="s">
        <v>108</v>
      </c>
      <c r="W294" s="324" t="s">
        <v>3348</v>
      </c>
      <c r="X294" s="164" t="s">
        <v>180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119</v>
      </c>
      <c r="AC294" s="95"/>
      <c r="AD294" s="95" t="s">
        <v>2609</v>
      </c>
      <c r="AE294" s="337"/>
      <c r="AF294" s="337"/>
      <c r="AG294" s="337"/>
      <c r="AH294" s="337"/>
      <c r="AI294" s="337"/>
      <c r="AJ294" s="337"/>
      <c r="AK294" s="337"/>
      <c r="AL294" s="337"/>
      <c r="AM294" s="337"/>
      <c r="AN294" s="337"/>
      <c r="AO294" s="337"/>
      <c r="AP294" s="337"/>
      <c r="AQ294" s="337"/>
      <c r="AR294" s="171"/>
      <c r="AS294" s="171"/>
      <c r="AT294" s="171">
        <v>195567.07</v>
      </c>
      <c r="AU294" s="171"/>
      <c r="AV294" s="171">
        <v>198176.68</v>
      </c>
      <c r="AW294" s="171">
        <v>203988.77</v>
      </c>
      <c r="AX294" s="171">
        <v>202373.08</v>
      </c>
      <c r="AY294" s="171">
        <v>198809.45</v>
      </c>
      <c r="AZ294" s="171">
        <v>192948.66</v>
      </c>
      <c r="BA294" s="171">
        <v>176115.71</v>
      </c>
      <c r="BB294" s="171">
        <v>180422.69</v>
      </c>
      <c r="BC294" s="171">
        <v>177172.27</v>
      </c>
      <c r="BD294" s="171">
        <v>177996.07</v>
      </c>
      <c r="BE294" s="171">
        <v>184170.79</v>
      </c>
      <c r="BF294" s="171">
        <v>185578.22</v>
      </c>
      <c r="BG294" s="171">
        <v>37919.12</v>
      </c>
      <c r="BH294" s="171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  <c r="CI294" s="329"/>
    </row>
    <row r="295" ht="15.75" customHeight="1">
      <c r="A295" s="317" t="s">
        <v>2547</v>
      </c>
      <c r="B295" s="42" t="s">
        <v>1910</v>
      </c>
      <c r="C295" s="330" t="s">
        <v>3349</v>
      </c>
      <c r="D295" s="319" t="s">
        <v>18</v>
      </c>
      <c r="E295" s="319" t="s">
        <v>176</v>
      </c>
      <c r="F295" s="93" t="s">
        <v>197</v>
      </c>
      <c r="G295" s="44" t="str">
        <f t="shared" si="1"/>
        <v>Augusto</v>
      </c>
      <c r="H295" s="332" t="s">
        <v>147</v>
      </c>
      <c r="I295" s="51" t="s">
        <v>219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107</v>
      </c>
      <c r="S295" s="72">
        <v>44362.0</v>
      </c>
      <c r="T295" s="169"/>
      <c r="U295" s="169"/>
      <c r="V295" s="45" t="s">
        <v>369</v>
      </c>
      <c r="W295" s="5" t="s">
        <v>1913</v>
      </c>
      <c r="X295" s="164" t="s">
        <v>180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119</v>
      </c>
      <c r="AC295" s="95"/>
      <c r="AD295" s="95" t="s">
        <v>2609</v>
      </c>
      <c r="AE295" s="191"/>
      <c r="AF295" s="191"/>
      <c r="AG295" s="191"/>
      <c r="AH295" s="191"/>
      <c r="AI295" s="191"/>
      <c r="AJ295" s="191"/>
      <c r="AK295" s="191"/>
      <c r="AL295" s="191"/>
      <c r="AM295" s="191"/>
      <c r="AN295" s="191"/>
      <c r="AO295" s="191"/>
      <c r="AP295" s="191"/>
      <c r="AQ295" s="191"/>
      <c r="AR295" s="191"/>
      <c r="AS295" s="171"/>
      <c r="AT295" s="171"/>
      <c r="AU295" s="171"/>
      <c r="AV295" s="171"/>
      <c r="AW295" s="191"/>
      <c r="AX295" s="171">
        <v>148154.25</v>
      </c>
      <c r="AY295" s="171">
        <v>233157.65</v>
      </c>
      <c r="AZ295" s="171">
        <v>228964.7</v>
      </c>
      <c r="BA295" s="171">
        <v>225420.02</v>
      </c>
      <c r="BB295" s="171">
        <v>219686.33</v>
      </c>
      <c r="BC295" s="171">
        <v>217140.23</v>
      </c>
      <c r="BD295" s="171">
        <v>182364.75</v>
      </c>
      <c r="BE295" s="171">
        <v>222858.9</v>
      </c>
      <c r="BF295" s="171">
        <v>224347.9</v>
      </c>
      <c r="BG295" s="171">
        <v>232615.54</v>
      </c>
      <c r="BH295" s="171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  <c r="CI295" s="329"/>
    </row>
    <row r="296" ht="15.75" customHeight="1">
      <c r="A296" s="317" t="s">
        <v>2547</v>
      </c>
      <c r="B296" s="239" t="s">
        <v>3350</v>
      </c>
      <c r="C296" s="331" t="s">
        <v>3351</v>
      </c>
      <c r="D296" s="319" t="s">
        <v>2659</v>
      </c>
      <c r="E296" s="319" t="s">
        <v>29</v>
      </c>
      <c r="F296" s="95" t="s">
        <v>2659</v>
      </c>
      <c r="G296" s="44" t="str">
        <f t="shared" si="1"/>
        <v>Augusto</v>
      </c>
      <c r="H296" s="332" t="s">
        <v>186</v>
      </c>
      <c r="I296" s="46" t="s">
        <v>24</v>
      </c>
      <c r="J296" s="319" t="str">
        <f t="shared" si="2"/>
        <v>Não</v>
      </c>
      <c r="K296" s="338">
        <v>43426.0</v>
      </c>
      <c r="L296" s="333">
        <v>44109.0</v>
      </c>
      <c r="M296" s="95" t="s">
        <v>190</v>
      </c>
      <c r="N296" s="334">
        <v>0.008</v>
      </c>
      <c r="O296" s="319" t="s">
        <v>191</v>
      </c>
      <c r="P296" s="322">
        <v>0.2</v>
      </c>
      <c r="Q296" s="95" t="str">
        <f>IFERROR(VLOOKUP(F296,'Cadastro de assessores'!A:B,2,FALSE),"Não Cadastrado")</f>
        <v>22400</v>
      </c>
      <c r="R296" s="95" t="s">
        <v>2563</v>
      </c>
      <c r="S296" s="338">
        <v>43426.0</v>
      </c>
      <c r="T296" s="169"/>
      <c r="U296" s="169"/>
      <c r="V296" s="45" t="s">
        <v>369</v>
      </c>
      <c r="W296" s="13" t="s">
        <v>3352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2565</v>
      </c>
      <c r="AE296" s="171">
        <v>458759.65</v>
      </c>
      <c r="AF296" s="171">
        <v>433884.46</v>
      </c>
      <c r="AG296" s="171">
        <v>325714.55</v>
      </c>
      <c r="AH296" s="171">
        <v>350705.0</v>
      </c>
      <c r="AI296" s="171">
        <v>366907.76</v>
      </c>
      <c r="AJ296" s="171">
        <v>390325.99</v>
      </c>
      <c r="AK296" s="171">
        <v>418339.04</v>
      </c>
      <c r="AL296" s="171">
        <v>398448.18</v>
      </c>
      <c r="AM296" s="171">
        <v>379116.63</v>
      </c>
      <c r="AN296" s="171">
        <v>2478.61</v>
      </c>
      <c r="AO296" s="171">
        <v>0.0</v>
      </c>
      <c r="AP296" s="171">
        <v>0.0</v>
      </c>
      <c r="AQ296" s="337"/>
      <c r="AR296" s="171"/>
      <c r="AS296" s="171"/>
      <c r="AT296" s="171"/>
      <c r="AU296" s="171"/>
      <c r="AV296" s="171"/>
      <c r="AW296" s="171"/>
      <c r="AX296" s="337"/>
      <c r="AY296" s="337"/>
      <c r="AZ296" s="337"/>
      <c r="BA296" s="171"/>
      <c r="BB296" s="171"/>
      <c r="BC296" s="171"/>
      <c r="BD296" s="171"/>
      <c r="BE296" s="171"/>
      <c r="BF296" s="171">
        <v>0.0</v>
      </c>
      <c r="BG296" s="171">
        <v>0.0</v>
      </c>
      <c r="BH296" s="171">
        <v>0.0</v>
      </c>
      <c r="BI296" s="171" t="s">
        <v>2566</v>
      </c>
      <c r="BJ296" s="171">
        <v>0.0</v>
      </c>
      <c r="BK296" s="171" t="s">
        <v>2566</v>
      </c>
      <c r="BL296" s="171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  <c r="CI296" s="329"/>
    </row>
    <row r="297" ht="15.75" customHeight="1">
      <c r="A297" s="317" t="s">
        <v>2547</v>
      </c>
      <c r="B297" s="235" t="s">
        <v>3353</v>
      </c>
      <c r="C297" s="331" t="s">
        <v>3354</v>
      </c>
      <c r="D297" s="319" t="s">
        <v>2550</v>
      </c>
      <c r="E297" s="319" t="s">
        <v>29</v>
      </c>
      <c r="F297" s="95" t="s">
        <v>2551</v>
      </c>
      <c r="G297" s="44" t="str">
        <f t="shared" si="1"/>
        <v>Augusto</v>
      </c>
      <c r="H297" s="332" t="s">
        <v>186</v>
      </c>
      <c r="I297" s="46" t="s">
        <v>24</v>
      </c>
      <c r="J297" s="319" t="str">
        <f t="shared" si="2"/>
        <v>Não</v>
      </c>
      <c r="K297" s="338">
        <v>43816.0</v>
      </c>
      <c r="L297" s="333">
        <v>43944.0</v>
      </c>
      <c r="M297" s="95" t="s">
        <v>79</v>
      </c>
      <c r="N297" s="334">
        <v>0.012</v>
      </c>
      <c r="O297" s="319" t="s">
        <v>2552</v>
      </c>
      <c r="P297" s="322">
        <v>0.0</v>
      </c>
      <c r="Q297" s="95" t="str">
        <f>IFERROR(VLOOKUP(F297,'Cadastro de assessores'!A:B,2,FALSE),"Não Cadastrado")</f>
        <v>17573</v>
      </c>
      <c r="R297" s="95" t="s">
        <v>2563</v>
      </c>
      <c r="S297" s="338">
        <v>43816.0</v>
      </c>
      <c r="T297" s="169"/>
      <c r="U297" s="169"/>
      <c r="V297" s="45" t="s">
        <v>108</v>
      </c>
      <c r="W297" s="13" t="s">
        <v>3355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3356</v>
      </c>
      <c r="AE297" s="171">
        <v>82328.99</v>
      </c>
      <c r="AF297" s="171">
        <v>83981.0</v>
      </c>
      <c r="AG297" s="171">
        <v>79578.57</v>
      </c>
      <c r="AH297" s="171">
        <v>80989.06</v>
      </c>
      <c r="AI297" s="171">
        <v>81576.63</v>
      </c>
      <c r="AJ297" s="171">
        <v>82263.11</v>
      </c>
      <c r="AK297" s="171">
        <v>88285.95</v>
      </c>
      <c r="AL297" s="171">
        <v>92144.99</v>
      </c>
      <c r="AM297" s="171">
        <v>91052.35</v>
      </c>
      <c r="AN297" s="171">
        <v>90888.51</v>
      </c>
      <c r="AO297" s="171">
        <v>18596.25</v>
      </c>
      <c r="AP297" s="171">
        <v>18555.74</v>
      </c>
      <c r="AQ297" s="171">
        <v>18463.75</v>
      </c>
      <c r="AR297" s="171"/>
      <c r="AS297" s="171"/>
      <c r="AT297" s="171"/>
      <c r="AU297" s="171"/>
      <c r="AV297" s="171"/>
      <c r="AW297" s="171"/>
      <c r="AX297" s="337"/>
      <c r="AY297" s="337"/>
      <c r="AZ297" s="337"/>
      <c r="BA297" s="171"/>
      <c r="BB297" s="171"/>
      <c r="BC297" s="171"/>
      <c r="BD297" s="171"/>
      <c r="BE297" s="171"/>
      <c r="BF297" s="171">
        <v>0.0</v>
      </c>
      <c r="BG297" s="171">
        <v>0.0</v>
      </c>
      <c r="BH297" s="171">
        <v>0.0</v>
      </c>
      <c r="BI297" s="171" t="s">
        <v>2566</v>
      </c>
      <c r="BJ297" s="171">
        <v>0.0</v>
      </c>
      <c r="BK297" s="171" t="s">
        <v>2566</v>
      </c>
      <c r="BL297" s="171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  <c r="CI297" s="329"/>
    </row>
    <row r="298" ht="15.75" customHeight="1">
      <c r="A298" s="317" t="s">
        <v>2547</v>
      </c>
      <c r="B298" s="239" t="s">
        <v>3357</v>
      </c>
      <c r="C298" s="318" t="s">
        <v>3358</v>
      </c>
      <c r="D298" s="319" t="s">
        <v>18</v>
      </c>
      <c r="E298" s="319" t="s">
        <v>29</v>
      </c>
      <c r="F298" s="95" t="s">
        <v>704</v>
      </c>
      <c r="G298" s="44" t="str">
        <f t="shared" si="1"/>
        <v>Augusto</v>
      </c>
      <c r="H298" s="165" t="s">
        <v>147</v>
      </c>
      <c r="I298" s="51" t="s">
        <v>219</v>
      </c>
      <c r="J298" s="319" t="str">
        <f t="shared" si="2"/>
        <v>Sim</v>
      </c>
      <c r="K298" s="333">
        <v>45019.0</v>
      </c>
      <c r="L298" s="333"/>
      <c r="M298" s="95" t="s">
        <v>269</v>
      </c>
      <c r="N298" s="334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3"/>
      <c r="T298" s="169" t="s">
        <v>3359</v>
      </c>
      <c r="U298" s="169"/>
      <c r="V298" s="45" t="s">
        <v>108</v>
      </c>
      <c r="W298" s="13" t="s">
        <v>3360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119</v>
      </c>
      <c r="AC298" s="95"/>
      <c r="AD298" s="95" t="s">
        <v>2652</v>
      </c>
      <c r="AE298" s="171"/>
      <c r="AF298" s="171"/>
      <c r="AG298" s="171"/>
      <c r="AH298" s="171"/>
      <c r="AI298" s="171"/>
      <c r="AJ298" s="171"/>
      <c r="AK298" s="171"/>
      <c r="AL298" s="337"/>
      <c r="AM298" s="337"/>
      <c r="AN298" s="337"/>
      <c r="AO298" s="337"/>
      <c r="AP298" s="337"/>
      <c r="AQ298" s="337"/>
      <c r="AR298" s="171"/>
      <c r="AS298" s="171"/>
      <c r="AT298" s="171"/>
      <c r="AU298" s="171"/>
      <c r="AV298" s="171"/>
      <c r="AW298" s="171"/>
      <c r="AX298" s="337"/>
      <c r="AY298" s="337"/>
      <c r="AZ298" s="337"/>
      <c r="BA298" s="171"/>
      <c r="BB298" s="171"/>
      <c r="BC298" s="171"/>
      <c r="BD298" s="171"/>
      <c r="BE298" s="171"/>
      <c r="BF298" s="171"/>
      <c r="BG298" s="171"/>
      <c r="BH298" s="171"/>
      <c r="BI298" s="171"/>
      <c r="BJ298" s="327">
        <v>0.0</v>
      </c>
      <c r="BK298" s="327" t="s">
        <v>2566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  <c r="CI298" s="329"/>
    </row>
    <row r="299" ht="15.75" customHeight="1">
      <c r="A299" s="317" t="s">
        <v>2547</v>
      </c>
      <c r="B299" s="239" t="s">
        <v>3361</v>
      </c>
      <c r="C299" s="331" t="s">
        <v>3362</v>
      </c>
      <c r="D299" s="319" t="s">
        <v>2550</v>
      </c>
      <c r="E299" s="319" t="s">
        <v>29</v>
      </c>
      <c r="F299" s="95" t="s">
        <v>2551</v>
      </c>
      <c r="G299" s="44" t="str">
        <f t="shared" si="1"/>
        <v>Augusto</v>
      </c>
      <c r="H299" s="332" t="s">
        <v>186</v>
      </c>
      <c r="I299" s="46" t="s">
        <v>24</v>
      </c>
      <c r="J299" s="319" t="str">
        <f t="shared" si="2"/>
        <v>Não</v>
      </c>
      <c r="K299" s="333">
        <v>43563.0</v>
      </c>
      <c r="L299" s="333">
        <v>43922.0</v>
      </c>
      <c r="M299" s="95" t="s">
        <v>190</v>
      </c>
      <c r="N299" s="334">
        <v>0.02</v>
      </c>
      <c r="O299" s="319" t="s">
        <v>191</v>
      </c>
      <c r="P299" s="322">
        <v>0.2</v>
      </c>
      <c r="Q299" s="95" t="str">
        <f>IFERROR(VLOOKUP(F299,'Cadastro de assessores'!A:B,2,FALSE),"Não Cadastrado")</f>
        <v>17573</v>
      </c>
      <c r="R299" s="95" t="s">
        <v>2563</v>
      </c>
      <c r="S299" s="333">
        <v>43563.0</v>
      </c>
      <c r="T299" s="169"/>
      <c r="U299" s="169"/>
      <c r="V299" s="45" t="s">
        <v>369</v>
      </c>
      <c r="W299" s="13" t="s">
        <v>3363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2623</v>
      </c>
      <c r="AE299" s="171">
        <v>121226.27</v>
      </c>
      <c r="AF299" s="171">
        <v>116836.13</v>
      </c>
      <c r="AG299" s="171">
        <v>95799.8</v>
      </c>
      <c r="AH299" s="171">
        <v>93529.71</v>
      </c>
      <c r="AI299" s="171">
        <v>1406.39</v>
      </c>
      <c r="AJ299" s="171">
        <v>0.0</v>
      </c>
      <c r="AK299" s="171">
        <v>0.0</v>
      </c>
      <c r="AL299" s="337"/>
      <c r="AM299" s="337"/>
      <c r="AN299" s="337"/>
      <c r="AO299" s="337"/>
      <c r="AP299" s="337"/>
      <c r="AQ299" s="337"/>
      <c r="AR299" s="171">
        <v>487.29</v>
      </c>
      <c r="AS299" s="171">
        <v>487.29</v>
      </c>
      <c r="AT299" s="171">
        <v>487.29</v>
      </c>
      <c r="AU299" s="171">
        <v>487.29</v>
      </c>
      <c r="AV299" s="171">
        <v>487.29</v>
      </c>
      <c r="AW299" s="171">
        <v>487.29</v>
      </c>
      <c r="AX299" s="337"/>
      <c r="AY299" s="337"/>
      <c r="AZ299" s="337"/>
      <c r="BA299" s="171"/>
      <c r="BB299" s="171"/>
      <c r="BC299" s="171"/>
      <c r="BD299" s="171"/>
      <c r="BE299" s="171"/>
      <c r="BF299" s="171">
        <v>0.0</v>
      </c>
      <c r="BG299" s="171">
        <v>0.0</v>
      </c>
      <c r="BH299" s="171">
        <v>0.0</v>
      </c>
      <c r="BI299" s="171" t="s">
        <v>2566</v>
      </c>
      <c r="BJ299" s="171">
        <v>0.0</v>
      </c>
      <c r="BK299" s="171" t="s">
        <v>2566</v>
      </c>
      <c r="BL299" s="171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  <c r="CI299" s="329"/>
    </row>
    <row r="300" ht="15.75" customHeight="1">
      <c r="A300" s="317" t="s">
        <v>2547</v>
      </c>
      <c r="B300" s="317" t="s">
        <v>3364</v>
      </c>
      <c r="C300" s="318" t="s">
        <v>3365</v>
      </c>
      <c r="D300" s="319" t="s">
        <v>18</v>
      </c>
      <c r="E300" s="319" t="s">
        <v>29</v>
      </c>
      <c r="F300" s="319" t="s">
        <v>60</v>
      </c>
      <c r="G300" s="44" t="str">
        <f t="shared" si="1"/>
        <v>Augusto</v>
      </c>
      <c r="H300" s="332" t="s">
        <v>147</v>
      </c>
      <c r="I300" s="51" t="s">
        <v>219</v>
      </c>
      <c r="J300" s="319" t="str">
        <f t="shared" si="2"/>
        <v>Sim</v>
      </c>
      <c r="K300" s="320">
        <v>43473.0</v>
      </c>
      <c r="L300" s="95"/>
      <c r="M300" s="95" t="s">
        <v>79</v>
      </c>
      <c r="N300" s="321">
        <v>0.005</v>
      </c>
      <c r="O300" s="319" t="s">
        <v>2552</v>
      </c>
      <c r="P300" s="322">
        <v>0.0</v>
      </c>
      <c r="Q300" s="319">
        <f>IFERROR(VLOOKUP(F300,'Cadastro de assessores'!A:B,2,FALSE),"Não Cadastrado")</f>
        <v>12332</v>
      </c>
      <c r="R300" s="319" t="s">
        <v>107</v>
      </c>
      <c r="S300" s="320">
        <v>43473.0</v>
      </c>
      <c r="T300" s="169" t="s">
        <v>3366</v>
      </c>
      <c r="U300" s="169"/>
      <c r="V300" s="45" t="s">
        <v>369</v>
      </c>
      <c r="W300" s="324" t="s">
        <v>3367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119</v>
      </c>
      <c r="AC300" s="95"/>
      <c r="AD300" s="95" t="s">
        <v>2623</v>
      </c>
      <c r="AE300" s="171">
        <v>757832.36</v>
      </c>
      <c r="AF300" s="171">
        <v>759796.89</v>
      </c>
      <c r="AG300" s="171">
        <v>761930.57</v>
      </c>
      <c r="AH300" s="171">
        <v>763792.19</v>
      </c>
      <c r="AI300" s="171">
        <v>765303.06</v>
      </c>
      <c r="AJ300" s="171">
        <v>766555.58</v>
      </c>
      <c r="AK300" s="171">
        <v>767964.38</v>
      </c>
      <c r="AL300" s="171">
        <v>769053.79</v>
      </c>
      <c r="AM300" s="171">
        <v>769690.88</v>
      </c>
      <c r="AN300" s="171">
        <v>770608.86</v>
      </c>
      <c r="AO300" s="171">
        <v>766934.27</v>
      </c>
      <c r="AP300" s="171">
        <v>771474.09</v>
      </c>
      <c r="AQ300" s="171">
        <v>772549.88</v>
      </c>
      <c r="AR300" s="171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1">
        <v>773093.36</v>
      </c>
      <c r="AY300" s="171">
        <v>775708.14</v>
      </c>
      <c r="AZ300" s="171">
        <v>777983.5</v>
      </c>
      <c r="BA300" s="171">
        <v>730368.88</v>
      </c>
      <c r="BB300" s="171">
        <v>722459.93</v>
      </c>
      <c r="BC300" s="171">
        <v>626088.4</v>
      </c>
      <c r="BD300" s="171">
        <v>630881.17</v>
      </c>
      <c r="BE300" s="171">
        <v>573611.84</v>
      </c>
      <c r="BF300" s="171">
        <v>561713.32</v>
      </c>
      <c r="BG300" s="171">
        <v>576563.35</v>
      </c>
      <c r="BH300" s="171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  <c r="CI300" s="329"/>
    </row>
    <row r="301" ht="15.75" customHeight="1">
      <c r="A301" s="317" t="s">
        <v>2547</v>
      </c>
      <c r="B301" s="317" t="s">
        <v>3364</v>
      </c>
      <c r="C301" s="318" t="s">
        <v>3368</v>
      </c>
      <c r="D301" s="319" t="s">
        <v>18</v>
      </c>
      <c r="E301" s="319" t="s">
        <v>29</v>
      </c>
      <c r="F301" s="319" t="s">
        <v>60</v>
      </c>
      <c r="G301" s="44" t="str">
        <f t="shared" si="1"/>
        <v>Augusto</v>
      </c>
      <c r="H301" s="332" t="s">
        <v>147</v>
      </c>
      <c r="I301" s="51" t="s">
        <v>219</v>
      </c>
      <c r="J301" s="319" t="str">
        <f t="shared" si="2"/>
        <v>Sim</v>
      </c>
      <c r="K301" s="320">
        <v>43545.0</v>
      </c>
      <c r="L301" s="95"/>
      <c r="M301" s="95" t="s">
        <v>190</v>
      </c>
      <c r="N301" s="321">
        <v>0.02</v>
      </c>
      <c r="O301" s="319" t="s">
        <v>191</v>
      </c>
      <c r="P301" s="322">
        <v>0.2</v>
      </c>
      <c r="Q301" s="319">
        <f>IFERROR(VLOOKUP(F301,'Cadastro de assessores'!A:B,2,FALSE),"Não Cadastrado")</f>
        <v>12332</v>
      </c>
      <c r="R301" s="319" t="s">
        <v>107</v>
      </c>
      <c r="S301" s="320">
        <v>43545.0</v>
      </c>
      <c r="T301" s="169" t="s">
        <v>3366</v>
      </c>
      <c r="U301" s="169"/>
      <c r="V301" s="45" t="s">
        <v>369</v>
      </c>
      <c r="W301" s="324" t="s">
        <v>3367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119</v>
      </c>
      <c r="AC301" s="95"/>
      <c r="AD301" s="95" t="s">
        <v>2623</v>
      </c>
      <c r="AE301" s="171">
        <v>718039.46</v>
      </c>
      <c r="AF301" s="171">
        <v>690131.01</v>
      </c>
      <c r="AG301" s="171">
        <v>519726.24</v>
      </c>
      <c r="AH301" s="171">
        <v>555884.46</v>
      </c>
      <c r="AI301" s="171">
        <v>578786.88</v>
      </c>
      <c r="AJ301" s="171">
        <v>613323.21</v>
      </c>
      <c r="AK301" s="171">
        <v>655184.16</v>
      </c>
      <c r="AL301" s="171">
        <v>625374.16</v>
      </c>
      <c r="AM301" s="171">
        <v>596580.71</v>
      </c>
      <c r="AN301" s="171">
        <v>607623.89</v>
      </c>
      <c r="AO301" s="171">
        <v>681266.39</v>
      </c>
      <c r="AP301" s="171">
        <v>701671.01</v>
      </c>
      <c r="AQ301" s="171">
        <v>671723.86</v>
      </c>
      <c r="AR301" s="171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1">
        <v>707344.22</v>
      </c>
      <c r="AY301" s="171">
        <v>687437.57</v>
      </c>
      <c r="AZ301" s="171">
        <v>653442.9</v>
      </c>
      <c r="BA301" s="171">
        <v>621583.76</v>
      </c>
      <c r="BB301" s="171">
        <v>583232.36</v>
      </c>
      <c r="BC301" s="171">
        <v>566604.62</v>
      </c>
      <c r="BD301" s="171">
        <v>566153.72</v>
      </c>
      <c r="BE301" s="171">
        <v>548166.79</v>
      </c>
      <c r="BF301" s="171">
        <v>556084.61</v>
      </c>
      <c r="BG301" s="171">
        <v>603161.04</v>
      </c>
      <c r="BH301" s="171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  <c r="CI301" s="329"/>
    </row>
    <row r="302" ht="15.75" customHeight="1">
      <c r="A302" s="317" t="s">
        <v>2547</v>
      </c>
      <c r="B302" s="61" t="s">
        <v>3369</v>
      </c>
      <c r="C302" s="144">
        <v>3797286.0</v>
      </c>
      <c r="D302" s="319" t="s">
        <v>18</v>
      </c>
      <c r="E302" s="319" t="s">
        <v>29</v>
      </c>
      <c r="F302" s="319" t="s">
        <v>2931</v>
      </c>
      <c r="G302" s="44" t="str">
        <f t="shared" si="1"/>
        <v>Breno</v>
      </c>
      <c r="H302" s="165" t="s">
        <v>107</v>
      </c>
      <c r="I302" s="46" t="s">
        <v>24</v>
      </c>
      <c r="J302" s="319" t="str">
        <f t="shared" si="2"/>
        <v>Não</v>
      </c>
      <c r="K302" s="333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108</v>
      </c>
      <c r="W302" s="5" t="s">
        <v>3370</v>
      </c>
      <c r="X302" s="5" t="s">
        <v>152</v>
      </c>
      <c r="Y302" s="51" t="str">
        <f t="shared" si="3"/>
        <v>Ativo</v>
      </c>
      <c r="Z302" s="325"/>
      <c r="AA302" s="95" t="str">
        <f t="shared" si="7"/>
        <v/>
      </c>
      <c r="AB302" s="13" t="s">
        <v>119</v>
      </c>
      <c r="AC302" s="95"/>
      <c r="AD302" s="95"/>
      <c r="AE302" s="191"/>
      <c r="AF302" s="191"/>
      <c r="AG302" s="191"/>
      <c r="AH302" s="191"/>
      <c r="AI302" s="191"/>
      <c r="AJ302" s="191"/>
      <c r="AK302" s="191"/>
      <c r="AL302" s="191"/>
      <c r="AM302" s="191"/>
      <c r="AN302" s="191"/>
      <c r="AO302" s="191"/>
      <c r="AP302" s="191"/>
      <c r="AQ302" s="191"/>
      <c r="AR302" s="337"/>
      <c r="AS302" s="171"/>
      <c r="AT302" s="171"/>
      <c r="AU302" s="171"/>
      <c r="AV302" s="171"/>
      <c r="AW302" s="171"/>
      <c r="AX302" s="171"/>
      <c r="AY302" s="171"/>
      <c r="AZ302" s="171"/>
      <c r="BA302" s="171"/>
      <c r="BB302" s="171"/>
      <c r="BC302" s="171"/>
      <c r="BD302" s="171"/>
      <c r="BE302" s="171"/>
      <c r="BF302" s="171"/>
      <c r="BG302" s="171"/>
      <c r="BH302" s="171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  <c r="CI302" s="329"/>
    </row>
    <row r="303" ht="15.75" customHeight="1">
      <c r="A303" s="317" t="s">
        <v>2547</v>
      </c>
      <c r="B303" s="239" t="s">
        <v>3371</v>
      </c>
      <c r="C303" s="331" t="s">
        <v>3372</v>
      </c>
      <c r="D303" s="319" t="s">
        <v>2550</v>
      </c>
      <c r="E303" s="319" t="s">
        <v>29</v>
      </c>
      <c r="F303" s="95" t="s">
        <v>2551</v>
      </c>
      <c r="G303" s="44" t="str">
        <f t="shared" si="1"/>
        <v>Augusto</v>
      </c>
      <c r="H303" s="332" t="s">
        <v>186</v>
      </c>
      <c r="I303" s="46" t="s">
        <v>24</v>
      </c>
      <c r="J303" s="319" t="str">
        <f t="shared" si="2"/>
        <v>Não</v>
      </c>
      <c r="K303" s="333">
        <v>43700.0</v>
      </c>
      <c r="L303" s="333">
        <v>44061.0</v>
      </c>
      <c r="M303" s="95" t="s">
        <v>47</v>
      </c>
      <c r="N303" s="334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2563</v>
      </c>
      <c r="S303" s="333">
        <v>43700.0</v>
      </c>
      <c r="T303" s="77"/>
      <c r="U303" s="77"/>
      <c r="V303" s="45" t="s">
        <v>108</v>
      </c>
      <c r="W303" s="13" t="s">
        <v>3373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2580</v>
      </c>
      <c r="AE303" s="171">
        <v>426046.58</v>
      </c>
      <c r="AF303" s="171">
        <v>422601.07</v>
      </c>
      <c r="AG303" s="171">
        <v>372715.83</v>
      </c>
      <c r="AH303" s="171">
        <v>376701.14</v>
      </c>
      <c r="AI303" s="171">
        <v>380821.01</v>
      </c>
      <c r="AJ303" s="171">
        <v>386982.85</v>
      </c>
      <c r="AK303" s="171">
        <v>394570.05</v>
      </c>
      <c r="AL303" s="171">
        <v>0.0</v>
      </c>
      <c r="AM303" s="337"/>
      <c r="AN303" s="337"/>
      <c r="AO303" s="337"/>
      <c r="AP303" s="337"/>
      <c r="AQ303" s="337"/>
      <c r="AR303" s="171"/>
      <c r="AS303" s="171"/>
      <c r="AT303" s="171"/>
      <c r="AU303" s="171"/>
      <c r="AV303" s="171"/>
      <c r="AW303" s="171"/>
      <c r="AX303" s="337"/>
      <c r="AY303" s="337"/>
      <c r="AZ303" s="337"/>
      <c r="BA303" s="171"/>
      <c r="BB303" s="171"/>
      <c r="BC303" s="171"/>
      <c r="BD303" s="171"/>
      <c r="BE303" s="171"/>
      <c r="BF303" s="171">
        <v>0.0</v>
      </c>
      <c r="BG303" s="171">
        <v>0.0</v>
      </c>
      <c r="BH303" s="171">
        <v>0.0</v>
      </c>
      <c r="BI303" s="171" t="s">
        <v>2566</v>
      </c>
      <c r="BJ303" s="171">
        <v>0.0</v>
      </c>
      <c r="BK303" s="171" t="s">
        <v>2566</v>
      </c>
      <c r="BL303" s="171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  <c r="CI303" s="329"/>
    </row>
    <row r="304" ht="15.75" customHeight="1">
      <c r="A304" s="317" t="s">
        <v>2547</v>
      </c>
      <c r="B304" s="235" t="s">
        <v>1967</v>
      </c>
      <c r="C304" s="219" t="s">
        <v>3374</v>
      </c>
      <c r="D304" s="319" t="s">
        <v>18</v>
      </c>
      <c r="E304" s="319" t="s">
        <v>176</v>
      </c>
      <c r="F304" s="319" t="s">
        <v>177</v>
      </c>
      <c r="G304" s="44" t="str">
        <f t="shared" si="1"/>
        <v>Augusto</v>
      </c>
      <c r="H304" s="332" t="s">
        <v>147</v>
      </c>
      <c r="I304" s="51" t="s">
        <v>219</v>
      </c>
      <c r="J304" s="319" t="str">
        <f t="shared" si="2"/>
        <v>Não</v>
      </c>
      <c r="K304" s="320">
        <v>44266.0</v>
      </c>
      <c r="L304" s="45"/>
      <c r="M304" s="95" t="s">
        <v>79</v>
      </c>
      <c r="N304" s="334">
        <v>0.012</v>
      </c>
      <c r="O304" s="319" t="s">
        <v>2552</v>
      </c>
      <c r="P304" s="322">
        <v>0.0</v>
      </c>
      <c r="Q304" s="319" t="str">
        <f>IFERROR(VLOOKUP(F304,'Cadastro de assessores'!A:B,2,FALSE),"Não Cadastrado")</f>
        <v>250</v>
      </c>
      <c r="R304" s="319" t="s">
        <v>107</v>
      </c>
      <c r="S304" s="320">
        <v>44266.0</v>
      </c>
      <c r="T304" s="63"/>
      <c r="U304" s="169"/>
      <c r="V304" s="45" t="s">
        <v>108</v>
      </c>
      <c r="W304" s="13" t="s">
        <v>1970</v>
      </c>
      <c r="X304" s="164" t="s">
        <v>180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119</v>
      </c>
      <c r="AC304" s="95"/>
      <c r="AD304" s="95" t="s">
        <v>2609</v>
      </c>
      <c r="AE304" s="337"/>
      <c r="AF304" s="337"/>
      <c r="AG304" s="337"/>
      <c r="AH304" s="337"/>
      <c r="AI304" s="337"/>
      <c r="AJ304" s="337"/>
      <c r="AK304" s="337"/>
      <c r="AL304" s="337"/>
      <c r="AM304" s="337"/>
      <c r="AN304" s="337"/>
      <c r="AO304" s="337"/>
      <c r="AP304" s="337"/>
      <c r="AQ304" s="337"/>
      <c r="AR304" s="171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1">
        <v>123076.76</v>
      </c>
      <c r="AY304" s="171">
        <v>122144.19</v>
      </c>
      <c r="AZ304" s="171">
        <v>120302.02</v>
      </c>
      <c r="BA304" s="171">
        <v>119170.99</v>
      </c>
      <c r="BB304" s="171">
        <v>115965.81</v>
      </c>
      <c r="BC304" s="171">
        <v>114453.3</v>
      </c>
      <c r="BD304" s="171">
        <v>114381.7</v>
      </c>
      <c r="BE304" s="171">
        <v>115974.54</v>
      </c>
      <c r="BF304" s="171">
        <v>116752.92</v>
      </c>
      <c r="BG304" s="171">
        <v>121432.71</v>
      </c>
      <c r="BH304" s="171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  <c r="CI304" s="329"/>
    </row>
    <row r="305" ht="15.75" customHeight="1">
      <c r="A305" s="317" t="s">
        <v>2547</v>
      </c>
      <c r="B305" s="61" t="s">
        <v>3375</v>
      </c>
      <c r="C305" s="380" t="s">
        <v>3376</v>
      </c>
      <c r="D305" s="347" t="s">
        <v>18</v>
      </c>
      <c r="E305" s="347" t="s">
        <v>176</v>
      </c>
      <c r="F305" s="347" t="s">
        <v>532</v>
      </c>
      <c r="G305" s="44" t="str">
        <f t="shared" si="1"/>
        <v>Augusto</v>
      </c>
      <c r="H305" s="348" t="s">
        <v>147</v>
      </c>
      <c r="I305" s="46" t="s">
        <v>24</v>
      </c>
      <c r="J305" s="319" t="str">
        <f t="shared" si="2"/>
        <v>Sim</v>
      </c>
      <c r="K305" s="349">
        <v>44599.0</v>
      </c>
      <c r="L305" s="381"/>
      <c r="M305" s="95" t="s">
        <v>55</v>
      </c>
      <c r="N305" s="360">
        <v>0.007</v>
      </c>
      <c r="O305" s="347" t="s">
        <v>2552</v>
      </c>
      <c r="P305" s="352">
        <v>0.0</v>
      </c>
      <c r="Q305" s="319">
        <f>IFERROR(VLOOKUP(F305,'Cadastro de assessores'!A:B,2,FALSE),"Não Cadastrado")</f>
        <v>12362</v>
      </c>
      <c r="R305" s="347"/>
      <c r="S305" s="347"/>
      <c r="T305" s="169" t="s">
        <v>3377</v>
      </c>
      <c r="U305" s="169"/>
      <c r="V305" s="45" t="s">
        <v>108</v>
      </c>
      <c r="W305" s="5" t="s">
        <v>1975</v>
      </c>
      <c r="X305" s="164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119</v>
      </c>
      <c r="AC305" s="95"/>
      <c r="AD305" s="95" t="s">
        <v>2760</v>
      </c>
      <c r="AE305" s="337"/>
      <c r="AF305" s="337"/>
      <c r="AG305" s="337"/>
      <c r="AH305" s="337"/>
      <c r="AI305" s="337"/>
      <c r="AJ305" s="337"/>
      <c r="AK305" s="337"/>
      <c r="AL305" s="337"/>
      <c r="AM305" s="337"/>
      <c r="AN305" s="337"/>
      <c r="AO305" s="337"/>
      <c r="AP305" s="337"/>
      <c r="AQ305" s="337"/>
      <c r="AR305" s="171"/>
      <c r="AS305" s="326"/>
      <c r="AT305" s="326"/>
      <c r="AU305" s="326"/>
      <c r="AV305" s="326"/>
      <c r="AW305" s="326"/>
      <c r="AX305" s="171"/>
      <c r="AY305" s="171"/>
      <c r="AZ305" s="171"/>
      <c r="BA305" s="171"/>
      <c r="BB305" s="171"/>
      <c r="BC305" s="171"/>
      <c r="BD305" s="171"/>
      <c r="BE305" s="171"/>
      <c r="BF305" s="171"/>
      <c r="BG305" s="171"/>
      <c r="BH305" s="171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  <c r="CI305" s="329"/>
    </row>
    <row r="306" ht="15.75" customHeight="1">
      <c r="A306" s="317" t="s">
        <v>2547</v>
      </c>
      <c r="B306" s="61" t="s">
        <v>3375</v>
      </c>
      <c r="C306" s="330" t="s">
        <v>3378</v>
      </c>
      <c r="D306" s="319" t="s">
        <v>18</v>
      </c>
      <c r="E306" s="319" t="s">
        <v>176</v>
      </c>
      <c r="F306" s="319" t="s">
        <v>532</v>
      </c>
      <c r="G306" s="44" t="str">
        <f t="shared" si="1"/>
        <v>Bruno</v>
      </c>
      <c r="H306" s="165" t="s">
        <v>107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55</v>
      </c>
      <c r="N306" s="321">
        <v>0.007</v>
      </c>
      <c r="O306" s="319" t="s">
        <v>2552</v>
      </c>
      <c r="P306" s="322">
        <v>0.0</v>
      </c>
      <c r="Q306" s="319">
        <f>IFERROR(VLOOKUP(F306,'Cadastro de assessores'!A:B,2,FALSE),"Não Cadastrado")</f>
        <v>12362</v>
      </c>
      <c r="R306" s="319" t="s">
        <v>107</v>
      </c>
      <c r="S306" s="320">
        <v>44677.0</v>
      </c>
      <c r="T306" s="169" t="s">
        <v>3377</v>
      </c>
      <c r="U306" s="169"/>
      <c r="V306" s="45" t="s">
        <v>108</v>
      </c>
      <c r="W306" s="5" t="s">
        <v>1975</v>
      </c>
      <c r="X306" s="164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119</v>
      </c>
      <c r="AC306" s="95"/>
      <c r="AD306" s="95" t="s">
        <v>2760</v>
      </c>
      <c r="AE306" s="337"/>
      <c r="AF306" s="337"/>
      <c r="AG306" s="337"/>
      <c r="AH306" s="337"/>
      <c r="AI306" s="337"/>
      <c r="AJ306" s="337"/>
      <c r="AK306" s="337"/>
      <c r="AL306" s="337"/>
      <c r="AM306" s="337"/>
      <c r="AN306" s="337"/>
      <c r="AO306" s="337"/>
      <c r="AP306" s="337"/>
      <c r="AQ306" s="337"/>
      <c r="AR306" s="171"/>
      <c r="AS306" s="326"/>
      <c r="AT306" s="326"/>
      <c r="AU306" s="326"/>
      <c r="AV306" s="326"/>
      <c r="AW306" s="326"/>
      <c r="AX306" s="171"/>
      <c r="AY306" s="171"/>
      <c r="AZ306" s="171"/>
      <c r="BA306" s="171"/>
      <c r="BB306" s="171"/>
      <c r="BC306" s="171"/>
      <c r="BD306" s="171"/>
      <c r="BE306" s="171"/>
      <c r="BF306" s="171"/>
      <c r="BG306" s="171"/>
      <c r="BH306" s="171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  <c r="CI306" s="329"/>
    </row>
    <row r="307" ht="15.75" customHeight="1">
      <c r="A307" s="317" t="s">
        <v>2547</v>
      </c>
      <c r="B307" s="239" t="s">
        <v>3375</v>
      </c>
      <c r="C307" s="331" t="s">
        <v>3379</v>
      </c>
      <c r="D307" s="319" t="s">
        <v>18</v>
      </c>
      <c r="E307" s="319" t="s">
        <v>176</v>
      </c>
      <c r="F307" s="95" t="s">
        <v>532</v>
      </c>
      <c r="G307" s="44" t="str">
        <f t="shared" si="1"/>
        <v>Augusto</v>
      </c>
      <c r="H307" s="332" t="s">
        <v>186</v>
      </c>
      <c r="I307" s="46" t="s">
        <v>24</v>
      </c>
      <c r="J307" s="319" t="str">
        <f t="shared" si="2"/>
        <v>Não</v>
      </c>
      <c r="K307" s="95"/>
      <c r="L307" s="333">
        <v>44637.0</v>
      </c>
      <c r="M307" s="45" t="s">
        <v>2914</v>
      </c>
      <c r="N307" s="334">
        <v>0.01</v>
      </c>
      <c r="O307" s="319" t="s">
        <v>2552</v>
      </c>
      <c r="P307" s="322">
        <v>0.0</v>
      </c>
      <c r="Q307" s="95">
        <f>IFERROR(VLOOKUP(F307,'Cadastro de assessores'!A:B,2,FALSE),"Não Cadastrado")</f>
        <v>12362</v>
      </c>
      <c r="R307" s="95" t="s">
        <v>2563</v>
      </c>
      <c r="S307" s="95" t="s">
        <v>3380</v>
      </c>
      <c r="T307" s="169"/>
      <c r="U307" s="169"/>
      <c r="V307" s="45" t="s">
        <v>108</v>
      </c>
      <c r="W307" s="13" t="s">
        <v>1975</v>
      </c>
      <c r="X307" s="164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2760</v>
      </c>
      <c r="AE307" s="337"/>
      <c r="AF307" s="337"/>
      <c r="AG307" s="337"/>
      <c r="AH307" s="337"/>
      <c r="AI307" s="337"/>
      <c r="AJ307" s="337"/>
      <c r="AK307" s="337"/>
      <c r="AL307" s="337"/>
      <c r="AM307" s="337"/>
      <c r="AN307" s="337"/>
      <c r="AO307" s="337"/>
      <c r="AP307" s="337"/>
      <c r="AQ307" s="337"/>
      <c r="AR307" s="171"/>
      <c r="AS307" s="171"/>
      <c r="AT307" s="171"/>
      <c r="AU307" s="171"/>
      <c r="AV307" s="171"/>
      <c r="AW307" s="171"/>
      <c r="AX307" s="171"/>
      <c r="AY307" s="171"/>
      <c r="AZ307" s="171"/>
      <c r="BA307" s="171"/>
      <c r="BB307" s="171"/>
      <c r="BC307" s="171"/>
      <c r="BD307" s="171"/>
      <c r="BE307" s="171"/>
      <c r="BF307" s="171">
        <v>0.0</v>
      </c>
      <c r="BG307" s="171">
        <v>0.0</v>
      </c>
      <c r="BH307" s="171">
        <v>0.0</v>
      </c>
      <c r="BI307" s="171" t="s">
        <v>2566</v>
      </c>
      <c r="BJ307" s="171">
        <v>0.0</v>
      </c>
      <c r="BK307" s="171" t="s">
        <v>2566</v>
      </c>
      <c r="BL307" s="171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  <c r="CI307" s="329"/>
    </row>
    <row r="308" ht="15.75" customHeight="1">
      <c r="A308" s="317" t="s">
        <v>2547</v>
      </c>
      <c r="B308" s="115" t="s">
        <v>3381</v>
      </c>
      <c r="C308" s="45">
        <v>3436437.0</v>
      </c>
      <c r="D308" s="319" t="s">
        <v>18</v>
      </c>
      <c r="E308" s="319" t="s">
        <v>176</v>
      </c>
      <c r="F308" s="95" t="s">
        <v>2634</v>
      </c>
      <c r="G308" s="44" t="str">
        <f t="shared" si="1"/>
        <v>Augusto</v>
      </c>
      <c r="H308" s="332" t="s">
        <v>186</v>
      </c>
      <c r="I308" s="46" t="s">
        <v>24</v>
      </c>
      <c r="J308" s="319" t="str">
        <f t="shared" si="2"/>
        <v>Não</v>
      </c>
      <c r="K308" s="320">
        <v>44733.0</v>
      </c>
      <c r="L308" s="333">
        <v>44907.0</v>
      </c>
      <c r="M308" s="95" t="s">
        <v>55</v>
      </c>
      <c r="N308" s="334">
        <v>0.007</v>
      </c>
      <c r="O308" s="319" t="s">
        <v>2552</v>
      </c>
      <c r="P308" s="322">
        <v>0.0</v>
      </c>
      <c r="Q308" s="95" t="str">
        <f>IFERROR(VLOOKUP(F308,'Cadastro de assessores'!A:B,2,FALSE),"Não Cadastrado")</f>
        <v>22066</v>
      </c>
      <c r="R308" s="95" t="s">
        <v>107</v>
      </c>
      <c r="S308" s="338">
        <v>44726.0</v>
      </c>
      <c r="T308" s="169"/>
      <c r="U308" s="169"/>
      <c r="V308" s="45" t="s">
        <v>108</v>
      </c>
      <c r="W308" s="5" t="s">
        <v>3382</v>
      </c>
      <c r="X308" s="95" t="s">
        <v>3383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2559</v>
      </c>
      <c r="AE308" s="171"/>
      <c r="AF308" s="171"/>
      <c r="AG308" s="171"/>
      <c r="AH308" s="171"/>
      <c r="AI308" s="171"/>
      <c r="AJ308" s="171"/>
      <c r="AK308" s="171"/>
      <c r="AL308" s="171"/>
      <c r="AM308" s="171"/>
      <c r="AN308" s="171"/>
      <c r="AO308" s="171"/>
      <c r="AP308" s="171"/>
      <c r="AQ308" s="171"/>
      <c r="AR308" s="171"/>
      <c r="AS308" s="171"/>
      <c r="AT308" s="171"/>
      <c r="AU308" s="171"/>
      <c r="AV308" s="171"/>
      <c r="AW308" s="171"/>
      <c r="AX308" s="337"/>
      <c r="AY308" s="337"/>
      <c r="AZ308" s="337"/>
      <c r="BA308" s="171"/>
      <c r="BB308" s="171"/>
      <c r="BC308" s="171"/>
      <c r="BD308" s="171"/>
      <c r="BE308" s="171"/>
      <c r="BF308" s="171"/>
      <c r="BG308" s="171"/>
      <c r="BH308" s="171"/>
      <c r="BI308" s="171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  <c r="CI308" s="329"/>
    </row>
    <row r="309" ht="15.75" customHeight="1">
      <c r="A309" s="317" t="s">
        <v>2547</v>
      </c>
      <c r="B309" s="239" t="s">
        <v>3384</v>
      </c>
      <c r="C309" s="388" t="s">
        <v>3385</v>
      </c>
      <c r="D309" s="319" t="s">
        <v>18</v>
      </c>
      <c r="E309" s="319" t="s">
        <v>29</v>
      </c>
      <c r="F309" s="95" t="s">
        <v>2803</v>
      </c>
      <c r="G309" s="44" t="str">
        <f t="shared" si="1"/>
        <v>Augusto</v>
      </c>
      <c r="H309" s="332" t="s">
        <v>186</v>
      </c>
      <c r="I309" s="46" t="s">
        <v>24</v>
      </c>
      <c r="J309" s="319" t="str">
        <f t="shared" si="2"/>
        <v>Não</v>
      </c>
      <c r="K309" s="338">
        <v>43417.0</v>
      </c>
      <c r="L309" s="333">
        <v>44309.0</v>
      </c>
      <c r="M309" s="95" t="s">
        <v>269</v>
      </c>
      <c r="N309" s="334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2563</v>
      </c>
      <c r="S309" s="338">
        <v>43417.0</v>
      </c>
      <c r="T309" s="77"/>
      <c r="U309" s="77"/>
      <c r="V309" s="45" t="s">
        <v>108</v>
      </c>
      <c r="W309" s="13" t="s">
        <v>3386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2623</v>
      </c>
      <c r="AE309" s="171">
        <v>567972.75</v>
      </c>
      <c r="AF309" s="171">
        <v>536444.14</v>
      </c>
      <c r="AG309" s="171">
        <v>605353.79</v>
      </c>
      <c r="AH309" s="171">
        <v>630511.63</v>
      </c>
      <c r="AI309" s="171">
        <v>656834.93</v>
      </c>
      <c r="AJ309" s="171">
        <v>705401.07</v>
      </c>
      <c r="AK309" s="171">
        <v>843516.96</v>
      </c>
      <c r="AL309" s="171">
        <v>773116.1</v>
      </c>
      <c r="AM309" s="171">
        <v>734047.58</v>
      </c>
      <c r="AN309" s="171">
        <v>743686.44</v>
      </c>
      <c r="AO309" s="171">
        <v>830544.1</v>
      </c>
      <c r="AP309" s="171">
        <v>862591.3</v>
      </c>
      <c r="AQ309" s="171">
        <v>834375.04</v>
      </c>
      <c r="AR309" s="171">
        <v>786240.77</v>
      </c>
      <c r="AS309" s="171">
        <v>669000.38</v>
      </c>
      <c r="AT309" s="171">
        <v>5000.0</v>
      </c>
      <c r="AU309" s="171">
        <v>749.18</v>
      </c>
      <c r="AV309" s="171">
        <v>749.18</v>
      </c>
      <c r="AW309" s="171"/>
      <c r="AX309" s="337"/>
      <c r="AY309" s="337"/>
      <c r="AZ309" s="337"/>
      <c r="BA309" s="171"/>
      <c r="BB309" s="171"/>
      <c r="BC309" s="171"/>
      <c r="BD309" s="171"/>
      <c r="BE309" s="171"/>
      <c r="BF309" s="171">
        <v>0.0</v>
      </c>
      <c r="BG309" s="171">
        <v>0.0</v>
      </c>
      <c r="BH309" s="171">
        <v>0.0</v>
      </c>
      <c r="BI309" s="171" t="s">
        <v>2566</v>
      </c>
      <c r="BJ309" s="171">
        <v>0.0</v>
      </c>
      <c r="BK309" s="171" t="s">
        <v>2566</v>
      </c>
      <c r="BL309" s="171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  <c r="CI309" s="329"/>
    </row>
    <row r="310" ht="15.75" customHeight="1">
      <c r="A310" s="317" t="s">
        <v>2547</v>
      </c>
      <c r="B310" s="239" t="s">
        <v>3384</v>
      </c>
      <c r="C310" s="331" t="s">
        <v>3387</v>
      </c>
      <c r="D310" s="319" t="s">
        <v>18</v>
      </c>
      <c r="E310" s="319" t="s">
        <v>29</v>
      </c>
      <c r="F310" s="95" t="s">
        <v>60</v>
      </c>
      <c r="G310" s="44" t="str">
        <f t="shared" si="1"/>
        <v>Bruno</v>
      </c>
      <c r="H310" s="165" t="s">
        <v>107</v>
      </c>
      <c r="I310" s="46" t="s">
        <v>24</v>
      </c>
      <c r="J310" s="319" t="str">
        <f t="shared" si="2"/>
        <v>Não</v>
      </c>
      <c r="K310" s="338">
        <v>45013.0</v>
      </c>
      <c r="L310" s="333"/>
      <c r="M310" s="95" t="s">
        <v>47</v>
      </c>
      <c r="N310" s="334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8"/>
      <c r="T310" s="63"/>
      <c r="U310" s="169"/>
      <c r="V310" s="45" t="s">
        <v>108</v>
      </c>
      <c r="W310" s="13" t="s">
        <v>3386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110</v>
      </c>
      <c r="AC310" s="95"/>
      <c r="AD310" s="95"/>
      <c r="AE310" s="171"/>
      <c r="AF310" s="171"/>
      <c r="AG310" s="171"/>
      <c r="AH310" s="171"/>
      <c r="AI310" s="171"/>
      <c r="AJ310" s="171"/>
      <c r="AK310" s="171"/>
      <c r="AL310" s="171"/>
      <c r="AM310" s="171"/>
      <c r="AN310" s="171"/>
      <c r="AO310" s="171"/>
      <c r="AP310" s="171"/>
      <c r="AQ310" s="171"/>
      <c r="AR310" s="171"/>
      <c r="AS310" s="171"/>
      <c r="AT310" s="171"/>
      <c r="AU310" s="171"/>
      <c r="AV310" s="171"/>
      <c r="AW310" s="171"/>
      <c r="AX310" s="337"/>
      <c r="AY310" s="337"/>
      <c r="AZ310" s="337"/>
      <c r="BA310" s="171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  <c r="CI310" s="329"/>
    </row>
    <row r="311" ht="15.75" customHeight="1">
      <c r="A311" s="317" t="s">
        <v>2547</v>
      </c>
      <c r="B311" s="317" t="s">
        <v>3388</v>
      </c>
      <c r="C311" s="71" t="s">
        <v>3389</v>
      </c>
      <c r="D311" s="319" t="s">
        <v>18</v>
      </c>
      <c r="E311" s="319" t="s">
        <v>29</v>
      </c>
      <c r="F311" s="95" t="s">
        <v>60</v>
      </c>
      <c r="G311" s="44" t="str">
        <f t="shared" si="1"/>
        <v>Breno</v>
      </c>
      <c r="H311" s="165" t="s">
        <v>107</v>
      </c>
      <c r="I311" s="46" t="s">
        <v>24</v>
      </c>
      <c r="J311" s="319" t="str">
        <f t="shared" si="2"/>
        <v>Sim</v>
      </c>
      <c r="K311" s="338">
        <v>44998.0</v>
      </c>
      <c r="L311" s="333"/>
      <c r="M311" s="95" t="s">
        <v>55</v>
      </c>
      <c r="N311" s="334">
        <v>0.012</v>
      </c>
      <c r="O311" s="319" t="s">
        <v>2552</v>
      </c>
      <c r="P311" s="322">
        <v>0.0</v>
      </c>
      <c r="Q311" s="95">
        <f>IFERROR(VLOOKUP(F311,'Cadastro de assessores'!A:B,2,FALSE),"Não Cadastrado")</f>
        <v>12332</v>
      </c>
      <c r="R311" s="95"/>
      <c r="S311" s="338"/>
      <c r="T311" s="169" t="s">
        <v>3390</v>
      </c>
      <c r="U311" s="169"/>
      <c r="V311" s="45" t="s">
        <v>108</v>
      </c>
      <c r="W311" s="324" t="s">
        <v>3386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110</v>
      </c>
      <c r="AC311" s="95"/>
      <c r="AD311" s="95"/>
      <c r="AE311" s="171"/>
      <c r="AF311" s="171"/>
      <c r="AG311" s="171"/>
      <c r="AH311" s="171"/>
      <c r="AI311" s="171"/>
      <c r="AJ311" s="171"/>
      <c r="AK311" s="171"/>
      <c r="AL311" s="171"/>
      <c r="AM311" s="171"/>
      <c r="AN311" s="171"/>
      <c r="AO311" s="171"/>
      <c r="AP311" s="171"/>
      <c r="AQ311" s="171"/>
      <c r="AR311" s="171"/>
      <c r="AS311" s="326"/>
      <c r="AT311" s="326"/>
      <c r="AU311" s="326"/>
      <c r="AV311" s="326"/>
      <c r="AW311" s="326"/>
      <c r="AX311" s="171"/>
      <c r="AY311" s="171"/>
      <c r="AZ311" s="171"/>
      <c r="BA311" s="171"/>
      <c r="BB311" s="171"/>
      <c r="BC311" s="171"/>
      <c r="BD311" s="171"/>
      <c r="BE311" s="171"/>
      <c r="BF311" s="171"/>
      <c r="BG311" s="171"/>
      <c r="BH311" s="171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  <c r="CI311" s="329"/>
    </row>
    <row r="312" ht="15.75" customHeight="1">
      <c r="A312" s="317" t="s">
        <v>2547</v>
      </c>
      <c r="B312" s="317" t="s">
        <v>1986</v>
      </c>
      <c r="C312" s="318" t="s">
        <v>3391</v>
      </c>
      <c r="D312" s="319" t="s">
        <v>18</v>
      </c>
      <c r="E312" s="319" t="s">
        <v>29</v>
      </c>
      <c r="F312" s="324" t="s">
        <v>632</v>
      </c>
      <c r="G312" s="44" t="str">
        <f t="shared" si="1"/>
        <v>Breno</v>
      </c>
      <c r="H312" s="332" t="s">
        <v>147</v>
      </c>
      <c r="I312" s="51" t="s">
        <v>219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4">
        <v>0.015</v>
      </c>
      <c r="O312" s="319" t="s">
        <v>2552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107</v>
      </c>
      <c r="S312" s="320">
        <v>43620.0</v>
      </c>
      <c r="T312" s="336" t="s">
        <v>3392</v>
      </c>
      <c r="U312" s="336" t="s">
        <v>2703</v>
      </c>
      <c r="V312" s="45" t="s">
        <v>108</v>
      </c>
      <c r="W312" s="324" t="s">
        <v>1988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119</v>
      </c>
      <c r="AC312" s="95"/>
      <c r="AD312" s="95" t="s">
        <v>2602</v>
      </c>
      <c r="AE312" s="171">
        <v>386861.74</v>
      </c>
      <c r="AF312" s="171">
        <v>383207.42</v>
      </c>
      <c r="AG312" s="171">
        <v>349977.26</v>
      </c>
      <c r="AH312" s="171">
        <v>354568.48</v>
      </c>
      <c r="AI312" s="171">
        <v>357445.18</v>
      </c>
      <c r="AJ312" s="171">
        <v>359258.9</v>
      </c>
      <c r="AK312" s="171">
        <v>364752.26</v>
      </c>
      <c r="AL312" s="171">
        <v>360513.02</v>
      </c>
      <c r="AM312" s="171">
        <v>356227.38</v>
      </c>
      <c r="AN312" s="171">
        <v>357056.95</v>
      </c>
      <c r="AO312" s="171">
        <v>372342.58</v>
      </c>
      <c r="AP312" s="171">
        <v>379100.82</v>
      </c>
      <c r="AQ312" s="171">
        <v>372140.26</v>
      </c>
      <c r="AR312" s="171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1">
        <v>371230.89</v>
      </c>
      <c r="AY312" s="171">
        <v>373906.67</v>
      </c>
      <c r="AZ312" s="171">
        <v>385512.52</v>
      </c>
      <c r="BA312" s="171">
        <v>361118.04</v>
      </c>
      <c r="BB312" s="171">
        <v>352597.57</v>
      </c>
      <c r="BC312" s="171">
        <v>348623.5</v>
      </c>
      <c r="BD312" s="171">
        <v>350646.2</v>
      </c>
      <c r="BE312" s="171">
        <v>360382.76</v>
      </c>
      <c r="BF312" s="171">
        <v>362276.36</v>
      </c>
      <c r="BG312" s="171">
        <v>376672.28</v>
      </c>
      <c r="BH312" s="171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  <c r="CI312" s="329"/>
    </row>
    <row r="313" ht="15.75" customHeight="1">
      <c r="A313" s="317" t="s">
        <v>2547</v>
      </c>
      <c r="B313" s="42" t="s">
        <v>2005</v>
      </c>
      <c r="C313" s="330" t="s">
        <v>3393</v>
      </c>
      <c r="D313" s="319" t="s">
        <v>18</v>
      </c>
      <c r="E313" s="319" t="s">
        <v>176</v>
      </c>
      <c r="F313" s="319" t="s">
        <v>177</v>
      </c>
      <c r="G313" s="44" t="str">
        <f t="shared" si="1"/>
        <v>Augusto</v>
      </c>
      <c r="H313" s="332" t="s">
        <v>147</v>
      </c>
      <c r="I313" s="51" t="s">
        <v>219</v>
      </c>
      <c r="J313" s="319" t="str">
        <f t="shared" si="2"/>
        <v>Não</v>
      </c>
      <c r="K313" s="320">
        <v>44319.0</v>
      </c>
      <c r="L313" s="45"/>
      <c r="M313" s="95" t="s">
        <v>269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107</v>
      </c>
      <c r="S313" s="320">
        <v>44319.0</v>
      </c>
      <c r="T313" s="50"/>
      <c r="U313" s="50"/>
      <c r="V313" s="45" t="s">
        <v>108</v>
      </c>
      <c r="W313" s="5" t="s">
        <v>2007</v>
      </c>
      <c r="X313" s="164" t="s">
        <v>180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110</v>
      </c>
      <c r="AC313" s="95"/>
      <c r="AD313" s="95" t="s">
        <v>2609</v>
      </c>
      <c r="AE313" s="191"/>
      <c r="AF313" s="191"/>
      <c r="AG313" s="191"/>
      <c r="AH313" s="191"/>
      <c r="AI313" s="191"/>
      <c r="AJ313" s="191"/>
      <c r="AK313" s="191"/>
      <c r="AL313" s="191"/>
      <c r="AM313" s="191"/>
      <c r="AN313" s="191"/>
      <c r="AO313" s="191"/>
      <c r="AP313" s="191"/>
      <c r="AQ313" s="191"/>
      <c r="AR313" s="171"/>
      <c r="AS313" s="171"/>
      <c r="AT313" s="171"/>
      <c r="AU313" s="171"/>
      <c r="AV313" s="171"/>
      <c r="AW313" s="171">
        <v>3132361.53</v>
      </c>
      <c r="AX313" s="171">
        <v>3115014.48</v>
      </c>
      <c r="AY313" s="171">
        <v>3063786.38</v>
      </c>
      <c r="AZ313" s="171">
        <v>2973302.37</v>
      </c>
      <c r="BA313" s="171">
        <v>2890066.12</v>
      </c>
      <c r="BB313" s="171">
        <v>2777386.03</v>
      </c>
      <c r="BC313" s="171">
        <v>2729276.03</v>
      </c>
      <c r="BD313" s="171">
        <v>2744510.5</v>
      </c>
      <c r="BE313" s="171">
        <v>2935543.97</v>
      </c>
      <c r="BF313" s="171">
        <v>3052562.84</v>
      </c>
      <c r="BG313" s="171">
        <v>3220690.9</v>
      </c>
      <c r="BH313" s="171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  <c r="CI313" s="329"/>
    </row>
    <row r="314" ht="15.75" customHeight="1">
      <c r="A314" s="317" t="s">
        <v>2547</v>
      </c>
      <c r="B314" s="61" t="s">
        <v>3394</v>
      </c>
      <c r="C314" s="45">
        <v>3788732.0</v>
      </c>
      <c r="D314" s="319" t="s">
        <v>18</v>
      </c>
      <c r="E314" s="319" t="s">
        <v>29</v>
      </c>
      <c r="F314" s="319" t="s">
        <v>2605</v>
      </c>
      <c r="G314" s="44" t="str">
        <f t="shared" si="1"/>
        <v>Breno</v>
      </c>
      <c r="H314" s="165" t="s">
        <v>107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190</v>
      </c>
      <c r="N314" s="334">
        <v>0.025</v>
      </c>
      <c r="O314" s="319" t="s">
        <v>191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69"/>
      <c r="U314" s="169"/>
      <c r="V314" s="45" t="s">
        <v>108</v>
      </c>
      <c r="W314" s="5" t="s">
        <v>3395</v>
      </c>
      <c r="X314" s="13" t="s">
        <v>791</v>
      </c>
      <c r="Y314" s="51" t="str">
        <f t="shared" si="3"/>
        <v>Ativo</v>
      </c>
      <c r="Z314" s="325"/>
      <c r="AA314" s="95" t="str">
        <f t="shared" si="7"/>
        <v/>
      </c>
      <c r="AB314" s="13" t="s">
        <v>110</v>
      </c>
      <c r="AC314" s="95"/>
      <c r="AD314" s="95"/>
      <c r="AE314" s="337"/>
      <c r="AF314" s="337"/>
      <c r="AG314" s="337"/>
      <c r="AH314" s="337"/>
      <c r="AI314" s="337"/>
      <c r="AJ314" s="337"/>
      <c r="AK314" s="337"/>
      <c r="AL314" s="337"/>
      <c r="AM314" s="337"/>
      <c r="AN314" s="337"/>
      <c r="AO314" s="337"/>
      <c r="AP314" s="337"/>
      <c r="AQ314" s="337"/>
      <c r="AR314" s="171"/>
      <c r="AS314" s="171"/>
      <c r="AT314" s="171"/>
      <c r="AU314" s="171"/>
      <c r="AV314" s="171"/>
      <c r="AW314" s="171"/>
      <c r="AX314" s="171"/>
      <c r="AY314" s="171"/>
      <c r="AZ314" s="171"/>
      <c r="BA314" s="171"/>
      <c r="BB314" s="171"/>
      <c r="BC314" s="171"/>
      <c r="BD314" s="171"/>
      <c r="BE314" s="171"/>
      <c r="BF314" s="171"/>
      <c r="BG314" s="171"/>
      <c r="BH314" s="171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  <c r="CI314" s="329"/>
    </row>
    <row r="315" ht="15.75" customHeight="1">
      <c r="A315" s="317" t="s">
        <v>2547</v>
      </c>
      <c r="B315" s="61" t="s">
        <v>3394</v>
      </c>
      <c r="C315" s="45">
        <v>3789976.0</v>
      </c>
      <c r="D315" s="319" t="s">
        <v>18</v>
      </c>
      <c r="E315" s="319" t="s">
        <v>29</v>
      </c>
      <c r="F315" s="319" t="s">
        <v>2605</v>
      </c>
      <c r="G315" s="44" t="str">
        <f t="shared" si="1"/>
        <v>Breno</v>
      </c>
      <c r="H315" s="165" t="s">
        <v>107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55</v>
      </c>
      <c r="N315" s="334">
        <v>0.01</v>
      </c>
      <c r="O315" s="319" t="s">
        <v>2552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69"/>
      <c r="U315" s="169"/>
      <c r="V315" s="45" t="s">
        <v>108</v>
      </c>
      <c r="W315" s="5" t="s">
        <v>3395</v>
      </c>
      <c r="X315" s="13" t="s">
        <v>791</v>
      </c>
      <c r="Y315" s="51" t="str">
        <f t="shared" si="3"/>
        <v>Ativo</v>
      </c>
      <c r="Z315" s="325"/>
      <c r="AA315" s="95" t="str">
        <f t="shared" si="7"/>
        <v/>
      </c>
      <c r="AB315" s="13" t="s">
        <v>110</v>
      </c>
      <c r="AC315" s="95"/>
      <c r="AD315" s="95"/>
      <c r="AE315" s="337"/>
      <c r="AF315" s="337"/>
      <c r="AG315" s="337"/>
      <c r="AH315" s="337"/>
      <c r="AI315" s="337"/>
      <c r="AJ315" s="337"/>
      <c r="AK315" s="337"/>
      <c r="AL315" s="337"/>
      <c r="AM315" s="337"/>
      <c r="AN315" s="337"/>
      <c r="AO315" s="337"/>
      <c r="AP315" s="337"/>
      <c r="AQ315" s="337"/>
      <c r="AR315" s="171"/>
      <c r="AS315" s="171"/>
      <c r="AT315" s="171"/>
      <c r="AU315" s="171"/>
      <c r="AV315" s="171"/>
      <c r="AW315" s="171"/>
      <c r="AX315" s="171"/>
      <c r="AY315" s="171"/>
      <c r="AZ315" s="171"/>
      <c r="BA315" s="171"/>
      <c r="BB315" s="171"/>
      <c r="BC315" s="171"/>
      <c r="BD315" s="171"/>
      <c r="BE315" s="171"/>
      <c r="BF315" s="171"/>
      <c r="BG315" s="171"/>
      <c r="BH315" s="171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  <c r="CI315" s="329"/>
    </row>
    <row r="316" ht="15.75" customHeight="1">
      <c r="A316" s="317" t="s">
        <v>2547</v>
      </c>
      <c r="B316" s="235" t="s">
        <v>2019</v>
      </c>
      <c r="C316" s="219" t="s">
        <v>3396</v>
      </c>
      <c r="D316" s="319" t="s">
        <v>18</v>
      </c>
      <c r="E316" s="319" t="s">
        <v>176</v>
      </c>
      <c r="F316" s="319" t="s">
        <v>177</v>
      </c>
      <c r="G316" s="44" t="str">
        <f t="shared" si="1"/>
        <v>Augusto</v>
      </c>
      <c r="H316" s="165" t="s">
        <v>147</v>
      </c>
      <c r="I316" s="51" t="s">
        <v>219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4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107</v>
      </c>
      <c r="S316" s="320">
        <v>44280.0</v>
      </c>
      <c r="T316" s="169" t="s">
        <v>3397</v>
      </c>
      <c r="U316" s="169"/>
      <c r="V316" s="45" t="s">
        <v>108</v>
      </c>
      <c r="W316" s="13" t="s">
        <v>2022</v>
      </c>
      <c r="X316" s="95" t="s">
        <v>152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110</v>
      </c>
      <c r="AC316" s="95"/>
      <c r="AD316" s="95" t="s">
        <v>3398</v>
      </c>
      <c r="AE316" s="337"/>
      <c r="AF316" s="337"/>
      <c r="AG316" s="337"/>
      <c r="AH316" s="337"/>
      <c r="AI316" s="337"/>
      <c r="AJ316" s="337"/>
      <c r="AK316" s="337"/>
      <c r="AL316" s="337"/>
      <c r="AM316" s="337"/>
      <c r="AN316" s="337"/>
      <c r="AO316" s="337"/>
      <c r="AP316" s="337"/>
      <c r="AQ316" s="337"/>
      <c r="AR316" s="171"/>
      <c r="AS316" s="171"/>
      <c r="AT316" s="171">
        <v>1199639.67</v>
      </c>
      <c r="AU316" s="171"/>
      <c r="AV316" s="171">
        <v>949025.38</v>
      </c>
      <c r="AW316" s="171">
        <v>1225567.96</v>
      </c>
      <c r="AX316" s="171">
        <v>1220327.9</v>
      </c>
      <c r="AY316" s="171">
        <v>1475162.62</v>
      </c>
      <c r="AZ316" s="171">
        <v>1422166.88</v>
      </c>
      <c r="BA316" s="171">
        <v>1399235.93</v>
      </c>
      <c r="BB316" s="171">
        <v>1325494.54</v>
      </c>
      <c r="BC316" s="171">
        <v>1253465.77</v>
      </c>
      <c r="BD316" s="171">
        <v>1260320.23</v>
      </c>
      <c r="BE316" s="171">
        <v>1285674.82</v>
      </c>
      <c r="BF316" s="171">
        <v>1293358.61</v>
      </c>
      <c r="BG316" s="171">
        <v>1332336.07</v>
      </c>
      <c r="BH316" s="171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  <c r="CI316" s="329"/>
    </row>
    <row r="317" ht="15.75" customHeight="1">
      <c r="A317" s="317" t="s">
        <v>2547</v>
      </c>
      <c r="B317" s="235" t="s">
        <v>2019</v>
      </c>
      <c r="C317" s="330" t="s">
        <v>3399</v>
      </c>
      <c r="D317" s="319" t="s">
        <v>18</v>
      </c>
      <c r="E317" s="319" t="s">
        <v>176</v>
      </c>
      <c r="F317" s="319" t="s">
        <v>177</v>
      </c>
      <c r="G317" s="44" t="str">
        <f t="shared" si="1"/>
        <v>Augusto</v>
      </c>
      <c r="H317" s="165" t="s">
        <v>147</v>
      </c>
      <c r="I317" s="51" t="s">
        <v>219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4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107</v>
      </c>
      <c r="S317" s="72">
        <v>44382.0</v>
      </c>
      <c r="T317" s="74"/>
      <c r="U317" s="169" t="s">
        <v>3400</v>
      </c>
      <c r="V317" s="45" t="s">
        <v>108</v>
      </c>
      <c r="W317" s="13" t="s">
        <v>2022</v>
      </c>
      <c r="X317" s="95" t="s">
        <v>152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119</v>
      </c>
      <c r="AC317" s="95"/>
      <c r="AD317" s="95" t="s">
        <v>3398</v>
      </c>
      <c r="AE317" s="191"/>
      <c r="AF317" s="191"/>
      <c r="AG317" s="191"/>
      <c r="AH317" s="191"/>
      <c r="AI317" s="191"/>
      <c r="AJ317" s="191"/>
      <c r="AK317" s="191"/>
      <c r="AL317" s="191"/>
      <c r="AM317" s="191"/>
      <c r="AN317" s="191"/>
      <c r="AO317" s="191"/>
      <c r="AP317" s="191"/>
      <c r="AQ317" s="171"/>
      <c r="AR317" s="171"/>
      <c r="AS317" s="171"/>
      <c r="AT317" s="171"/>
      <c r="AU317" s="171"/>
      <c r="AV317" s="171"/>
      <c r="AW317" s="191"/>
      <c r="AX317" s="171">
        <v>26500.0</v>
      </c>
      <c r="AY317" s="171">
        <v>309332.68</v>
      </c>
      <c r="AZ317" s="171">
        <v>304114.81</v>
      </c>
      <c r="BA317" s="171">
        <v>299963.11</v>
      </c>
      <c r="BB317" s="171">
        <v>293410.28</v>
      </c>
      <c r="BC317" s="171">
        <v>290626.55</v>
      </c>
      <c r="BD317" s="171">
        <v>291461.68</v>
      </c>
      <c r="BE317" s="171">
        <v>297210.49</v>
      </c>
      <c r="BF317" s="171">
        <v>299473.01</v>
      </c>
      <c r="BG317" s="171">
        <v>306519.73</v>
      </c>
      <c r="BH317" s="171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  <c r="CI317" s="329"/>
    </row>
    <row r="318" ht="15.75" customHeight="1">
      <c r="A318" s="317" t="s">
        <v>2547</v>
      </c>
      <c r="B318" s="42" t="s">
        <v>3401</v>
      </c>
      <c r="C318" s="330" t="s">
        <v>3402</v>
      </c>
      <c r="D318" s="319" t="s">
        <v>18</v>
      </c>
      <c r="E318" s="319" t="s">
        <v>176</v>
      </c>
      <c r="F318" s="93" t="s">
        <v>197</v>
      </c>
      <c r="G318" s="44" t="str">
        <f t="shared" si="1"/>
        <v>Augusto</v>
      </c>
      <c r="H318" s="165" t="s">
        <v>147</v>
      </c>
      <c r="I318" s="51" t="s">
        <v>219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4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107</v>
      </c>
      <c r="S318" s="72">
        <v>44389.0</v>
      </c>
      <c r="T318" s="50"/>
      <c r="U318" s="50"/>
      <c r="V318" s="45" t="s">
        <v>108</v>
      </c>
      <c r="W318" s="5" t="s">
        <v>2029</v>
      </c>
      <c r="X318" s="45" t="s">
        <v>791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119</v>
      </c>
      <c r="AC318" s="95"/>
      <c r="AD318" s="45" t="s">
        <v>2664</v>
      </c>
      <c r="AE318" s="191"/>
      <c r="AF318" s="191"/>
      <c r="AG318" s="191"/>
      <c r="AH318" s="191"/>
      <c r="AI318" s="191"/>
      <c r="AJ318" s="191"/>
      <c r="AK318" s="191"/>
      <c r="AL318" s="191"/>
      <c r="AM318" s="191"/>
      <c r="AN318" s="191"/>
      <c r="AO318" s="191"/>
      <c r="AP318" s="191"/>
      <c r="AQ318" s="171"/>
      <c r="AR318" s="171"/>
      <c r="AS318" s="171"/>
      <c r="AT318" s="171"/>
      <c r="AU318" s="171"/>
      <c r="AV318" s="171"/>
      <c r="AW318" s="337"/>
      <c r="AX318" s="191"/>
      <c r="AY318" s="171">
        <v>132591.32</v>
      </c>
      <c r="AZ318" s="171">
        <v>132657.43</v>
      </c>
      <c r="BA318" s="171">
        <v>114241.78</v>
      </c>
      <c r="BB318" s="171">
        <v>126029.71</v>
      </c>
      <c r="BC318" s="171">
        <v>127021.99</v>
      </c>
      <c r="BD318" s="171">
        <v>128904.65</v>
      </c>
      <c r="BE318" s="171">
        <v>134157.09</v>
      </c>
      <c r="BF318" s="171">
        <v>136969.34</v>
      </c>
      <c r="BG318" s="171">
        <v>144558.89</v>
      </c>
      <c r="BH318" s="171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  <c r="CI318" s="329"/>
    </row>
    <row r="319" ht="15.75" customHeight="1">
      <c r="A319" s="317" t="s">
        <v>2547</v>
      </c>
      <c r="B319" s="235" t="s">
        <v>3403</v>
      </c>
      <c r="C319" s="358" t="s">
        <v>3404</v>
      </c>
      <c r="D319" s="347" t="s">
        <v>18</v>
      </c>
      <c r="E319" s="347" t="s">
        <v>29</v>
      </c>
      <c r="F319" s="324" t="s">
        <v>632</v>
      </c>
      <c r="G319" s="44" t="str">
        <f t="shared" si="1"/>
        <v>Augusto</v>
      </c>
      <c r="H319" s="348" t="s">
        <v>107</v>
      </c>
      <c r="I319" s="46" t="s">
        <v>24</v>
      </c>
      <c r="J319" s="319" t="str">
        <f t="shared" si="2"/>
        <v>Não</v>
      </c>
      <c r="K319" s="349">
        <v>43564.0</v>
      </c>
      <c r="L319" s="45"/>
      <c r="M319" s="350" t="s">
        <v>269</v>
      </c>
      <c r="N319" s="351">
        <v>0.02</v>
      </c>
      <c r="O319" s="347"/>
      <c r="P319" s="352"/>
      <c r="Q319" s="319" t="str">
        <f>IFERROR(VLOOKUP(F319,'Cadastro de assessores'!A:B,2,FALSE),"Não Cadastrado")</f>
        <v>Não Cadastrado</v>
      </c>
      <c r="R319" s="319" t="s">
        <v>107</v>
      </c>
      <c r="S319" s="320">
        <v>43564.0</v>
      </c>
      <c r="T319" s="74"/>
      <c r="U319" s="336" t="s">
        <v>3405</v>
      </c>
      <c r="V319" s="45" t="s">
        <v>108</v>
      </c>
      <c r="W319" s="13" t="s">
        <v>3406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119</v>
      </c>
      <c r="AC319" s="95"/>
      <c r="AD319" s="95" t="s">
        <v>3407</v>
      </c>
      <c r="AE319" s="171">
        <v>115773.56</v>
      </c>
      <c r="AF319" s="171">
        <v>114030.52</v>
      </c>
      <c r="AG319" s="171">
        <v>109839.92</v>
      </c>
      <c r="AH319" s="171">
        <v>164436.16</v>
      </c>
      <c r="AI319" s="171">
        <v>167677.14</v>
      </c>
      <c r="AJ319" s="171">
        <v>171419.25</v>
      </c>
      <c r="AK319" s="171">
        <v>217045.5</v>
      </c>
      <c r="AL319" s="171">
        <v>227328.73</v>
      </c>
      <c r="AM319" s="171">
        <v>93464.65</v>
      </c>
      <c r="AN319" s="171">
        <v>93566.82</v>
      </c>
      <c r="AO319" s="171">
        <v>100846.05</v>
      </c>
      <c r="AP319" s="171">
        <v>103128.56</v>
      </c>
      <c r="AQ319" s="171">
        <v>102090.61</v>
      </c>
      <c r="AR319" s="171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1">
        <v>103886.36</v>
      </c>
      <c r="AY319" s="171">
        <v>102427.7</v>
      </c>
      <c r="AZ319" s="171">
        <v>99461.09</v>
      </c>
      <c r="BA319" s="171">
        <v>96476.87</v>
      </c>
      <c r="BB319" s="171">
        <v>93011.34</v>
      </c>
      <c r="BC319" s="171">
        <v>96388.91</v>
      </c>
      <c r="BD319" s="171">
        <v>90703.1</v>
      </c>
      <c r="BE319" s="171">
        <v>94445.9</v>
      </c>
      <c r="BF319" s="171">
        <v>106022.51</v>
      </c>
      <c r="BG319" s="171">
        <v>99539.44</v>
      </c>
      <c r="BH319" s="171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  <c r="CI319" s="329"/>
    </row>
    <row r="320" ht="15.75" customHeight="1">
      <c r="A320" s="317" t="s">
        <v>2547</v>
      </c>
      <c r="B320" s="235" t="s">
        <v>3408</v>
      </c>
      <c r="C320" s="331" t="s">
        <v>3409</v>
      </c>
      <c r="D320" s="319" t="s">
        <v>2550</v>
      </c>
      <c r="E320" s="319" t="s">
        <v>29</v>
      </c>
      <c r="F320" s="319" t="s">
        <v>2551</v>
      </c>
      <c r="G320" s="44" t="str">
        <f t="shared" si="1"/>
        <v>Augusto</v>
      </c>
      <c r="H320" s="165" t="s">
        <v>147</v>
      </c>
      <c r="I320" s="51" t="s">
        <v>219</v>
      </c>
      <c r="J320" s="319" t="str">
        <f t="shared" si="2"/>
        <v>Não</v>
      </c>
      <c r="K320" s="320">
        <v>43894.0</v>
      </c>
      <c r="L320" s="95"/>
      <c r="M320" s="95" t="s">
        <v>79</v>
      </c>
      <c r="N320" s="334">
        <v>0.012</v>
      </c>
      <c r="O320" s="319" t="s">
        <v>2552</v>
      </c>
      <c r="P320" s="322">
        <v>0.0</v>
      </c>
      <c r="Q320" s="319" t="str">
        <f>IFERROR(VLOOKUP(F320,'Cadastro de assessores'!A:B,2,FALSE),"Não Cadastrado")</f>
        <v>17573</v>
      </c>
      <c r="R320" s="319" t="s">
        <v>107</v>
      </c>
      <c r="S320" s="320">
        <v>43892.0</v>
      </c>
      <c r="T320" s="169"/>
      <c r="U320" s="169"/>
      <c r="V320" s="45" t="s">
        <v>108</v>
      </c>
      <c r="W320" s="13" t="s">
        <v>3410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119</v>
      </c>
      <c r="AC320" s="95"/>
      <c r="AD320" s="95" t="s">
        <v>2675</v>
      </c>
      <c r="AE320" s="171">
        <v>0.0</v>
      </c>
      <c r="AF320" s="171">
        <v>0.0</v>
      </c>
      <c r="AG320" s="171">
        <v>95034.33</v>
      </c>
      <c r="AH320" s="171">
        <v>93318.34</v>
      </c>
      <c r="AI320" s="171">
        <v>88021.37</v>
      </c>
      <c r="AJ320" s="171">
        <v>84055.44</v>
      </c>
      <c r="AK320" s="171">
        <v>81417.21</v>
      </c>
      <c r="AL320" s="171">
        <v>77183.68</v>
      </c>
      <c r="AM320" s="171">
        <v>75141.99</v>
      </c>
      <c r="AN320" s="171">
        <v>71202.17</v>
      </c>
      <c r="AO320" s="171">
        <v>72363.71</v>
      </c>
      <c r="AP320" s="171">
        <v>73240.89</v>
      </c>
      <c r="AQ320" s="171">
        <v>70926.52</v>
      </c>
      <c r="AR320" s="171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1">
        <v>65422.32</v>
      </c>
      <c r="AY320" s="171">
        <v>55136.14</v>
      </c>
      <c r="AZ320" s="171">
        <v>48496.64</v>
      </c>
      <c r="BA320" s="171">
        <v>48029.82</v>
      </c>
      <c r="BB320" s="171">
        <v>44350.9</v>
      </c>
      <c r="BC320" s="171">
        <v>44053.53</v>
      </c>
      <c r="BD320" s="171">
        <v>34199.32</v>
      </c>
      <c r="BE320" s="171">
        <v>29669.58</v>
      </c>
      <c r="BF320" s="171">
        <v>30018.87</v>
      </c>
      <c r="BG320" s="171">
        <v>29.73</v>
      </c>
      <c r="BH320" s="171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  <c r="CI320" s="329"/>
    </row>
    <row r="321" ht="15.75" customHeight="1">
      <c r="A321" s="317" t="s">
        <v>2547</v>
      </c>
      <c r="B321" s="235" t="s">
        <v>3411</v>
      </c>
      <c r="C321" s="356" t="s">
        <v>3412</v>
      </c>
      <c r="D321" s="319" t="s">
        <v>18</v>
      </c>
      <c r="E321" s="319" t="s">
        <v>176</v>
      </c>
      <c r="F321" s="95" t="s">
        <v>197</v>
      </c>
      <c r="G321" s="44" t="str">
        <f t="shared" si="1"/>
        <v>Augusto</v>
      </c>
      <c r="H321" s="332" t="s">
        <v>186</v>
      </c>
      <c r="I321" s="46" t="s">
        <v>24</v>
      </c>
      <c r="J321" s="319" t="str">
        <f t="shared" si="2"/>
        <v>Não</v>
      </c>
      <c r="K321" s="333">
        <v>44279.0</v>
      </c>
      <c r="L321" s="72">
        <v>44602.0</v>
      </c>
      <c r="M321" s="95" t="s">
        <v>47</v>
      </c>
      <c r="N321" s="334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2563</v>
      </c>
      <c r="S321" s="333">
        <v>44279.0</v>
      </c>
      <c r="T321" s="169"/>
      <c r="U321" s="169"/>
      <c r="V321" s="45" t="s">
        <v>108</v>
      </c>
      <c r="W321" s="13" t="s">
        <v>3413</v>
      </c>
      <c r="X321" s="95" t="s">
        <v>180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2609</v>
      </c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1"/>
      <c r="AT321" s="171">
        <v>783137.41</v>
      </c>
      <c r="AU321" s="171"/>
      <c r="AV321" s="171">
        <v>701330.7</v>
      </c>
      <c r="AW321" s="171">
        <v>521838.58</v>
      </c>
      <c r="AX321" s="171">
        <v>469903.37</v>
      </c>
      <c r="AY321" s="171">
        <v>415816.77</v>
      </c>
      <c r="AZ321" s="171">
        <v>407018.67</v>
      </c>
      <c r="BA321" s="171">
        <v>376306.21</v>
      </c>
      <c r="BB321" s="171">
        <v>266636.66</v>
      </c>
      <c r="BC321" s="171">
        <v>120518.63</v>
      </c>
      <c r="BD321" s="171">
        <v>39329.06</v>
      </c>
      <c r="BE321" s="171">
        <v>40792.16</v>
      </c>
      <c r="BF321" s="171">
        <v>0.0</v>
      </c>
      <c r="BG321" s="171">
        <v>0.0</v>
      </c>
      <c r="BH321" s="171">
        <v>0.0</v>
      </c>
      <c r="BI321" s="171" t="s">
        <v>2566</v>
      </c>
      <c r="BJ321" s="171">
        <v>0.0</v>
      </c>
      <c r="BK321" s="171" t="s">
        <v>2566</v>
      </c>
      <c r="BL321" s="171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  <c r="CI321" s="329"/>
    </row>
    <row r="322" ht="15.75" customHeight="1">
      <c r="A322" s="317" t="s">
        <v>2547</v>
      </c>
      <c r="B322" s="239" t="s">
        <v>3414</v>
      </c>
      <c r="C322" s="331" t="s">
        <v>3415</v>
      </c>
      <c r="D322" s="319" t="s">
        <v>2550</v>
      </c>
      <c r="E322" s="319" t="s">
        <v>29</v>
      </c>
      <c r="F322" s="95" t="s">
        <v>2551</v>
      </c>
      <c r="G322" s="44" t="str">
        <f t="shared" si="1"/>
        <v>Augusto</v>
      </c>
      <c r="H322" s="332" t="s">
        <v>186</v>
      </c>
      <c r="I322" s="46" t="s">
        <v>24</v>
      </c>
      <c r="J322" s="319" t="str">
        <f t="shared" si="2"/>
        <v>Não</v>
      </c>
      <c r="K322" s="333">
        <v>43668.0</v>
      </c>
      <c r="L322" s="389">
        <v>44044.0</v>
      </c>
      <c r="M322" s="95" t="s">
        <v>47</v>
      </c>
      <c r="N322" s="334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2563</v>
      </c>
      <c r="S322" s="333">
        <v>43668.0</v>
      </c>
      <c r="T322" s="377"/>
      <c r="U322" s="169"/>
      <c r="V322" s="45" t="s">
        <v>108</v>
      </c>
      <c r="W322" s="13" t="s">
        <v>3416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2602</v>
      </c>
      <c r="AE322" s="171">
        <v>156048.73</v>
      </c>
      <c r="AF322" s="171">
        <v>153653.23</v>
      </c>
      <c r="AG322" s="171">
        <v>146145.03</v>
      </c>
      <c r="AH322" s="171">
        <v>147923.89</v>
      </c>
      <c r="AI322" s="171">
        <v>148722.48</v>
      </c>
      <c r="AJ322" s="171">
        <v>149958.43</v>
      </c>
      <c r="AK322" s="171">
        <v>151239.98</v>
      </c>
      <c r="AL322" s="171">
        <v>28304.03</v>
      </c>
      <c r="AM322" s="337"/>
      <c r="AN322" s="337"/>
      <c r="AO322" s="337"/>
      <c r="AP322" s="337"/>
      <c r="AQ322" s="337"/>
      <c r="AR322" s="171"/>
      <c r="AS322" s="171"/>
      <c r="AT322" s="171"/>
      <c r="AU322" s="171"/>
      <c r="AV322" s="171"/>
      <c r="AW322" s="171"/>
      <c r="AX322" s="337"/>
      <c r="AY322" s="337"/>
      <c r="AZ322" s="337"/>
      <c r="BA322" s="171"/>
      <c r="BB322" s="171"/>
      <c r="BC322" s="171"/>
      <c r="BD322" s="171"/>
      <c r="BE322" s="171"/>
      <c r="BF322" s="171">
        <v>0.0</v>
      </c>
      <c r="BG322" s="171">
        <v>0.0</v>
      </c>
      <c r="BH322" s="171">
        <v>0.0</v>
      </c>
      <c r="BI322" s="390" t="s">
        <v>2566</v>
      </c>
      <c r="BJ322" s="171">
        <v>0.0</v>
      </c>
      <c r="BK322" s="171" t="s">
        <v>2566</v>
      </c>
      <c r="BL322" s="171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  <c r="CI322" s="329"/>
    </row>
    <row r="323" ht="15.75" customHeight="1">
      <c r="A323" s="317" t="s">
        <v>2547</v>
      </c>
      <c r="B323" s="239" t="s">
        <v>2065</v>
      </c>
      <c r="C323" s="331" t="s">
        <v>3417</v>
      </c>
      <c r="D323" s="319" t="s">
        <v>18</v>
      </c>
      <c r="E323" s="319" t="s">
        <v>176</v>
      </c>
      <c r="F323" s="95" t="s">
        <v>177</v>
      </c>
      <c r="G323" s="44" t="str">
        <f t="shared" si="1"/>
        <v>Augusto</v>
      </c>
      <c r="H323" s="165" t="s">
        <v>147</v>
      </c>
      <c r="I323" s="51" t="s">
        <v>219</v>
      </c>
      <c r="J323" s="319" t="str">
        <f t="shared" si="2"/>
        <v>Não</v>
      </c>
      <c r="K323" s="333">
        <v>44844.0</v>
      </c>
      <c r="L323" s="389"/>
      <c r="M323" s="95" t="s">
        <v>55</v>
      </c>
      <c r="N323" s="334">
        <v>0.01</v>
      </c>
      <c r="O323" s="319" t="s">
        <v>2552</v>
      </c>
      <c r="P323" s="322">
        <v>0.0</v>
      </c>
      <c r="Q323" s="95" t="str">
        <f>IFERROR(VLOOKUP(F323,'Cadastro de assessores'!A:B,2,FALSE),"Não Cadastrado")</f>
        <v>250</v>
      </c>
      <c r="R323" s="95" t="s">
        <v>107</v>
      </c>
      <c r="S323" s="333">
        <v>44826.0</v>
      </c>
      <c r="T323" s="169"/>
      <c r="U323" s="169"/>
      <c r="V323" s="45" t="s">
        <v>108</v>
      </c>
      <c r="W323" s="13" t="s">
        <v>2067</v>
      </c>
      <c r="X323" s="13" t="s">
        <v>180</v>
      </c>
      <c r="Y323" s="51" t="str">
        <f t="shared" si="3"/>
        <v>Ativo</v>
      </c>
      <c r="Z323" s="325"/>
      <c r="AA323" s="95" t="str">
        <f t="shared" si="7"/>
        <v/>
      </c>
      <c r="AB323" s="13" t="s">
        <v>119</v>
      </c>
      <c r="AC323" s="95"/>
      <c r="AD323" s="95"/>
      <c r="AE323" s="171"/>
      <c r="AF323" s="171"/>
      <c r="AG323" s="171"/>
      <c r="AH323" s="171"/>
      <c r="AI323" s="171"/>
      <c r="AJ323" s="171"/>
      <c r="AK323" s="171"/>
      <c r="AL323" s="171"/>
      <c r="AM323" s="337"/>
      <c r="AN323" s="337"/>
      <c r="AO323" s="337"/>
      <c r="AP323" s="337"/>
      <c r="AQ323" s="337"/>
      <c r="AR323" s="171"/>
      <c r="AS323" s="171"/>
      <c r="AT323" s="171"/>
      <c r="AU323" s="171"/>
      <c r="AV323" s="171"/>
      <c r="AW323" s="171"/>
      <c r="AX323" s="337"/>
      <c r="AY323" s="337"/>
      <c r="AZ323" s="337"/>
      <c r="BA323" s="171"/>
      <c r="BB323" s="171"/>
      <c r="BC323" s="171"/>
      <c r="BD323" s="171"/>
      <c r="BE323" s="171"/>
      <c r="BF323" s="171"/>
      <c r="BG323" s="171"/>
      <c r="BH323" s="171"/>
      <c r="BI323" s="390"/>
      <c r="BJ323" s="171"/>
      <c r="BK323" s="171"/>
      <c r="BL323" s="171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  <c r="CI323" s="329"/>
    </row>
    <row r="324" ht="15.75" customHeight="1">
      <c r="A324" s="317" t="s">
        <v>2547</v>
      </c>
      <c r="B324" s="344" t="s">
        <v>3418</v>
      </c>
      <c r="C324" s="219" t="s">
        <v>3419</v>
      </c>
      <c r="D324" s="319" t="s">
        <v>18</v>
      </c>
      <c r="E324" s="319" t="s">
        <v>176</v>
      </c>
      <c r="F324" s="319" t="s">
        <v>197</v>
      </c>
      <c r="G324" s="44" t="str">
        <f t="shared" si="1"/>
        <v>Augusto</v>
      </c>
      <c r="H324" s="165" t="s">
        <v>147</v>
      </c>
      <c r="I324" s="51" t="s">
        <v>219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4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1" t="s">
        <v>3380</v>
      </c>
      <c r="S324" s="320">
        <v>44277.0</v>
      </c>
      <c r="T324" s="169"/>
      <c r="U324" s="169"/>
      <c r="V324" s="45" t="s">
        <v>108</v>
      </c>
      <c r="W324" s="324" t="s">
        <v>3420</v>
      </c>
      <c r="X324" s="164" t="s">
        <v>180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119</v>
      </c>
      <c r="AC324" s="95"/>
      <c r="AD324" s="95" t="s">
        <v>3327</v>
      </c>
      <c r="AE324" s="337"/>
      <c r="AF324" s="337"/>
      <c r="AG324" s="337"/>
      <c r="AH324" s="337"/>
      <c r="AI324" s="337"/>
      <c r="AJ324" s="337"/>
      <c r="AK324" s="337"/>
      <c r="AL324" s="337"/>
      <c r="AM324" s="337"/>
      <c r="AN324" s="337"/>
      <c r="AO324" s="337"/>
      <c r="AP324" s="337"/>
      <c r="AQ324" s="337"/>
      <c r="AR324" s="171"/>
      <c r="AS324" s="326"/>
      <c r="AT324" s="326">
        <v>114653.68</v>
      </c>
      <c r="AU324" s="326"/>
      <c r="AV324" s="326">
        <v>117260.24</v>
      </c>
      <c r="AW324" s="326">
        <v>119548.47</v>
      </c>
      <c r="AX324" s="171">
        <v>118861.09</v>
      </c>
      <c r="AY324" s="171">
        <v>117509.41</v>
      </c>
      <c r="AZ324" s="171">
        <v>41564.59</v>
      </c>
      <c r="BA324" s="171">
        <v>41620.99</v>
      </c>
      <c r="BB324" s="171">
        <v>94.18</v>
      </c>
      <c r="BC324" s="171"/>
      <c r="BD324" s="171"/>
      <c r="BE324" s="171"/>
      <c r="BF324" s="171">
        <v>44.83</v>
      </c>
      <c r="BG324" s="171">
        <v>-101.16</v>
      </c>
      <c r="BH324" s="171">
        <v>-101.16</v>
      </c>
      <c r="BI324" s="392" t="s">
        <v>2566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  <c r="CI324" s="329"/>
    </row>
    <row r="325" ht="15.75" customHeight="1">
      <c r="A325" s="317" t="s">
        <v>2547</v>
      </c>
      <c r="B325" s="239" t="s">
        <v>3421</v>
      </c>
      <c r="C325" s="331" t="s">
        <v>3422</v>
      </c>
      <c r="D325" s="319" t="s">
        <v>2550</v>
      </c>
      <c r="E325" s="319" t="s">
        <v>29</v>
      </c>
      <c r="F325" s="95" t="s">
        <v>2562</v>
      </c>
      <c r="G325" s="44" t="str">
        <f t="shared" si="1"/>
        <v>Augusto</v>
      </c>
      <c r="H325" s="332" t="s">
        <v>186</v>
      </c>
      <c r="I325" s="46" t="s">
        <v>24</v>
      </c>
      <c r="J325" s="319" t="str">
        <f t="shared" si="2"/>
        <v>Não</v>
      </c>
      <c r="K325" s="333">
        <v>43865.0</v>
      </c>
      <c r="L325" s="333">
        <v>44631.0</v>
      </c>
      <c r="M325" s="95" t="s">
        <v>47</v>
      </c>
      <c r="N325" s="334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2563</v>
      </c>
      <c r="S325" s="333">
        <v>43865.0</v>
      </c>
      <c r="T325" s="169"/>
      <c r="U325" s="169"/>
      <c r="V325" s="45" t="s">
        <v>108</v>
      </c>
      <c r="W325" s="13" t="s">
        <v>3423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119</v>
      </c>
      <c r="AC325" s="95"/>
      <c r="AD325" s="95" t="s">
        <v>2602</v>
      </c>
      <c r="AE325" s="171">
        <v>0.0</v>
      </c>
      <c r="AF325" s="171">
        <v>85515.97</v>
      </c>
      <c r="AG325" s="171">
        <v>73210.09</v>
      </c>
      <c r="AH325" s="171">
        <v>75542.23</v>
      </c>
      <c r="AI325" s="171">
        <v>77464.67</v>
      </c>
      <c r="AJ325" s="171">
        <v>79368.8</v>
      </c>
      <c r="AK325" s="171">
        <v>31451.1</v>
      </c>
      <c r="AL325" s="171">
        <v>31402.47</v>
      </c>
      <c r="AM325" s="171">
        <v>31244.48</v>
      </c>
      <c r="AN325" s="171">
        <v>31100.14</v>
      </c>
      <c r="AO325" s="171">
        <v>31053.48</v>
      </c>
      <c r="AP325" s="171">
        <v>31247.68</v>
      </c>
      <c r="AQ325" s="171">
        <v>31317.36</v>
      </c>
      <c r="AR325" s="171">
        <v>31197.21</v>
      </c>
      <c r="AS325" s="171">
        <v>31152.7</v>
      </c>
      <c r="AT325" s="171">
        <v>31128.62</v>
      </c>
      <c r="AU325" s="171">
        <v>31032.88</v>
      </c>
      <c r="AV325" s="171">
        <v>30904.95</v>
      </c>
      <c r="AW325" s="171">
        <v>31000.76</v>
      </c>
      <c r="AX325" s="171">
        <v>30998.11</v>
      </c>
      <c r="AY325" s="171">
        <v>31269.48</v>
      </c>
      <c r="AZ325" s="171">
        <v>31410.22</v>
      </c>
      <c r="BA325" s="171">
        <v>31450.1</v>
      </c>
      <c r="BB325" s="171">
        <v>31234.31</v>
      </c>
      <c r="BC325" s="171">
        <v>111.69</v>
      </c>
      <c r="BD325" s="171">
        <v>255.69</v>
      </c>
      <c r="BE325" s="171">
        <v>44.83</v>
      </c>
      <c r="BF325" s="171">
        <v>32282.48</v>
      </c>
      <c r="BG325" s="171">
        <v>21388.13</v>
      </c>
      <c r="BH325" s="171">
        <v>21504.27</v>
      </c>
      <c r="BI325" s="171">
        <v>21681.79</v>
      </c>
      <c r="BJ325" s="171">
        <v>0.0</v>
      </c>
      <c r="BK325" s="171">
        <v>22061.05</v>
      </c>
      <c r="BL325" s="171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  <c r="CI325" s="329"/>
    </row>
    <row r="326" ht="15.75" customHeight="1">
      <c r="A326" s="317" t="s">
        <v>2547</v>
      </c>
      <c r="B326" s="239" t="s">
        <v>3424</v>
      </c>
      <c r="C326" s="331" t="s">
        <v>3425</v>
      </c>
      <c r="D326" s="319" t="s">
        <v>2550</v>
      </c>
      <c r="E326" s="319" t="s">
        <v>29</v>
      </c>
      <c r="F326" s="95" t="s">
        <v>2551</v>
      </c>
      <c r="G326" s="44" t="str">
        <f t="shared" si="1"/>
        <v>Augusto</v>
      </c>
      <c r="H326" s="332" t="s">
        <v>186</v>
      </c>
      <c r="I326" s="46" t="s">
        <v>24</v>
      </c>
      <c r="J326" s="319" t="str">
        <f t="shared" si="2"/>
        <v>Não</v>
      </c>
      <c r="K326" s="333">
        <v>43840.0</v>
      </c>
      <c r="L326" s="338">
        <v>44153.0</v>
      </c>
      <c r="M326" s="95" t="s">
        <v>79</v>
      </c>
      <c r="N326" s="334">
        <v>0.012</v>
      </c>
      <c r="O326" s="319" t="s">
        <v>2552</v>
      </c>
      <c r="P326" s="322">
        <v>0.0</v>
      </c>
      <c r="Q326" s="95" t="str">
        <f>IFERROR(VLOOKUP(F326,'Cadastro de assessores'!A:B,2,FALSE),"Não Cadastrado")</f>
        <v>17573</v>
      </c>
      <c r="R326" s="95" t="s">
        <v>2563</v>
      </c>
      <c r="S326" s="333">
        <v>43840.0</v>
      </c>
      <c r="T326" s="169"/>
      <c r="U326" s="169"/>
      <c r="V326" s="45" t="s">
        <v>108</v>
      </c>
      <c r="W326" s="13" t="s">
        <v>2814</v>
      </c>
      <c r="X326" s="164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2942</v>
      </c>
      <c r="AE326" s="171">
        <v>149283.91</v>
      </c>
      <c r="AF326" s="171">
        <v>147084.73</v>
      </c>
      <c r="AG326" s="171">
        <v>141100.44</v>
      </c>
      <c r="AH326" s="171">
        <v>142367.71</v>
      </c>
      <c r="AI326" s="171">
        <v>143315.0</v>
      </c>
      <c r="AJ326" s="171">
        <v>144008.09</v>
      </c>
      <c r="AK326" s="171">
        <v>128859.82</v>
      </c>
      <c r="AL326" s="171">
        <v>122149.28</v>
      </c>
      <c r="AM326" s="171">
        <v>108578.08</v>
      </c>
      <c r="AN326" s="171">
        <v>90562.43</v>
      </c>
      <c r="AO326" s="171">
        <v>72735.9</v>
      </c>
      <c r="AP326" s="171">
        <v>0.0</v>
      </c>
      <c r="AQ326" s="337"/>
      <c r="AR326" s="171"/>
      <c r="AS326" s="171"/>
      <c r="AT326" s="171"/>
      <c r="AU326" s="171"/>
      <c r="AV326" s="171"/>
      <c r="AW326" s="171"/>
      <c r="AX326" s="337"/>
      <c r="AY326" s="337"/>
      <c r="AZ326" s="337"/>
      <c r="BA326" s="171"/>
      <c r="BB326" s="171"/>
      <c r="BC326" s="171">
        <v>31621.46</v>
      </c>
      <c r="BD326" s="171">
        <v>32027.06</v>
      </c>
      <c r="BE326" s="171">
        <v>32088.01</v>
      </c>
      <c r="BF326" s="171">
        <v>0.0</v>
      </c>
      <c r="BG326" s="171">
        <v>0.0</v>
      </c>
      <c r="BH326" s="171">
        <v>0.0</v>
      </c>
      <c r="BI326" s="171" t="s">
        <v>2566</v>
      </c>
      <c r="BJ326" s="171">
        <v>0.0</v>
      </c>
      <c r="BK326" s="171" t="s">
        <v>2566</v>
      </c>
      <c r="BL326" s="171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  <c r="CI326" s="329"/>
    </row>
    <row r="327" ht="15.75" customHeight="1">
      <c r="A327" s="317" t="s">
        <v>2547</v>
      </c>
      <c r="B327" s="235" t="s">
        <v>3426</v>
      </c>
      <c r="C327" s="331" t="s">
        <v>3427</v>
      </c>
      <c r="D327" s="319" t="s">
        <v>2550</v>
      </c>
      <c r="E327" s="319" t="s">
        <v>29</v>
      </c>
      <c r="F327" s="319" t="s">
        <v>2551</v>
      </c>
      <c r="G327" s="44" t="str">
        <f t="shared" si="1"/>
        <v>Augusto</v>
      </c>
      <c r="H327" s="165" t="s">
        <v>107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79</v>
      </c>
      <c r="N327" s="334">
        <v>0.012</v>
      </c>
      <c r="O327" s="319" t="s">
        <v>2552</v>
      </c>
      <c r="P327" s="322">
        <v>0.0</v>
      </c>
      <c r="Q327" s="319" t="str">
        <f>IFERROR(VLOOKUP(F327,'Cadastro de assessores'!A:B,2,FALSE),"Não Cadastrado")</f>
        <v>17573</v>
      </c>
      <c r="R327" s="319" t="s">
        <v>107</v>
      </c>
      <c r="S327" s="320">
        <v>43844.0</v>
      </c>
      <c r="T327" s="74"/>
      <c r="U327" s="169" t="s">
        <v>3428</v>
      </c>
      <c r="V327" s="45" t="s">
        <v>108</v>
      </c>
      <c r="W327" s="13" t="s">
        <v>3429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119</v>
      </c>
      <c r="AC327" s="95"/>
      <c r="AD327" s="95" t="s">
        <v>2580</v>
      </c>
      <c r="AE327" s="171">
        <v>0.0</v>
      </c>
      <c r="AF327" s="171">
        <v>98297.74</v>
      </c>
      <c r="AG327" s="171">
        <v>95181.85</v>
      </c>
      <c r="AH327" s="171">
        <v>95873.94</v>
      </c>
      <c r="AI327" s="171">
        <v>96665.17</v>
      </c>
      <c r="AJ327" s="171">
        <v>96634.86</v>
      </c>
      <c r="AK327" s="171">
        <v>97466.7</v>
      </c>
      <c r="AL327" s="171">
        <v>96820.02</v>
      </c>
      <c r="AM327" s="171">
        <v>95785.2</v>
      </c>
      <c r="AN327" s="171">
        <v>95676.43</v>
      </c>
      <c r="AO327" s="171">
        <v>97276.2</v>
      </c>
      <c r="AP327" s="171">
        <v>98213.37</v>
      </c>
      <c r="AQ327" s="171">
        <v>97579.09</v>
      </c>
      <c r="AR327" s="171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1">
        <v>69283.69</v>
      </c>
      <c r="AY327" s="171">
        <v>69142.5</v>
      </c>
      <c r="AZ327" s="171">
        <v>46631.81</v>
      </c>
      <c r="BA327" s="171">
        <v>46173.85</v>
      </c>
      <c r="BB327" s="171">
        <v>45698.52</v>
      </c>
      <c r="BC327" s="171">
        <v>45709.15</v>
      </c>
      <c r="BD327" s="171">
        <v>46122.5</v>
      </c>
      <c r="BE327" s="171">
        <v>47479.54</v>
      </c>
      <c r="BF327" s="171">
        <v>12357.48</v>
      </c>
      <c r="BG327" s="171">
        <v>13116.59</v>
      </c>
      <c r="BH327" s="171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  <c r="CI327" s="329"/>
    </row>
    <row r="328" ht="15.75" customHeight="1">
      <c r="A328" s="317" t="s">
        <v>2547</v>
      </c>
      <c r="B328" s="317" t="s">
        <v>3430</v>
      </c>
      <c r="C328" s="318" t="s">
        <v>3431</v>
      </c>
      <c r="D328" s="319" t="s">
        <v>2659</v>
      </c>
      <c r="E328" s="319" t="s">
        <v>29</v>
      </c>
      <c r="F328" s="319" t="s">
        <v>2659</v>
      </c>
      <c r="G328" s="44" t="str">
        <f t="shared" si="1"/>
        <v>Breno</v>
      </c>
      <c r="H328" s="165" t="s">
        <v>107</v>
      </c>
      <c r="I328" s="46" t="s">
        <v>24</v>
      </c>
      <c r="J328" s="319" t="str">
        <f t="shared" si="2"/>
        <v>Não</v>
      </c>
      <c r="K328" s="335">
        <v>43416.0</v>
      </c>
      <c r="L328" s="95"/>
      <c r="M328" s="95" t="s">
        <v>190</v>
      </c>
      <c r="N328" s="321">
        <v>0.008</v>
      </c>
      <c r="O328" s="319" t="s">
        <v>2552</v>
      </c>
      <c r="P328" s="322">
        <v>0.0</v>
      </c>
      <c r="Q328" s="319" t="str">
        <f>IFERROR(VLOOKUP(F328,'Cadastro de assessores'!A:B,2,FALSE),"Não Cadastrado")</f>
        <v>22400</v>
      </c>
      <c r="R328" s="319" t="s">
        <v>107</v>
      </c>
      <c r="S328" s="335">
        <v>43416.0</v>
      </c>
      <c r="T328" s="169"/>
      <c r="U328" s="169"/>
      <c r="V328" s="45" t="s">
        <v>108</v>
      </c>
      <c r="W328" s="324" t="s">
        <v>3432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119</v>
      </c>
      <c r="AC328" s="95"/>
      <c r="AD328" s="95" t="s">
        <v>2623</v>
      </c>
      <c r="AE328" s="171">
        <v>74892.0</v>
      </c>
      <c r="AF328" s="171">
        <v>76760.98</v>
      </c>
      <c r="AG328" s="171">
        <v>59815.75</v>
      </c>
      <c r="AH328" s="171">
        <v>64530.6</v>
      </c>
      <c r="AI328" s="171">
        <v>66054.81</v>
      </c>
      <c r="AJ328" s="171">
        <v>70067.54</v>
      </c>
      <c r="AK328" s="171">
        <v>81922.55</v>
      </c>
      <c r="AL328" s="171">
        <v>77098.12</v>
      </c>
      <c r="AM328" s="171">
        <v>73774.4</v>
      </c>
      <c r="AN328" s="171">
        <v>76317.99</v>
      </c>
      <c r="AO328" s="171">
        <v>88128.37</v>
      </c>
      <c r="AP328" s="171">
        <v>91771.65</v>
      </c>
      <c r="AQ328" s="171">
        <v>87518.2</v>
      </c>
      <c r="AR328" s="171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1">
        <v>96347.68</v>
      </c>
      <c r="AY328" s="171">
        <v>93799.63</v>
      </c>
      <c r="AZ328" s="171">
        <v>89547.64</v>
      </c>
      <c r="BA328" s="171">
        <v>84860.97</v>
      </c>
      <c r="BB328" s="171">
        <v>79882.92</v>
      </c>
      <c r="BC328" s="171">
        <v>77434.81</v>
      </c>
      <c r="BD328" s="171">
        <v>77742.4</v>
      </c>
      <c r="BE328" s="171">
        <v>82006.68</v>
      </c>
      <c r="BF328" s="171">
        <v>82902.72</v>
      </c>
      <c r="BG328" s="171">
        <v>89126.04</v>
      </c>
      <c r="BH328" s="171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  <c r="CI328" s="329"/>
    </row>
    <row r="329" ht="15.75" customHeight="1">
      <c r="A329" s="317" t="s">
        <v>2547</v>
      </c>
      <c r="B329" s="235" t="s">
        <v>3433</v>
      </c>
      <c r="C329" s="331" t="s">
        <v>3434</v>
      </c>
      <c r="D329" s="319" t="s">
        <v>2550</v>
      </c>
      <c r="E329" s="319" t="s">
        <v>29</v>
      </c>
      <c r="F329" s="95" t="s">
        <v>2562</v>
      </c>
      <c r="G329" s="44" t="str">
        <f t="shared" si="1"/>
        <v>Augusto</v>
      </c>
      <c r="H329" s="332" t="s">
        <v>186</v>
      </c>
      <c r="I329" s="46" t="s">
        <v>24</v>
      </c>
      <c r="J329" s="319" t="str">
        <f t="shared" si="2"/>
        <v>Não</v>
      </c>
      <c r="K329" s="333">
        <v>43861.0</v>
      </c>
      <c r="L329" s="338">
        <v>44484.0</v>
      </c>
      <c r="M329" s="95" t="s">
        <v>79</v>
      </c>
      <c r="N329" s="334">
        <v>0.012</v>
      </c>
      <c r="O329" s="319" t="s">
        <v>2552</v>
      </c>
      <c r="P329" s="322">
        <v>0.0</v>
      </c>
      <c r="Q329" s="95" t="str">
        <f>IFERROR(VLOOKUP(F329,'Cadastro de assessores'!A:B,2,FALSE),"Não Cadastrado")</f>
        <v>2971</v>
      </c>
      <c r="R329" s="95" t="s">
        <v>2563</v>
      </c>
      <c r="S329" s="333">
        <v>43861.0</v>
      </c>
      <c r="T329" s="169"/>
      <c r="U329" s="169"/>
      <c r="V329" s="45" t="s">
        <v>108</v>
      </c>
      <c r="W329" s="13" t="s">
        <v>3435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2596</v>
      </c>
      <c r="AE329" s="171">
        <v>99921.55</v>
      </c>
      <c r="AF329" s="171">
        <v>98862.65</v>
      </c>
      <c r="AG329" s="171">
        <v>96756.24</v>
      </c>
      <c r="AH329" s="171">
        <v>96826.63</v>
      </c>
      <c r="AI329" s="171">
        <v>97297.31</v>
      </c>
      <c r="AJ329" s="171">
        <v>97665.72</v>
      </c>
      <c r="AK329" s="171">
        <v>98720.12</v>
      </c>
      <c r="AL329" s="171">
        <v>97869.36</v>
      </c>
      <c r="AM329" s="171">
        <v>97044.97</v>
      </c>
      <c r="AN329" s="171">
        <v>97240.85</v>
      </c>
      <c r="AO329" s="171">
        <v>98893.5</v>
      </c>
      <c r="AP329" s="171">
        <v>99294.26</v>
      </c>
      <c r="AQ329" s="171">
        <v>98429.28</v>
      </c>
      <c r="AR329" s="171">
        <v>96557.66</v>
      </c>
      <c r="AS329" s="171">
        <v>96269.51</v>
      </c>
      <c r="AT329" s="171">
        <v>94645.39</v>
      </c>
      <c r="AU329" s="171">
        <v>268.56</v>
      </c>
      <c r="AV329" s="171">
        <v>74.8</v>
      </c>
      <c r="AW329" s="171"/>
      <c r="AX329" s="171">
        <v>15.25</v>
      </c>
      <c r="AY329" s="337"/>
      <c r="AZ329" s="337">
        <v>1.47</v>
      </c>
      <c r="BA329" s="171">
        <v>1.47</v>
      </c>
      <c r="BB329" s="171"/>
      <c r="BC329" s="171"/>
      <c r="BD329" s="171"/>
      <c r="BE329" s="171"/>
      <c r="BF329" s="171">
        <v>0.0</v>
      </c>
      <c r="BG329" s="171">
        <v>0.0</v>
      </c>
      <c r="BH329" s="171">
        <v>0.0</v>
      </c>
      <c r="BI329" s="171" t="s">
        <v>2566</v>
      </c>
      <c r="BJ329" s="171">
        <v>0.0</v>
      </c>
      <c r="BK329" s="171" t="s">
        <v>2566</v>
      </c>
      <c r="BL329" s="171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  <c r="CI329" s="329"/>
    </row>
    <row r="330" ht="15.75" customHeight="1">
      <c r="A330" s="317" t="s">
        <v>2547</v>
      </c>
      <c r="B330" s="42" t="s">
        <v>2099</v>
      </c>
      <c r="C330" s="330" t="s">
        <v>3436</v>
      </c>
      <c r="D330" s="319" t="s">
        <v>18</v>
      </c>
      <c r="E330" s="319" t="s">
        <v>176</v>
      </c>
      <c r="F330" s="319" t="s">
        <v>177</v>
      </c>
      <c r="G330" s="44" t="str">
        <f t="shared" si="1"/>
        <v>Augusto</v>
      </c>
      <c r="H330" s="165" t="s">
        <v>147</v>
      </c>
      <c r="I330" s="51" t="s">
        <v>219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4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107</v>
      </c>
      <c r="S330" s="320">
        <v>44295.0</v>
      </c>
      <c r="T330" s="50"/>
      <c r="U330" s="50"/>
      <c r="V330" s="45" t="s">
        <v>108</v>
      </c>
      <c r="W330" s="5" t="s">
        <v>2102</v>
      </c>
      <c r="X330" s="164" t="s">
        <v>180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119</v>
      </c>
      <c r="AC330" s="95"/>
      <c r="AD330" s="95" t="s">
        <v>2678</v>
      </c>
      <c r="AE330" s="191"/>
      <c r="AF330" s="191"/>
      <c r="AG330" s="191"/>
      <c r="AH330" s="191"/>
      <c r="AI330" s="191"/>
      <c r="AJ330" s="191"/>
      <c r="AK330" s="191"/>
      <c r="AL330" s="191"/>
      <c r="AM330" s="191"/>
      <c r="AN330" s="191"/>
      <c r="AO330" s="191"/>
      <c r="AP330" s="191"/>
      <c r="AQ330" s="191"/>
      <c r="AR330" s="393"/>
      <c r="AS330" s="326"/>
      <c r="AT330" s="326"/>
      <c r="AU330" s="326"/>
      <c r="AV330" s="326"/>
      <c r="AW330" s="326">
        <v>152307.13</v>
      </c>
      <c r="AX330" s="171">
        <v>152133.16</v>
      </c>
      <c r="AY330" s="171">
        <v>150923.55</v>
      </c>
      <c r="AZ330" s="171">
        <v>148054.66</v>
      </c>
      <c r="BA330" s="171">
        <v>146511.73</v>
      </c>
      <c r="BB330" s="171">
        <v>143174.27</v>
      </c>
      <c r="BC330" s="171">
        <v>151556.34</v>
      </c>
      <c r="BD330" s="171">
        <v>152075.91</v>
      </c>
      <c r="BE330" s="171">
        <v>155771.81</v>
      </c>
      <c r="BF330" s="171">
        <v>156987.15</v>
      </c>
      <c r="BG330" s="171">
        <v>162722.22</v>
      </c>
      <c r="BH330" s="171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  <c r="CI330" s="329"/>
    </row>
    <row r="331" ht="15.75" customHeight="1">
      <c r="A331" s="317" t="s">
        <v>2547</v>
      </c>
      <c r="B331" s="42" t="s">
        <v>3437</v>
      </c>
      <c r="C331" s="330" t="s">
        <v>3438</v>
      </c>
      <c r="D331" s="319" t="s">
        <v>18</v>
      </c>
      <c r="E331" s="319" t="s">
        <v>176</v>
      </c>
      <c r="F331" s="319" t="s">
        <v>177</v>
      </c>
      <c r="G331" s="44" t="str">
        <f t="shared" si="1"/>
        <v>Augusto</v>
      </c>
      <c r="H331" s="332" t="s">
        <v>186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4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107</v>
      </c>
      <c r="S331" s="320">
        <v>44319.0</v>
      </c>
      <c r="T331" s="50"/>
      <c r="U331" s="50"/>
      <c r="V331" s="45" t="s">
        <v>108</v>
      </c>
      <c r="W331" s="5" t="s">
        <v>3439</v>
      </c>
      <c r="X331" s="164" t="s">
        <v>180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119</v>
      </c>
      <c r="AC331" s="95"/>
      <c r="AD331" s="95" t="s">
        <v>2609</v>
      </c>
      <c r="AE331" s="191"/>
      <c r="AF331" s="191"/>
      <c r="AG331" s="191"/>
      <c r="AH331" s="191"/>
      <c r="AI331" s="191"/>
      <c r="AJ331" s="191"/>
      <c r="AK331" s="191"/>
      <c r="AL331" s="191"/>
      <c r="AM331" s="191"/>
      <c r="AN331" s="191"/>
      <c r="AO331" s="191"/>
      <c r="AP331" s="191"/>
      <c r="AQ331" s="191"/>
      <c r="AR331" s="393"/>
      <c r="AS331" s="326"/>
      <c r="AT331" s="326"/>
      <c r="AU331" s="326"/>
      <c r="AV331" s="326"/>
      <c r="AW331" s="326">
        <v>332462.25</v>
      </c>
      <c r="AX331" s="171">
        <v>330515.93</v>
      </c>
      <c r="AY331" s="171">
        <v>327290.36</v>
      </c>
      <c r="AZ331" s="171">
        <v>321563.09</v>
      </c>
      <c r="BA331" s="171">
        <v>317157.09</v>
      </c>
      <c r="BB331" s="171">
        <v>310487.79</v>
      </c>
      <c r="BC331" s="171">
        <v>307755.91</v>
      </c>
      <c r="BD331" s="171">
        <v>305547.09</v>
      </c>
      <c r="BE331" s="171">
        <v>313309.97</v>
      </c>
      <c r="BF331" s="171">
        <v>315370.21</v>
      </c>
      <c r="BG331" s="171">
        <v>328556.83</v>
      </c>
      <c r="BH331" s="171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  <c r="CI331" s="329"/>
    </row>
    <row r="332" ht="15.75" customHeight="1">
      <c r="A332" s="317" t="s">
        <v>2547</v>
      </c>
      <c r="B332" s="42" t="s">
        <v>3440</v>
      </c>
      <c r="C332" s="330" t="s">
        <v>3441</v>
      </c>
      <c r="D332" s="319" t="s">
        <v>18</v>
      </c>
      <c r="E332" s="319" t="s">
        <v>176</v>
      </c>
      <c r="F332" s="319" t="s">
        <v>197</v>
      </c>
      <c r="G332" s="44" t="str">
        <f t="shared" si="1"/>
        <v>Augusto</v>
      </c>
      <c r="H332" s="165" t="s">
        <v>147</v>
      </c>
      <c r="I332" s="51" t="s">
        <v>219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4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107</v>
      </c>
      <c r="S332" s="320">
        <v>44319.0</v>
      </c>
      <c r="T332" s="63"/>
      <c r="U332" s="50" t="s">
        <v>3442</v>
      </c>
      <c r="V332" s="45" t="s">
        <v>108</v>
      </c>
      <c r="W332" s="5" t="s">
        <v>2113</v>
      </c>
      <c r="X332" s="164" t="s">
        <v>180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119</v>
      </c>
      <c r="AC332" s="95"/>
      <c r="AD332" s="95" t="s">
        <v>2609</v>
      </c>
      <c r="AE332" s="191"/>
      <c r="AF332" s="191"/>
      <c r="AG332" s="191"/>
      <c r="AH332" s="191"/>
      <c r="AI332" s="191"/>
      <c r="AJ332" s="191"/>
      <c r="AK332" s="191"/>
      <c r="AL332" s="191"/>
      <c r="AM332" s="191"/>
      <c r="AN332" s="191"/>
      <c r="AO332" s="191"/>
      <c r="AP332" s="191"/>
      <c r="AQ332" s="191"/>
      <c r="AR332" s="393"/>
      <c r="AS332" s="326"/>
      <c r="AT332" s="326"/>
      <c r="AU332" s="326"/>
      <c r="AV332" s="326"/>
      <c r="AW332" s="326">
        <v>649392.29</v>
      </c>
      <c r="AX332" s="171">
        <v>619970.67</v>
      </c>
      <c r="AY332" s="171">
        <v>604184.52</v>
      </c>
      <c r="AZ332" s="171">
        <v>583106.9</v>
      </c>
      <c r="BA332" s="171">
        <v>510441.06</v>
      </c>
      <c r="BB332" s="171">
        <v>534434.65</v>
      </c>
      <c r="BC332" s="171">
        <v>518934.1</v>
      </c>
      <c r="BD332" s="171">
        <v>504177.44</v>
      </c>
      <c r="BE332" s="171">
        <v>496175.72</v>
      </c>
      <c r="BF332" s="171">
        <v>490341.81</v>
      </c>
      <c r="BG332" s="171">
        <v>503301.19</v>
      </c>
      <c r="BH332" s="171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  <c r="CI332" s="329"/>
    </row>
    <row r="333" ht="15.75" customHeight="1">
      <c r="A333" s="317" t="s">
        <v>2547</v>
      </c>
      <c r="B333" s="61" t="s">
        <v>2117</v>
      </c>
      <c r="C333" s="93">
        <v>4534702.0</v>
      </c>
      <c r="D333" s="319" t="s">
        <v>18</v>
      </c>
      <c r="E333" s="319" t="s">
        <v>176</v>
      </c>
      <c r="F333" s="93" t="s">
        <v>197</v>
      </c>
      <c r="G333" s="44" t="str">
        <f t="shared" si="1"/>
        <v>Augusto</v>
      </c>
      <c r="H333" s="165" t="s">
        <v>147</v>
      </c>
      <c r="I333" s="51" t="s">
        <v>219</v>
      </c>
      <c r="J333" s="319" t="str">
        <f t="shared" si="2"/>
        <v>Não</v>
      </c>
      <c r="K333" s="72">
        <v>44462.0</v>
      </c>
      <c r="L333" s="45"/>
      <c r="M333" s="95" t="s">
        <v>190</v>
      </c>
      <c r="N333" s="334">
        <v>0.025</v>
      </c>
      <c r="O333" s="319" t="s">
        <v>191</v>
      </c>
      <c r="P333" s="322">
        <v>0.2</v>
      </c>
      <c r="Q333" s="319" t="str">
        <f>IFERROR(VLOOKUP(F333,'Cadastro de assessores'!A:B,2,FALSE),"Não Cadastrado")</f>
        <v>28411</v>
      </c>
      <c r="R333" s="319" t="s">
        <v>107</v>
      </c>
      <c r="S333" s="72">
        <v>44414.0</v>
      </c>
      <c r="T333" s="63"/>
      <c r="U333" s="50" t="s">
        <v>3443</v>
      </c>
      <c r="V333" s="45" t="s">
        <v>108</v>
      </c>
      <c r="W333" s="5" t="s">
        <v>2120</v>
      </c>
      <c r="X333" s="45" t="s">
        <v>873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119</v>
      </c>
      <c r="AC333" s="95"/>
      <c r="AD333" s="45" t="s">
        <v>3444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4"/>
      <c r="AP333" s="394"/>
      <c r="AQ333" s="394"/>
      <c r="AR333" s="394"/>
      <c r="AS333" s="394"/>
      <c r="AT333" s="394"/>
      <c r="AU333" s="394"/>
      <c r="AV333" s="394"/>
      <c r="AW333" s="337"/>
      <c r="AX333" s="171"/>
      <c r="AY333" s="171"/>
      <c r="AZ333" s="41"/>
      <c r="BA333" s="171">
        <v>122762.88</v>
      </c>
      <c r="BB333" s="171">
        <v>124855.65</v>
      </c>
      <c r="BC333" s="171">
        <v>120610.95</v>
      </c>
      <c r="BD333" s="171">
        <v>122411.16</v>
      </c>
      <c r="BE333" s="171">
        <v>129931.21</v>
      </c>
      <c r="BF333" s="171">
        <v>130378.12</v>
      </c>
      <c r="BG333" s="171">
        <v>125460.79</v>
      </c>
      <c r="BH333" s="171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  <c r="CI333" s="329"/>
    </row>
    <row r="334" ht="15.75" customHeight="1">
      <c r="A334" s="317" t="s">
        <v>2547</v>
      </c>
      <c r="B334" s="395" t="s">
        <v>3445</v>
      </c>
      <c r="C334" s="396" t="s">
        <v>3446</v>
      </c>
      <c r="D334" s="319" t="s">
        <v>2550</v>
      </c>
      <c r="E334" s="319" t="s">
        <v>29</v>
      </c>
      <c r="F334" s="357" t="s">
        <v>2551</v>
      </c>
      <c r="G334" s="44" t="str">
        <f t="shared" si="1"/>
        <v>Augusto</v>
      </c>
      <c r="H334" s="165" t="s">
        <v>147</v>
      </c>
      <c r="I334" s="51" t="s">
        <v>219</v>
      </c>
      <c r="J334" s="319" t="str">
        <f t="shared" si="2"/>
        <v>Sim</v>
      </c>
      <c r="K334" s="397">
        <v>43675.0</v>
      </c>
      <c r="L334" s="357"/>
      <c r="M334" s="95" t="s">
        <v>47</v>
      </c>
      <c r="N334" s="398">
        <v>0.01</v>
      </c>
      <c r="O334" s="319" t="s">
        <v>48</v>
      </c>
      <c r="P334" s="322">
        <v>0.1</v>
      </c>
      <c r="Q334" s="357" t="str">
        <f>IFERROR(VLOOKUP(F334,'Cadastro de assessores'!A:B,2,FALSE),"Não Cadastrado")</f>
        <v>17573</v>
      </c>
      <c r="R334" s="391" t="s">
        <v>147</v>
      </c>
      <c r="S334" s="397">
        <v>43649.0</v>
      </c>
      <c r="T334" s="399" t="s">
        <v>2589</v>
      </c>
      <c r="U334" s="41"/>
      <c r="V334" s="45" t="s">
        <v>108</v>
      </c>
      <c r="W334" s="400" t="s">
        <v>3447</v>
      </c>
      <c r="X334" s="357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119</v>
      </c>
      <c r="AC334" s="95"/>
      <c r="AD334" s="357" t="s">
        <v>3123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1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1"/>
      <c r="BF334" s="171">
        <v>0.0</v>
      </c>
      <c r="BG334" s="171">
        <v>0.0</v>
      </c>
      <c r="BH334" s="171">
        <v>0.0</v>
      </c>
      <c r="BI334" s="327" t="s">
        <v>2566</v>
      </c>
      <c r="BJ334" s="327">
        <v>0.0</v>
      </c>
      <c r="BK334" s="327" t="s">
        <v>2566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  <c r="CI334" s="329"/>
    </row>
    <row r="335" ht="15.75" customHeight="1">
      <c r="A335" s="317" t="s">
        <v>2547</v>
      </c>
      <c r="B335" s="395" t="s">
        <v>3448</v>
      </c>
      <c r="C335" s="396" t="s">
        <v>3449</v>
      </c>
      <c r="D335" s="319" t="s">
        <v>105</v>
      </c>
      <c r="E335" s="319" t="s">
        <v>29</v>
      </c>
      <c r="F335" s="357" t="s">
        <v>3450</v>
      </c>
      <c r="G335" s="44" t="str">
        <f t="shared" si="1"/>
        <v>Augusto</v>
      </c>
      <c r="H335" s="165" t="s">
        <v>147</v>
      </c>
      <c r="I335" s="51" t="s">
        <v>219</v>
      </c>
      <c r="J335" s="319" t="str">
        <f t="shared" si="2"/>
        <v>Não</v>
      </c>
      <c r="K335" s="397"/>
      <c r="L335" s="357"/>
      <c r="M335" s="95" t="s">
        <v>79</v>
      </c>
      <c r="N335" s="398">
        <v>0.012</v>
      </c>
      <c r="O335" s="319" t="s">
        <v>2552</v>
      </c>
      <c r="P335" s="322">
        <v>0.0</v>
      </c>
      <c r="Q335" s="357">
        <f>IFERROR(VLOOKUP(F335,'Cadastro de assessores'!A:B,2,FALSE),"Não Cadastrado")</f>
        <v>12363</v>
      </c>
      <c r="R335" s="95"/>
      <c r="S335" s="397"/>
      <c r="T335" s="399"/>
      <c r="U335" s="399"/>
      <c r="V335" s="45" t="s">
        <v>108</v>
      </c>
      <c r="W335" s="400" t="s">
        <v>3451</v>
      </c>
      <c r="X335" s="357"/>
      <c r="Y335" s="51" t="str">
        <f t="shared" si="3"/>
        <v>Inativo</v>
      </c>
      <c r="Z335" s="325"/>
      <c r="AA335" s="95" t="str">
        <f t="shared" si="7"/>
        <v/>
      </c>
      <c r="AB335" s="13" t="s">
        <v>119</v>
      </c>
      <c r="AC335" s="95"/>
      <c r="AD335" s="357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1"/>
      <c r="AY335" s="327"/>
      <c r="AZ335" s="327"/>
      <c r="BA335" s="327"/>
      <c r="BB335" s="327"/>
      <c r="BC335" s="327"/>
      <c r="BD335" s="327"/>
      <c r="BE335" s="171"/>
      <c r="BF335" s="171"/>
      <c r="BG335" s="171"/>
      <c r="BH335" s="171"/>
      <c r="BI335" s="327"/>
      <c r="BJ335" s="327"/>
      <c r="BK335" s="327" t="s">
        <v>2566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  <c r="CI335" s="329"/>
    </row>
    <row r="336" ht="15.75" customHeight="1">
      <c r="A336" s="317" t="s">
        <v>2547</v>
      </c>
      <c r="B336" s="368" t="s">
        <v>3452</v>
      </c>
      <c r="C336" s="331" t="s">
        <v>3453</v>
      </c>
      <c r="D336" s="319" t="s">
        <v>18</v>
      </c>
      <c r="E336" s="319" t="s">
        <v>176</v>
      </c>
      <c r="F336" s="95" t="s">
        <v>177</v>
      </c>
      <c r="G336" s="44" t="str">
        <f t="shared" si="1"/>
        <v>Augusto</v>
      </c>
      <c r="H336" s="332" t="s">
        <v>186</v>
      </c>
      <c r="I336" s="46" t="s">
        <v>24</v>
      </c>
      <c r="J336" s="319" t="str">
        <f t="shared" si="2"/>
        <v>Não</v>
      </c>
      <c r="K336" s="333">
        <v>44278.0</v>
      </c>
      <c r="L336" s="333">
        <v>44322.0</v>
      </c>
      <c r="M336" s="95" t="s">
        <v>47</v>
      </c>
      <c r="N336" s="334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2563</v>
      </c>
      <c r="S336" s="333">
        <v>44278.0</v>
      </c>
      <c r="T336" s="169"/>
      <c r="U336" s="169"/>
      <c r="V336" s="45" t="s">
        <v>369</v>
      </c>
      <c r="W336" s="13" t="s">
        <v>3454</v>
      </c>
      <c r="X336" s="164" t="s">
        <v>180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2609</v>
      </c>
      <c r="AE336" s="337"/>
      <c r="AF336" s="337"/>
      <c r="AG336" s="337"/>
      <c r="AH336" s="337"/>
      <c r="AI336" s="337"/>
      <c r="AJ336" s="337"/>
      <c r="AK336" s="337"/>
      <c r="AL336" s="337"/>
      <c r="AM336" s="337"/>
      <c r="AN336" s="337"/>
      <c r="AO336" s="337"/>
      <c r="AP336" s="337"/>
      <c r="AQ336" s="337"/>
      <c r="AR336" s="171"/>
      <c r="AS336" s="171">
        <v>902992.55</v>
      </c>
      <c r="AT336" s="171">
        <v>638974.92</v>
      </c>
      <c r="AU336" s="171">
        <v>432462.17</v>
      </c>
      <c r="AV336" s="171">
        <v>19321.39</v>
      </c>
      <c r="AW336" s="171"/>
      <c r="AX336" s="337"/>
      <c r="AY336" s="337"/>
      <c r="AZ336" s="337"/>
      <c r="BA336" s="171"/>
      <c r="BB336" s="171"/>
      <c r="BC336" s="171"/>
      <c r="BD336" s="171"/>
      <c r="BE336" s="171"/>
      <c r="BF336" s="171">
        <v>0.0</v>
      </c>
      <c r="BG336" s="171">
        <v>0.0</v>
      </c>
      <c r="BH336" s="171">
        <v>0.0</v>
      </c>
      <c r="BI336" s="171" t="s">
        <v>2566</v>
      </c>
      <c r="BJ336" s="171">
        <v>0.0</v>
      </c>
      <c r="BK336" s="171" t="s">
        <v>2566</v>
      </c>
      <c r="BL336" s="171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  <c r="CI336" s="329"/>
    </row>
    <row r="337" ht="15.75" customHeight="1">
      <c r="A337" s="317" t="s">
        <v>2547</v>
      </c>
      <c r="B337" s="235" t="s">
        <v>3455</v>
      </c>
      <c r="C337" s="219" t="s">
        <v>3456</v>
      </c>
      <c r="D337" s="319" t="s">
        <v>18</v>
      </c>
      <c r="E337" s="319" t="s">
        <v>176</v>
      </c>
      <c r="F337" s="319" t="s">
        <v>197</v>
      </c>
      <c r="G337" s="44" t="str">
        <f t="shared" si="1"/>
        <v>Augusto</v>
      </c>
      <c r="H337" s="165" t="s">
        <v>147</v>
      </c>
      <c r="I337" s="51" t="s">
        <v>219</v>
      </c>
      <c r="J337" s="319" t="str">
        <f t="shared" si="2"/>
        <v>Não</v>
      </c>
      <c r="K337" s="320">
        <v>44280.0</v>
      </c>
      <c r="L337" s="45"/>
      <c r="M337" s="95" t="s">
        <v>55</v>
      </c>
      <c r="N337" s="321">
        <v>0.007</v>
      </c>
      <c r="O337" s="319" t="s">
        <v>2552</v>
      </c>
      <c r="P337" s="322">
        <v>0.0</v>
      </c>
      <c r="Q337" s="319" t="str">
        <f>IFERROR(VLOOKUP(F337,'Cadastro de assessores'!A:B,2,FALSE),"Não Cadastrado")</f>
        <v>28411</v>
      </c>
      <c r="R337" s="319" t="s">
        <v>107</v>
      </c>
      <c r="S337" s="320">
        <v>44238.0</v>
      </c>
      <c r="T337" s="63"/>
      <c r="U337" s="169" t="s">
        <v>2927</v>
      </c>
      <c r="V337" s="45" t="s">
        <v>369</v>
      </c>
      <c r="W337" s="13" t="s">
        <v>3457</v>
      </c>
      <c r="X337" s="164" t="s">
        <v>180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119</v>
      </c>
      <c r="AC337" s="95"/>
      <c r="AD337" s="95" t="s">
        <v>2769</v>
      </c>
      <c r="AE337" s="337"/>
      <c r="AF337" s="337"/>
      <c r="AG337" s="337"/>
      <c r="AH337" s="337"/>
      <c r="AI337" s="337"/>
      <c r="AJ337" s="337"/>
      <c r="AK337" s="337"/>
      <c r="AL337" s="337"/>
      <c r="AM337" s="337"/>
      <c r="AN337" s="337"/>
      <c r="AO337" s="337"/>
      <c r="AP337" s="337"/>
      <c r="AQ337" s="337"/>
      <c r="AR337" s="171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1">
        <v>652020.47</v>
      </c>
      <c r="AY337" s="171">
        <v>706243.54</v>
      </c>
      <c r="AZ337" s="171">
        <v>734919.45</v>
      </c>
      <c r="BA337" s="171">
        <v>715827.76</v>
      </c>
      <c r="BB337" s="171">
        <v>686011.65</v>
      </c>
      <c r="BC337" s="171">
        <v>771240.46</v>
      </c>
      <c r="BD337" s="171">
        <v>771968.7</v>
      </c>
      <c r="BE337" s="171">
        <v>794167.88</v>
      </c>
      <c r="BF337" s="171">
        <v>805984.03</v>
      </c>
      <c r="BG337" s="171">
        <v>839673.71</v>
      </c>
      <c r="BH337" s="171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  <c r="CI337" s="329"/>
    </row>
    <row r="338" ht="15.75" customHeight="1">
      <c r="A338" s="317" t="s">
        <v>2547</v>
      </c>
      <c r="B338" s="61" t="s">
        <v>3458</v>
      </c>
      <c r="C338" s="330" t="s">
        <v>3459</v>
      </c>
      <c r="D338" s="319" t="s">
        <v>18</v>
      </c>
      <c r="E338" s="319" t="s">
        <v>176</v>
      </c>
      <c r="F338" s="95" t="s">
        <v>177</v>
      </c>
      <c r="G338" s="44" t="str">
        <f t="shared" si="1"/>
        <v>Augusto</v>
      </c>
      <c r="H338" s="165" t="s">
        <v>107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190</v>
      </c>
      <c r="N338" s="321">
        <v>0.025</v>
      </c>
      <c r="O338" s="319" t="s">
        <v>191</v>
      </c>
      <c r="P338" s="322">
        <v>0.2</v>
      </c>
      <c r="Q338" s="319"/>
      <c r="R338" s="319"/>
      <c r="S338" s="72"/>
      <c r="T338" s="169"/>
      <c r="U338" s="169"/>
      <c r="V338" s="45" t="s">
        <v>108</v>
      </c>
      <c r="W338" s="5" t="s">
        <v>3460</v>
      </c>
      <c r="X338" s="5" t="s">
        <v>180</v>
      </c>
      <c r="Y338" s="51" t="str">
        <f t="shared" si="3"/>
        <v>Ativo</v>
      </c>
      <c r="Z338" s="325"/>
      <c r="AA338" s="95" t="str">
        <f t="shared" si="7"/>
        <v/>
      </c>
      <c r="AB338" s="13" t="s">
        <v>119</v>
      </c>
      <c r="AC338" s="95"/>
      <c r="AD338" s="95"/>
      <c r="AE338" s="337"/>
      <c r="AF338" s="337"/>
      <c r="AG338" s="337"/>
      <c r="AH338" s="337"/>
      <c r="AI338" s="337"/>
      <c r="AJ338" s="337"/>
      <c r="AK338" s="337"/>
      <c r="AL338" s="337"/>
      <c r="AM338" s="337"/>
      <c r="AN338" s="337"/>
      <c r="AO338" s="337"/>
      <c r="AP338" s="337"/>
      <c r="AQ338" s="337"/>
      <c r="AR338" s="171"/>
      <c r="AS338" s="326"/>
      <c r="AT338" s="326"/>
      <c r="AU338" s="326"/>
      <c r="AV338" s="326"/>
      <c r="AW338" s="326"/>
      <c r="AX338" s="171"/>
      <c r="AY338" s="171"/>
      <c r="AZ338" s="171"/>
      <c r="BA338" s="171"/>
      <c r="BB338" s="171"/>
      <c r="BC338" s="171"/>
      <c r="BD338" s="171"/>
      <c r="BE338" s="171"/>
      <c r="BF338" s="171"/>
      <c r="BG338" s="171"/>
      <c r="BH338" s="171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  <c r="CI338" s="329"/>
    </row>
    <row r="339" ht="15.75" customHeight="1">
      <c r="A339" s="317" t="s">
        <v>2547</v>
      </c>
      <c r="B339" s="61" t="s">
        <v>3458</v>
      </c>
      <c r="C339" s="330" t="s">
        <v>3461</v>
      </c>
      <c r="D339" s="319" t="s">
        <v>18</v>
      </c>
      <c r="E339" s="319" t="s">
        <v>176</v>
      </c>
      <c r="F339" s="95" t="s">
        <v>177</v>
      </c>
      <c r="G339" s="44" t="str">
        <f t="shared" si="1"/>
        <v>Breno</v>
      </c>
      <c r="H339" s="165" t="s">
        <v>107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79</v>
      </c>
      <c r="N339" s="321">
        <v>0.012</v>
      </c>
      <c r="O339" s="319" t="s">
        <v>2552</v>
      </c>
      <c r="P339" s="322">
        <v>0.0</v>
      </c>
      <c r="Q339" s="319" t="str">
        <f>IFERROR(VLOOKUP(F339,'Cadastro de assessores'!A:B,2,FALSE),"Não Cadastrado")</f>
        <v>250</v>
      </c>
      <c r="R339" s="319" t="s">
        <v>107</v>
      </c>
      <c r="S339" s="72">
        <v>44644.0</v>
      </c>
      <c r="T339" s="169"/>
      <c r="U339" s="169"/>
      <c r="V339" s="45" t="s">
        <v>108</v>
      </c>
      <c r="W339" s="5" t="s">
        <v>3460</v>
      </c>
      <c r="X339" s="164" t="s">
        <v>180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119</v>
      </c>
      <c r="AC339" s="95"/>
      <c r="AD339" s="95" t="s">
        <v>2609</v>
      </c>
      <c r="AE339" s="337"/>
      <c r="AF339" s="337"/>
      <c r="AG339" s="337"/>
      <c r="AH339" s="337"/>
      <c r="AI339" s="337"/>
      <c r="AJ339" s="337"/>
      <c r="AK339" s="337"/>
      <c r="AL339" s="337"/>
      <c r="AM339" s="337"/>
      <c r="AN339" s="337"/>
      <c r="AO339" s="337"/>
      <c r="AP339" s="337"/>
      <c r="AQ339" s="337"/>
      <c r="AR339" s="171"/>
      <c r="AS339" s="326"/>
      <c r="AT339" s="326"/>
      <c r="AU339" s="326"/>
      <c r="AV339" s="326"/>
      <c r="AW339" s="326"/>
      <c r="AX339" s="171"/>
      <c r="AY339" s="171"/>
      <c r="AZ339" s="171"/>
      <c r="BA339" s="171"/>
      <c r="BB339" s="171"/>
      <c r="BC339" s="171"/>
      <c r="BD339" s="171"/>
      <c r="BE339" s="171"/>
      <c r="BF339" s="171"/>
      <c r="BG339" s="171">
        <v>615955.51</v>
      </c>
      <c r="BH339" s="171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  <c r="CI339" s="329"/>
    </row>
    <row r="340" ht="15.75" customHeight="1">
      <c r="A340" s="402" t="s">
        <v>2547</v>
      </c>
      <c r="B340" s="55" t="s">
        <v>3458</v>
      </c>
      <c r="C340" s="21" t="s">
        <v>3462</v>
      </c>
      <c r="D340" s="324" t="s">
        <v>18</v>
      </c>
      <c r="E340" s="324" t="s">
        <v>176</v>
      </c>
      <c r="F340" s="95" t="s">
        <v>177</v>
      </c>
      <c r="G340" s="44" t="str">
        <f t="shared" si="1"/>
        <v>Augusto</v>
      </c>
      <c r="H340" s="332" t="s">
        <v>107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389</v>
      </c>
      <c r="N340" s="382">
        <v>0.005</v>
      </c>
      <c r="O340" s="324" t="s">
        <v>2552</v>
      </c>
      <c r="P340" s="383">
        <v>0.0</v>
      </c>
      <c r="Q340" s="319"/>
      <c r="R340" s="319"/>
      <c r="S340" s="72"/>
      <c r="T340" s="169"/>
      <c r="U340" s="336" t="s">
        <v>3463</v>
      </c>
      <c r="V340" s="24" t="s">
        <v>108</v>
      </c>
      <c r="W340" s="5" t="s">
        <v>3460</v>
      </c>
      <c r="X340" s="164" t="s">
        <v>180</v>
      </c>
      <c r="Y340" s="51" t="str">
        <f t="shared" si="3"/>
        <v>Inativo</v>
      </c>
      <c r="Z340" s="325"/>
      <c r="AA340" s="95"/>
      <c r="AB340" s="13" t="s">
        <v>119</v>
      </c>
      <c r="AC340" s="95"/>
      <c r="AD340" s="95"/>
      <c r="AE340" s="337"/>
      <c r="AF340" s="337"/>
      <c r="AG340" s="337"/>
      <c r="AH340" s="337"/>
      <c r="AI340" s="337"/>
      <c r="AJ340" s="337"/>
      <c r="AK340" s="337"/>
      <c r="AL340" s="337"/>
      <c r="AM340" s="337"/>
      <c r="AN340" s="337"/>
      <c r="AO340" s="337"/>
      <c r="AP340" s="337"/>
      <c r="AQ340" s="337"/>
      <c r="AR340" s="171"/>
      <c r="AS340" s="326"/>
      <c r="AT340" s="326"/>
      <c r="AU340" s="326"/>
      <c r="AV340" s="326"/>
      <c r="AW340" s="326"/>
      <c r="AX340" s="171"/>
      <c r="AY340" s="171"/>
      <c r="AZ340" s="171"/>
      <c r="BA340" s="171"/>
      <c r="BB340" s="171"/>
      <c r="BC340" s="171"/>
      <c r="BD340" s="171"/>
      <c r="BE340" s="171"/>
      <c r="BF340" s="171"/>
      <c r="BG340" s="171"/>
      <c r="BH340" s="171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  <c r="CI340" s="329"/>
    </row>
    <row r="341" ht="15.75" customHeight="1">
      <c r="A341" s="317" t="s">
        <v>2547</v>
      </c>
      <c r="B341" s="239" t="s">
        <v>3464</v>
      </c>
      <c r="C341" s="331" t="s">
        <v>3465</v>
      </c>
      <c r="D341" s="319" t="s">
        <v>2550</v>
      </c>
      <c r="E341" s="319" t="s">
        <v>29</v>
      </c>
      <c r="F341" s="95" t="s">
        <v>2562</v>
      </c>
      <c r="G341" s="44" t="str">
        <f t="shared" si="1"/>
        <v>Augusto</v>
      </c>
      <c r="H341" s="332" t="s">
        <v>186</v>
      </c>
      <c r="I341" s="46" t="s">
        <v>24</v>
      </c>
      <c r="J341" s="319" t="str">
        <f t="shared" si="2"/>
        <v>Não</v>
      </c>
      <c r="K341" s="333">
        <v>43607.0</v>
      </c>
      <c r="L341" s="333">
        <v>44448.0</v>
      </c>
      <c r="M341" s="95" t="s">
        <v>47</v>
      </c>
      <c r="N341" s="334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2563</v>
      </c>
      <c r="S341" s="333">
        <v>43607.0</v>
      </c>
      <c r="T341" s="169"/>
      <c r="U341" s="74"/>
      <c r="V341" s="45" t="s">
        <v>108</v>
      </c>
      <c r="W341" s="13" t="s">
        <v>3466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2942</v>
      </c>
      <c r="AE341" s="171">
        <v>1036574.26</v>
      </c>
      <c r="AF341" s="171">
        <v>1008979.05</v>
      </c>
      <c r="AG341" s="171">
        <v>962090.78</v>
      </c>
      <c r="AH341" s="171">
        <v>976628.06</v>
      </c>
      <c r="AI341" s="171">
        <v>984391.65</v>
      </c>
      <c r="AJ341" s="171">
        <v>813260.29</v>
      </c>
      <c r="AK341" s="171">
        <v>829766.98</v>
      </c>
      <c r="AL341" s="171">
        <v>820529.95</v>
      </c>
      <c r="AM341" s="171">
        <v>811723.72</v>
      </c>
      <c r="AN341" s="171">
        <v>534566.21</v>
      </c>
      <c r="AO341" s="171">
        <v>549357.25</v>
      </c>
      <c r="AP341" s="171">
        <v>558000.06</v>
      </c>
      <c r="AQ341" s="171">
        <v>553644.42</v>
      </c>
      <c r="AR341" s="171">
        <v>545049.51</v>
      </c>
      <c r="AS341" s="171">
        <v>546450.87</v>
      </c>
      <c r="AT341" s="171">
        <v>548553.21</v>
      </c>
      <c r="AU341" s="171">
        <v>566018.01</v>
      </c>
      <c r="AV341" s="171">
        <v>553823.97</v>
      </c>
      <c r="AW341" s="171">
        <v>560239.4</v>
      </c>
      <c r="AX341" s="171">
        <v>560039.44</v>
      </c>
      <c r="AY341" s="171">
        <v>558892.47</v>
      </c>
      <c r="AZ341" s="171">
        <v>555581.44</v>
      </c>
      <c r="BA341" s="171">
        <v>552879.15</v>
      </c>
      <c r="BB341" s="171"/>
      <c r="BC341" s="171"/>
      <c r="BD341" s="171"/>
      <c r="BE341" s="171"/>
      <c r="BF341" s="171">
        <v>0.0</v>
      </c>
      <c r="BG341" s="171">
        <v>0.0</v>
      </c>
      <c r="BH341" s="171">
        <v>0.0</v>
      </c>
      <c r="BI341" s="339" t="s">
        <v>2566</v>
      </c>
      <c r="BJ341" s="171">
        <v>0.0</v>
      </c>
      <c r="BK341" s="171" t="s">
        <v>2566</v>
      </c>
      <c r="BL341" s="171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  <c r="CI341" s="329"/>
    </row>
    <row r="342" ht="15.75" customHeight="1">
      <c r="A342" s="317" t="s">
        <v>2547</v>
      </c>
      <c r="B342" s="61" t="s">
        <v>2151</v>
      </c>
      <c r="C342" s="330" t="s">
        <v>3467</v>
      </c>
      <c r="D342" s="319" t="s">
        <v>18</v>
      </c>
      <c r="E342" s="319" t="s">
        <v>176</v>
      </c>
      <c r="F342" s="319" t="s">
        <v>177</v>
      </c>
      <c r="G342" s="44" t="str">
        <f t="shared" si="1"/>
        <v>Augusto</v>
      </c>
      <c r="H342" s="165" t="s">
        <v>147</v>
      </c>
      <c r="I342" s="51" t="s">
        <v>219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107</v>
      </c>
      <c r="S342" s="320">
        <v>44595.0</v>
      </c>
      <c r="T342" s="74"/>
      <c r="U342" s="169" t="s">
        <v>3468</v>
      </c>
      <c r="V342" s="45" t="s">
        <v>108</v>
      </c>
      <c r="W342" s="5" t="s">
        <v>2153</v>
      </c>
      <c r="X342" s="164" t="s">
        <v>180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119</v>
      </c>
      <c r="AC342" s="95"/>
      <c r="AD342" s="95" t="s">
        <v>2609</v>
      </c>
      <c r="AE342" s="337"/>
      <c r="AF342" s="337"/>
      <c r="AG342" s="337"/>
      <c r="AH342" s="337"/>
      <c r="AI342" s="337"/>
      <c r="AJ342" s="337"/>
      <c r="AK342" s="337"/>
      <c r="AL342" s="337"/>
      <c r="AM342" s="337"/>
      <c r="AN342" s="337"/>
      <c r="AO342" s="337"/>
      <c r="AP342" s="337"/>
      <c r="AQ342" s="337"/>
      <c r="AR342" s="171"/>
      <c r="AS342" s="326"/>
      <c r="AT342" s="326"/>
      <c r="AU342" s="326"/>
      <c r="AV342" s="326"/>
      <c r="AW342" s="326"/>
      <c r="AX342" s="171"/>
      <c r="AY342" s="171"/>
      <c r="AZ342" s="171"/>
      <c r="BA342" s="171"/>
      <c r="BB342" s="171"/>
      <c r="BC342" s="171"/>
      <c r="BD342" s="171"/>
      <c r="BE342" s="171"/>
      <c r="BF342" s="171">
        <v>89854.71</v>
      </c>
      <c r="BG342" s="171">
        <v>93377.16</v>
      </c>
      <c r="BH342" s="171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  <c r="CI342" s="329"/>
    </row>
    <row r="343" ht="15.75" customHeight="1">
      <c r="A343" s="317" t="s">
        <v>2547</v>
      </c>
      <c r="B343" s="61" t="s">
        <v>2151</v>
      </c>
      <c r="C343" s="330" t="s">
        <v>3469</v>
      </c>
      <c r="D343" s="319" t="s">
        <v>18</v>
      </c>
      <c r="E343" s="319" t="s">
        <v>176</v>
      </c>
      <c r="F343" s="319" t="s">
        <v>177</v>
      </c>
      <c r="G343" s="44" t="str">
        <f t="shared" si="1"/>
        <v>Augusto</v>
      </c>
      <c r="H343" s="165" t="s">
        <v>147</v>
      </c>
      <c r="I343" s="51" t="s">
        <v>219</v>
      </c>
      <c r="J343" s="319" t="str">
        <f t="shared" si="2"/>
        <v>Não</v>
      </c>
      <c r="K343" s="319"/>
      <c r="L343" s="45"/>
      <c r="M343" s="45" t="s">
        <v>2914</v>
      </c>
      <c r="N343" s="321">
        <v>0.01</v>
      </c>
      <c r="O343" s="319" t="s">
        <v>2552</v>
      </c>
      <c r="P343" s="322">
        <v>0.0</v>
      </c>
      <c r="Q343" s="319" t="str">
        <f>IFERROR(VLOOKUP(F343,'Cadastro de assessores'!A:B,2,FALSE),"Não Cadastrado")</f>
        <v>250</v>
      </c>
      <c r="R343" s="319" t="s">
        <v>2600</v>
      </c>
      <c r="S343" s="95" t="s">
        <v>2600</v>
      </c>
      <c r="T343" s="169"/>
      <c r="U343" s="169"/>
      <c r="V343" s="45" t="s">
        <v>108</v>
      </c>
      <c r="W343" s="5" t="s">
        <v>2153</v>
      </c>
      <c r="X343" s="164" t="s">
        <v>180</v>
      </c>
      <c r="Y343" s="51" t="str">
        <f t="shared" si="3"/>
        <v>Inativo</v>
      </c>
      <c r="Z343" s="325"/>
      <c r="AA343" s="95" t="str">
        <f t="shared" si="8"/>
        <v/>
      </c>
      <c r="AB343" s="13" t="s">
        <v>110</v>
      </c>
      <c r="AC343" s="95"/>
      <c r="AD343" s="95" t="s">
        <v>2609</v>
      </c>
      <c r="AE343" s="337"/>
      <c r="AF343" s="337"/>
      <c r="AG343" s="337"/>
      <c r="AH343" s="337"/>
      <c r="AI343" s="337"/>
      <c r="AJ343" s="337"/>
      <c r="AK343" s="337"/>
      <c r="AL343" s="337"/>
      <c r="AM343" s="337"/>
      <c r="AN343" s="337"/>
      <c r="AO343" s="337"/>
      <c r="AP343" s="337"/>
      <c r="AQ343" s="337"/>
      <c r="AR343" s="171"/>
      <c r="AS343" s="326"/>
      <c r="AT343" s="326"/>
      <c r="AU343" s="326"/>
      <c r="AV343" s="326"/>
      <c r="AW343" s="326"/>
      <c r="AX343" s="171"/>
      <c r="AY343" s="171"/>
      <c r="AZ343" s="171"/>
      <c r="BA343" s="171"/>
      <c r="BB343" s="171"/>
      <c r="BC343" s="171"/>
      <c r="BD343" s="171"/>
      <c r="BE343" s="171"/>
      <c r="BF343" s="171">
        <v>0.0</v>
      </c>
      <c r="BG343" s="171">
        <v>0.0</v>
      </c>
      <c r="BH343" s="171">
        <v>0.0</v>
      </c>
      <c r="BI343" s="327" t="s">
        <v>2566</v>
      </c>
      <c r="BJ343" s="327">
        <v>0.0</v>
      </c>
      <c r="BK343" s="327" t="s">
        <v>2566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  <c r="CI343" s="329"/>
    </row>
    <row r="344" ht="15.75" customHeight="1">
      <c r="A344" s="317" t="s">
        <v>2547</v>
      </c>
      <c r="B344" s="235" t="s">
        <v>3470</v>
      </c>
      <c r="C344" s="331" t="s">
        <v>3471</v>
      </c>
      <c r="D344" s="319" t="s">
        <v>2659</v>
      </c>
      <c r="E344" s="319" t="s">
        <v>29</v>
      </c>
      <c r="F344" s="95" t="s">
        <v>2659</v>
      </c>
      <c r="G344" s="44" t="str">
        <f t="shared" si="1"/>
        <v>Augusto</v>
      </c>
      <c r="H344" s="332" t="s">
        <v>186</v>
      </c>
      <c r="I344" s="46" t="s">
        <v>24</v>
      </c>
      <c r="J344" s="319" t="str">
        <f t="shared" si="2"/>
        <v>Não</v>
      </c>
      <c r="K344" s="333">
        <v>43990.0</v>
      </c>
      <c r="L344" s="333">
        <v>44425.0</v>
      </c>
      <c r="M344" s="95" t="s">
        <v>190</v>
      </c>
      <c r="N344" s="334">
        <v>0.025</v>
      </c>
      <c r="O344" s="319" t="s">
        <v>191</v>
      </c>
      <c r="P344" s="322">
        <v>0.2</v>
      </c>
      <c r="Q344" s="95" t="str">
        <f>IFERROR(VLOOKUP(F344,'Cadastro de assessores'!A:B,2,FALSE),"Não Cadastrado")</f>
        <v>22400</v>
      </c>
      <c r="R344" s="95" t="s">
        <v>2563</v>
      </c>
      <c r="S344" s="333">
        <v>43990.0</v>
      </c>
      <c r="T344" s="169"/>
      <c r="U344" s="169"/>
      <c r="V344" s="45" t="s">
        <v>108</v>
      </c>
      <c r="W344" s="13" t="s">
        <v>3472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3473</v>
      </c>
      <c r="AE344" s="171">
        <v>0.0</v>
      </c>
      <c r="AF344" s="171">
        <v>0.0</v>
      </c>
      <c r="AG344" s="171">
        <v>0.0</v>
      </c>
      <c r="AH344" s="171">
        <v>0.0</v>
      </c>
      <c r="AI344" s="171">
        <v>53304.93</v>
      </c>
      <c r="AJ344" s="171">
        <v>93660.76</v>
      </c>
      <c r="AK344" s="171">
        <v>112000.61</v>
      </c>
      <c r="AL344" s="171">
        <v>104193.81</v>
      </c>
      <c r="AM344" s="171">
        <v>97925.58</v>
      </c>
      <c r="AN344" s="171">
        <v>99160.52</v>
      </c>
      <c r="AO344" s="171">
        <v>113097.3</v>
      </c>
      <c r="AP344" s="171">
        <v>116761.44</v>
      </c>
      <c r="AQ344" s="171">
        <v>111357.92</v>
      </c>
      <c r="AR344" s="171">
        <v>104711.64</v>
      </c>
      <c r="AS344" s="171">
        <v>102348.31</v>
      </c>
      <c r="AT344" s="171">
        <v>110108.2</v>
      </c>
      <c r="AU344" s="171">
        <v>110017.32</v>
      </c>
      <c r="AV344" s="171">
        <v>110842.62</v>
      </c>
      <c r="AW344" s="171">
        <v>115578.85</v>
      </c>
      <c r="AX344" s="171">
        <v>114235.82</v>
      </c>
      <c r="AY344" s="171">
        <v>110571.37</v>
      </c>
      <c r="AZ344" s="171">
        <v>104698.62</v>
      </c>
      <c r="BA344" s="171">
        <v>82266.66</v>
      </c>
      <c r="BB344" s="171"/>
      <c r="BC344" s="171"/>
      <c r="BD344" s="171"/>
      <c r="BE344" s="171"/>
      <c r="BF344" s="171">
        <v>0.0</v>
      </c>
      <c r="BG344" s="171">
        <v>0.0</v>
      </c>
      <c r="BH344" s="171">
        <v>0.0</v>
      </c>
      <c r="BI344" s="171" t="s">
        <v>2566</v>
      </c>
      <c r="BJ344" s="171">
        <v>0.0</v>
      </c>
      <c r="BK344" s="171" t="s">
        <v>2566</v>
      </c>
      <c r="BL344" s="171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  <c r="CI344" s="329"/>
    </row>
    <row r="345" ht="15.75" customHeight="1">
      <c r="A345" s="317" t="s">
        <v>2547</v>
      </c>
      <c r="B345" s="42" t="s">
        <v>3474</v>
      </c>
      <c r="C345" s="366" t="s">
        <v>3475</v>
      </c>
      <c r="D345" s="319" t="s">
        <v>18</v>
      </c>
      <c r="E345" s="319" t="s">
        <v>176</v>
      </c>
      <c r="F345" s="95" t="s">
        <v>2634</v>
      </c>
      <c r="G345" s="44" t="str">
        <f t="shared" si="1"/>
        <v>Augusto</v>
      </c>
      <c r="H345" s="332" t="s">
        <v>186</v>
      </c>
      <c r="I345" s="46" t="s">
        <v>24</v>
      </c>
      <c r="J345" s="319" t="str">
        <f t="shared" si="2"/>
        <v>Não</v>
      </c>
      <c r="K345" s="333">
        <v>44322.0</v>
      </c>
      <c r="L345" s="72">
        <v>44634.0</v>
      </c>
      <c r="M345" s="95" t="s">
        <v>79</v>
      </c>
      <c r="N345" s="334">
        <v>0.012</v>
      </c>
      <c r="O345" s="319" t="s">
        <v>2552</v>
      </c>
      <c r="P345" s="322">
        <v>0.0</v>
      </c>
      <c r="Q345" s="95" t="str">
        <f>IFERROR(VLOOKUP(F345,'Cadastro de assessores'!A:B,2,FALSE),"Não Cadastrado")</f>
        <v>22066</v>
      </c>
      <c r="R345" s="95" t="s">
        <v>2563</v>
      </c>
      <c r="S345" s="333">
        <v>44322.0</v>
      </c>
      <c r="T345" s="97"/>
      <c r="U345" s="50" t="s">
        <v>3476</v>
      </c>
      <c r="V345" s="45" t="s">
        <v>108</v>
      </c>
      <c r="W345" s="5" t="s">
        <v>3477</v>
      </c>
      <c r="X345" s="164" t="s">
        <v>180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119</v>
      </c>
      <c r="AC345" s="95"/>
      <c r="AD345" s="95" t="s">
        <v>3039</v>
      </c>
      <c r="AE345" s="191"/>
      <c r="AF345" s="191"/>
      <c r="AG345" s="191"/>
      <c r="AH345" s="191"/>
      <c r="AI345" s="191"/>
      <c r="AJ345" s="191"/>
      <c r="AK345" s="191"/>
      <c r="AL345" s="191"/>
      <c r="AM345" s="191"/>
      <c r="AN345" s="191"/>
      <c r="AO345" s="191"/>
      <c r="AP345" s="191"/>
      <c r="AQ345" s="191"/>
      <c r="AR345" s="171"/>
      <c r="AS345" s="171"/>
      <c r="AT345" s="171"/>
      <c r="AU345" s="171"/>
      <c r="AV345" s="171"/>
      <c r="AW345" s="171">
        <v>115212.58</v>
      </c>
      <c r="AX345" s="171">
        <v>121490.1</v>
      </c>
      <c r="AY345" s="171">
        <v>125887.2</v>
      </c>
      <c r="AZ345" s="171">
        <v>123643.26</v>
      </c>
      <c r="BA345" s="171">
        <v>107050.14</v>
      </c>
      <c r="BB345" s="171">
        <v>117867.2</v>
      </c>
      <c r="BC345" s="171">
        <v>116259.01</v>
      </c>
      <c r="BD345" s="171">
        <v>116143.11</v>
      </c>
      <c r="BE345" s="171">
        <v>117357.67</v>
      </c>
      <c r="BF345" s="171">
        <v>118082.79</v>
      </c>
      <c r="BG345" s="171">
        <v>121123.48</v>
      </c>
      <c r="BH345" s="171">
        <v>211.61</v>
      </c>
      <c r="BI345" s="171" t="s">
        <v>2566</v>
      </c>
      <c r="BJ345" s="171">
        <v>0.0</v>
      </c>
      <c r="BK345" s="171" t="s">
        <v>2566</v>
      </c>
      <c r="BL345" s="171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  <c r="CI345" s="329"/>
    </row>
    <row r="346" ht="15.75" customHeight="1">
      <c r="A346" s="317" t="s">
        <v>2547</v>
      </c>
      <c r="B346" s="235" t="s">
        <v>2174</v>
      </c>
      <c r="C346" s="219" t="s">
        <v>3478</v>
      </c>
      <c r="D346" s="319" t="s">
        <v>18</v>
      </c>
      <c r="E346" s="319" t="s">
        <v>176</v>
      </c>
      <c r="F346" s="319" t="s">
        <v>177</v>
      </c>
      <c r="G346" s="44" t="str">
        <f t="shared" si="1"/>
        <v>Augusto</v>
      </c>
      <c r="H346" s="332" t="s">
        <v>147</v>
      </c>
      <c r="I346" s="51" t="s">
        <v>219</v>
      </c>
      <c r="J346" s="319" t="str">
        <f t="shared" si="2"/>
        <v>Não</v>
      </c>
      <c r="K346" s="320">
        <v>44280.0</v>
      </c>
      <c r="L346" s="45"/>
      <c r="M346" s="95" t="s">
        <v>269</v>
      </c>
      <c r="N346" s="334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107</v>
      </c>
      <c r="S346" s="320">
        <v>44280.0</v>
      </c>
      <c r="T346" s="63"/>
      <c r="U346" s="336" t="s">
        <v>3479</v>
      </c>
      <c r="V346" s="45" t="s">
        <v>108</v>
      </c>
      <c r="W346" s="13" t="s">
        <v>2176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119</v>
      </c>
      <c r="AC346" s="95"/>
      <c r="AD346" s="95" t="s">
        <v>2596</v>
      </c>
      <c r="AE346" s="337"/>
      <c r="AF346" s="337"/>
      <c r="AG346" s="337"/>
      <c r="AH346" s="337"/>
      <c r="AI346" s="337"/>
      <c r="AJ346" s="337"/>
      <c r="AK346" s="337"/>
      <c r="AL346" s="337"/>
      <c r="AM346" s="337"/>
      <c r="AN346" s="337"/>
      <c r="AO346" s="337"/>
      <c r="AP346" s="337"/>
      <c r="AQ346" s="337"/>
      <c r="AR346" s="171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1">
        <v>214149.48</v>
      </c>
      <c r="AY346" s="171">
        <v>161082.44</v>
      </c>
      <c r="AZ346" s="171">
        <v>156449.36</v>
      </c>
      <c r="BA346" s="171">
        <v>133454.28</v>
      </c>
      <c r="BB346" s="171">
        <v>145850.55</v>
      </c>
      <c r="BC346" s="171">
        <v>112475.22</v>
      </c>
      <c r="BD346" s="171">
        <v>112600.64</v>
      </c>
      <c r="BE346" s="171">
        <v>116273.5</v>
      </c>
      <c r="BF346" s="171">
        <v>117074.34</v>
      </c>
      <c r="BG346" s="171">
        <v>123136.74</v>
      </c>
      <c r="BH346" s="171">
        <v>119713.91</v>
      </c>
      <c r="BI346" s="392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  <c r="CI346" s="329"/>
    </row>
    <row r="347" ht="15.75" customHeight="1">
      <c r="A347" s="317" t="s">
        <v>2547</v>
      </c>
      <c r="B347" s="61" t="s">
        <v>2177</v>
      </c>
      <c r="C347" s="330" t="s">
        <v>3480</v>
      </c>
      <c r="D347" s="319" t="s">
        <v>18</v>
      </c>
      <c r="E347" s="319" t="s">
        <v>176</v>
      </c>
      <c r="F347" s="319" t="s">
        <v>197</v>
      </c>
      <c r="G347" s="44" t="str">
        <f t="shared" si="1"/>
        <v>Augusto</v>
      </c>
      <c r="H347" s="332" t="s">
        <v>147</v>
      </c>
      <c r="I347" s="51" t="s">
        <v>219</v>
      </c>
      <c r="J347" s="319" t="str">
        <f t="shared" si="2"/>
        <v>Não</v>
      </c>
      <c r="K347" s="320">
        <v>44615.0</v>
      </c>
      <c r="L347" s="45"/>
      <c r="M347" s="95" t="s">
        <v>79</v>
      </c>
      <c r="N347" s="334">
        <v>0.012</v>
      </c>
      <c r="O347" s="319" t="s">
        <v>2552</v>
      </c>
      <c r="P347" s="322">
        <v>0.0</v>
      </c>
      <c r="Q347" s="319" t="str">
        <f>IFERROR(VLOOKUP(F347,'Cadastro de assessores'!A:B,2,FALSE),"Não Cadastrado")</f>
        <v>28411</v>
      </c>
      <c r="R347" s="319" t="s">
        <v>107</v>
      </c>
      <c r="S347" s="320">
        <v>44615.0</v>
      </c>
      <c r="T347" s="50"/>
      <c r="U347" s="50"/>
      <c r="V347" s="45" t="s">
        <v>108</v>
      </c>
      <c r="W347" s="5" t="s">
        <v>2180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119</v>
      </c>
      <c r="AC347" s="95"/>
      <c r="AD347" s="45" t="s">
        <v>3481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1"/>
      <c r="AP347" s="171"/>
      <c r="AQ347" s="171"/>
      <c r="AR347" s="326"/>
      <c r="AS347" s="326"/>
      <c r="AT347" s="326"/>
      <c r="AU347" s="326"/>
      <c r="AV347" s="326"/>
      <c r="AW347" s="171"/>
      <c r="AX347" s="171"/>
      <c r="AY347" s="171"/>
      <c r="AZ347" s="41"/>
      <c r="BA347" s="171"/>
      <c r="BB347" s="171"/>
      <c r="BC347" s="171"/>
      <c r="BD347" s="171"/>
      <c r="BE347" s="171"/>
      <c r="BF347" s="171">
        <v>169627.77</v>
      </c>
      <c r="BG347" s="171">
        <v>173550.07</v>
      </c>
      <c r="BH347" s="171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  <c r="CI347" s="329"/>
    </row>
    <row r="348" ht="15.75" customHeight="1">
      <c r="A348" s="317" t="s">
        <v>2547</v>
      </c>
      <c r="B348" s="61" t="s">
        <v>3482</v>
      </c>
      <c r="C348" s="93">
        <v>4341602.0</v>
      </c>
      <c r="D348" s="319" t="s">
        <v>18</v>
      </c>
      <c r="E348" s="319" t="s">
        <v>176</v>
      </c>
      <c r="F348" s="93" t="s">
        <v>197</v>
      </c>
      <c r="G348" s="44" t="str">
        <f t="shared" si="1"/>
        <v>Augusto</v>
      </c>
      <c r="H348" s="165" t="s">
        <v>147</v>
      </c>
      <c r="I348" s="51" t="s">
        <v>219</v>
      </c>
      <c r="J348" s="319" t="str">
        <f t="shared" si="2"/>
        <v>Não</v>
      </c>
      <c r="K348" s="72">
        <v>44462.0</v>
      </c>
      <c r="L348" s="45"/>
      <c r="M348" s="95" t="s">
        <v>269</v>
      </c>
      <c r="N348" s="334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107</v>
      </c>
      <c r="S348" s="72">
        <v>44455.0</v>
      </c>
      <c r="T348" s="50"/>
      <c r="U348" s="50"/>
      <c r="V348" s="45" t="s">
        <v>108</v>
      </c>
      <c r="W348" s="5" t="s">
        <v>2180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119</v>
      </c>
      <c r="AC348" s="95"/>
      <c r="AD348" s="45" t="s">
        <v>3483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1"/>
      <c r="AP348" s="171"/>
      <c r="AQ348" s="171"/>
      <c r="AR348" s="326"/>
      <c r="AS348" s="326"/>
      <c r="AT348" s="326"/>
      <c r="AU348" s="326"/>
      <c r="AV348" s="326"/>
      <c r="AW348" s="171"/>
      <c r="AX348" s="171"/>
      <c r="AY348" s="171"/>
      <c r="AZ348" s="41"/>
      <c r="BA348" s="171">
        <v>81783.04</v>
      </c>
      <c r="BB348" s="171">
        <v>89300.47</v>
      </c>
      <c r="BC348" s="171">
        <v>87295.85</v>
      </c>
      <c r="BD348" s="171">
        <v>87554.33</v>
      </c>
      <c r="BE348" s="171">
        <v>90276.18</v>
      </c>
      <c r="BF348" s="171">
        <v>100104.49</v>
      </c>
      <c r="BG348" s="171">
        <v>105945.64</v>
      </c>
      <c r="BH348" s="171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  <c r="CI348" s="329"/>
    </row>
    <row r="349" ht="15.75" customHeight="1">
      <c r="A349" s="317" t="s">
        <v>2547</v>
      </c>
      <c r="B349" s="317" t="s">
        <v>3484</v>
      </c>
      <c r="C349" s="318" t="s">
        <v>3485</v>
      </c>
      <c r="D349" s="319" t="s">
        <v>2659</v>
      </c>
      <c r="E349" s="319" t="s">
        <v>29</v>
      </c>
      <c r="F349" s="319" t="s">
        <v>2659</v>
      </c>
      <c r="G349" s="44" t="str">
        <f t="shared" si="1"/>
        <v>Augusto</v>
      </c>
      <c r="H349" s="165" t="s">
        <v>107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190</v>
      </c>
      <c r="N349" s="321">
        <v>0.01</v>
      </c>
      <c r="O349" s="319" t="s">
        <v>2552</v>
      </c>
      <c r="P349" s="322">
        <v>0.0</v>
      </c>
      <c r="Q349" s="319" t="str">
        <f>IFERROR(VLOOKUP(F349,'Cadastro de assessores'!A:B,2,FALSE),"Não Cadastrado")</f>
        <v>22400</v>
      </c>
      <c r="R349" s="319" t="s">
        <v>107</v>
      </c>
      <c r="S349" s="320">
        <v>43537.0</v>
      </c>
      <c r="T349" s="169"/>
      <c r="U349" s="169"/>
      <c r="V349" s="45" t="s">
        <v>108</v>
      </c>
      <c r="W349" s="324" t="s">
        <v>3486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119</v>
      </c>
      <c r="AC349" s="95"/>
      <c r="AD349" s="95" t="s">
        <v>3487</v>
      </c>
      <c r="AE349" s="171">
        <v>67651.86</v>
      </c>
      <c r="AF349" s="171">
        <v>64436.02</v>
      </c>
      <c r="AG349" s="171">
        <v>49356.19</v>
      </c>
      <c r="AH349" s="171">
        <v>53755.21</v>
      </c>
      <c r="AI349" s="171">
        <v>55454.56</v>
      </c>
      <c r="AJ349" s="171">
        <v>58588.93</v>
      </c>
      <c r="AK349" s="171">
        <v>79830.49</v>
      </c>
      <c r="AL349" s="171">
        <v>74764.62</v>
      </c>
      <c r="AM349" s="171">
        <v>71337.55</v>
      </c>
      <c r="AN349" s="171">
        <v>74234.73</v>
      </c>
      <c r="AO349" s="171">
        <v>85833.22</v>
      </c>
      <c r="AP349" s="171">
        <v>90262.77</v>
      </c>
      <c r="AQ349" s="171">
        <v>86032.05</v>
      </c>
      <c r="AR349" s="171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1">
        <v>85064.17</v>
      </c>
      <c r="AY349" s="171">
        <v>82680.15</v>
      </c>
      <c r="AZ349" s="171">
        <v>79148.57</v>
      </c>
      <c r="BA349" s="171">
        <v>75486.79</v>
      </c>
      <c r="BB349" s="171">
        <v>71241.43</v>
      </c>
      <c r="BC349" s="171">
        <v>69234.64</v>
      </c>
      <c r="BD349" s="171">
        <v>69269.92</v>
      </c>
      <c r="BE349" s="171">
        <v>73315.15</v>
      </c>
      <c r="BF349" s="171">
        <v>74052.72</v>
      </c>
      <c r="BG349" s="171">
        <v>79390.31</v>
      </c>
      <c r="BH349" s="171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  <c r="CI349" s="329"/>
    </row>
    <row r="350" ht="15.75" customHeight="1">
      <c r="A350" s="317" t="s">
        <v>2547</v>
      </c>
      <c r="B350" s="239" t="s">
        <v>3488</v>
      </c>
      <c r="C350" s="331" t="s">
        <v>3489</v>
      </c>
      <c r="D350" s="319" t="s">
        <v>2550</v>
      </c>
      <c r="E350" s="319" t="s">
        <v>29</v>
      </c>
      <c r="F350" s="95" t="s">
        <v>2562</v>
      </c>
      <c r="G350" s="44" t="str">
        <f t="shared" si="1"/>
        <v>Augusto</v>
      </c>
      <c r="H350" s="332" t="s">
        <v>186</v>
      </c>
      <c r="I350" s="46" t="s">
        <v>24</v>
      </c>
      <c r="J350" s="319" t="str">
        <f t="shared" si="2"/>
        <v>Não</v>
      </c>
      <c r="K350" s="333">
        <v>43539.0</v>
      </c>
      <c r="L350" s="72">
        <v>44439.0</v>
      </c>
      <c r="M350" s="95" t="s">
        <v>47</v>
      </c>
      <c r="N350" s="334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2563</v>
      </c>
      <c r="S350" s="333">
        <v>43539.0</v>
      </c>
      <c r="T350" s="169"/>
      <c r="U350" s="169"/>
      <c r="V350" s="45" t="s">
        <v>108</v>
      </c>
      <c r="W350" s="13" t="s">
        <v>3490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2675</v>
      </c>
      <c r="AE350" s="171">
        <v>148013.0</v>
      </c>
      <c r="AF350" s="171">
        <v>148203.34</v>
      </c>
      <c r="AG350" s="171">
        <v>333231.22</v>
      </c>
      <c r="AH350" s="171">
        <v>351736.14</v>
      </c>
      <c r="AI350" s="171">
        <v>358678.55</v>
      </c>
      <c r="AJ350" s="171">
        <v>366821.91</v>
      </c>
      <c r="AK350" s="171">
        <v>394691.32</v>
      </c>
      <c r="AL350" s="171">
        <v>395355.86</v>
      </c>
      <c r="AM350" s="171">
        <v>396231.11</v>
      </c>
      <c r="AN350" s="171">
        <v>401902.5</v>
      </c>
      <c r="AO350" s="171">
        <v>424841.73</v>
      </c>
      <c r="AP350" s="171">
        <v>431268.58</v>
      </c>
      <c r="AQ350" s="171">
        <v>427128.85</v>
      </c>
      <c r="AR350" s="171">
        <v>416729.29</v>
      </c>
      <c r="AS350" s="171">
        <v>418725.44</v>
      </c>
      <c r="AT350" s="171">
        <v>432670.2</v>
      </c>
      <c r="AU350" s="171">
        <v>447614.9</v>
      </c>
      <c r="AV350" s="171">
        <v>449894.71</v>
      </c>
      <c r="AW350" s="171">
        <v>460104.84</v>
      </c>
      <c r="AX350" s="171">
        <v>463097.55</v>
      </c>
      <c r="AY350" s="171">
        <v>397214.14</v>
      </c>
      <c r="AZ350" s="171">
        <v>364487.58</v>
      </c>
      <c r="BA350" s="171">
        <v>244453.69</v>
      </c>
      <c r="BB350" s="171">
        <v>14173.09</v>
      </c>
      <c r="BC350" s="171"/>
      <c r="BD350" s="171"/>
      <c r="BE350" s="171"/>
      <c r="BF350" s="171">
        <v>0.0</v>
      </c>
      <c r="BG350" s="171">
        <v>0.0</v>
      </c>
      <c r="BH350" s="171">
        <v>0.0</v>
      </c>
      <c r="BI350" s="171" t="s">
        <v>2566</v>
      </c>
      <c r="BJ350" s="171">
        <v>0.0</v>
      </c>
      <c r="BK350" s="171" t="s">
        <v>2566</v>
      </c>
      <c r="BL350" s="171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  <c r="CI350" s="329"/>
    </row>
    <row r="351" ht="15.75" customHeight="1">
      <c r="A351" s="317" t="s">
        <v>2547</v>
      </c>
      <c r="B351" s="239" t="s">
        <v>3488</v>
      </c>
      <c r="C351" s="331" t="s">
        <v>3491</v>
      </c>
      <c r="D351" s="319" t="s">
        <v>2550</v>
      </c>
      <c r="E351" s="319" t="s">
        <v>29</v>
      </c>
      <c r="F351" s="95" t="s">
        <v>2562</v>
      </c>
      <c r="G351" s="44" t="str">
        <f t="shared" si="1"/>
        <v>Augusto</v>
      </c>
      <c r="H351" s="332" t="s">
        <v>186</v>
      </c>
      <c r="I351" s="46" t="s">
        <v>24</v>
      </c>
      <c r="J351" s="319" t="str">
        <f t="shared" si="2"/>
        <v>Não</v>
      </c>
      <c r="K351" s="333">
        <v>44397.0</v>
      </c>
      <c r="L351" s="72">
        <v>44439.0</v>
      </c>
      <c r="M351" s="95" t="s">
        <v>194</v>
      </c>
      <c r="N351" s="334">
        <v>0.008</v>
      </c>
      <c r="O351" s="319" t="s">
        <v>2552</v>
      </c>
      <c r="P351" s="322">
        <v>0.0</v>
      </c>
      <c r="Q351" s="95" t="str">
        <f>IFERROR(VLOOKUP(F351,'Cadastro de assessores'!A:B,2,FALSE),"Não Cadastrado")</f>
        <v>2971</v>
      </c>
      <c r="R351" s="95" t="s">
        <v>2563</v>
      </c>
      <c r="S351" s="333">
        <v>44397.0</v>
      </c>
      <c r="T351" s="169"/>
      <c r="U351" s="169"/>
      <c r="V351" s="45" t="s">
        <v>108</v>
      </c>
      <c r="W351" s="13" t="s">
        <v>3490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2675</v>
      </c>
      <c r="AE351" s="171">
        <v>186373.41</v>
      </c>
      <c r="AF351" s="171">
        <v>173865.69</v>
      </c>
      <c r="AG351" s="171">
        <v>6751.6</v>
      </c>
      <c r="AH351" s="171">
        <v>6790.23</v>
      </c>
      <c r="AI351" s="171">
        <v>1511.37</v>
      </c>
      <c r="AJ351" s="171">
        <v>0.0</v>
      </c>
      <c r="AK351" s="171">
        <v>0.0</v>
      </c>
      <c r="AL351" s="337"/>
      <c r="AM351" s="337"/>
      <c r="AN351" s="337"/>
      <c r="AO351" s="337"/>
      <c r="AP351" s="337"/>
      <c r="AQ351" s="337"/>
      <c r="AR351" s="171"/>
      <c r="AS351" s="171"/>
      <c r="AT351" s="171"/>
      <c r="AU351" s="171"/>
      <c r="AV351" s="171"/>
      <c r="AW351" s="171"/>
      <c r="AX351" s="337"/>
      <c r="AY351" s="171">
        <v>40150.79</v>
      </c>
      <c r="AZ351" s="171">
        <v>86320.52</v>
      </c>
      <c r="BA351" s="171">
        <v>649.34</v>
      </c>
      <c r="BB351" s="171"/>
      <c r="BC351" s="171"/>
      <c r="BD351" s="171"/>
      <c r="BE351" s="171"/>
      <c r="BF351" s="171">
        <v>0.0</v>
      </c>
      <c r="BG351" s="171">
        <v>0.0</v>
      </c>
      <c r="BH351" s="171">
        <v>0.0</v>
      </c>
      <c r="BI351" s="171" t="s">
        <v>2566</v>
      </c>
      <c r="BJ351" s="171">
        <v>0.0</v>
      </c>
      <c r="BK351" s="171" t="s">
        <v>2566</v>
      </c>
      <c r="BL351" s="171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  <c r="CI351" s="329"/>
    </row>
    <row r="352" ht="15.75" customHeight="1">
      <c r="A352" s="317" t="s">
        <v>2547</v>
      </c>
      <c r="B352" s="235" t="s">
        <v>3492</v>
      </c>
      <c r="C352" s="219" t="s">
        <v>3493</v>
      </c>
      <c r="D352" s="319" t="s">
        <v>18</v>
      </c>
      <c r="E352" s="319" t="s">
        <v>176</v>
      </c>
      <c r="F352" s="319" t="s">
        <v>197</v>
      </c>
      <c r="G352" s="44" t="str">
        <f t="shared" si="1"/>
        <v>Augusto</v>
      </c>
      <c r="H352" s="332" t="s">
        <v>186</v>
      </c>
      <c r="I352" s="46" t="s">
        <v>24</v>
      </c>
      <c r="J352" s="319" t="str">
        <f t="shared" si="2"/>
        <v>Não</v>
      </c>
      <c r="K352" s="320">
        <v>44280.0</v>
      </c>
      <c r="L352" s="333">
        <v>44809.0</v>
      </c>
      <c r="M352" s="95" t="s">
        <v>190</v>
      </c>
      <c r="N352" s="321">
        <v>0.025</v>
      </c>
      <c r="O352" s="319" t="s">
        <v>191</v>
      </c>
      <c r="P352" s="322">
        <v>0.2</v>
      </c>
      <c r="Q352" s="319" t="str">
        <f>IFERROR(VLOOKUP(F352,'Cadastro de assessores'!A:B,2,FALSE),"Não Cadastrado")</f>
        <v>28411</v>
      </c>
      <c r="R352" s="319" t="s">
        <v>107</v>
      </c>
      <c r="S352" s="320">
        <v>44280.0</v>
      </c>
      <c r="T352" s="169"/>
      <c r="U352" s="169"/>
      <c r="V352" s="45" t="s">
        <v>108</v>
      </c>
      <c r="W352" s="13" t="s">
        <v>3494</v>
      </c>
      <c r="X352" s="164" t="s">
        <v>180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119</v>
      </c>
      <c r="AC352" s="95"/>
      <c r="AD352" s="95" t="s">
        <v>2609</v>
      </c>
      <c r="AE352" s="337"/>
      <c r="AF352" s="337"/>
      <c r="AG352" s="337"/>
      <c r="AH352" s="337"/>
      <c r="AI352" s="337"/>
      <c r="AJ352" s="337"/>
      <c r="AK352" s="337"/>
      <c r="AL352" s="337"/>
      <c r="AM352" s="337"/>
      <c r="AN352" s="337"/>
      <c r="AO352" s="337"/>
      <c r="AP352" s="337"/>
      <c r="AQ352" s="337"/>
      <c r="AR352" s="171"/>
      <c r="AS352" s="326"/>
      <c r="AT352" s="326">
        <v>355880.21</v>
      </c>
      <c r="AU352" s="326"/>
      <c r="AV352" s="326">
        <v>354100.37</v>
      </c>
      <c r="AW352" s="326">
        <v>360998.06</v>
      </c>
      <c r="AX352" s="171">
        <v>361867.68</v>
      </c>
      <c r="AY352" s="171">
        <v>357441.72</v>
      </c>
      <c r="AZ352" s="171">
        <v>347578.95</v>
      </c>
      <c r="BA352" s="171">
        <v>341965.02</v>
      </c>
      <c r="BB352" s="171">
        <v>316515.34</v>
      </c>
      <c r="BC352" s="171">
        <v>305434.72</v>
      </c>
      <c r="BD352" s="171">
        <v>306215.09</v>
      </c>
      <c r="BE352" s="171">
        <v>324082.08</v>
      </c>
      <c r="BF352" s="171">
        <v>325909.17</v>
      </c>
      <c r="BG352" s="171">
        <v>350593.84</v>
      </c>
      <c r="BH352" s="171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  <c r="CI352" s="329"/>
    </row>
    <row r="353" ht="15.75" customHeight="1">
      <c r="A353" s="317" t="s">
        <v>2547</v>
      </c>
      <c r="B353" s="235" t="s">
        <v>3495</v>
      </c>
      <c r="C353" s="331" t="s">
        <v>3496</v>
      </c>
      <c r="D353" s="319" t="s">
        <v>2550</v>
      </c>
      <c r="E353" s="319" t="s">
        <v>29</v>
      </c>
      <c r="F353" s="95" t="s">
        <v>2551</v>
      </c>
      <c r="G353" s="44" t="str">
        <f t="shared" si="1"/>
        <v>Augusto</v>
      </c>
      <c r="H353" s="332" t="s">
        <v>186</v>
      </c>
      <c r="I353" s="46" t="s">
        <v>24</v>
      </c>
      <c r="J353" s="319" t="str">
        <f t="shared" si="2"/>
        <v>Não</v>
      </c>
      <c r="K353" s="333">
        <v>44041.0</v>
      </c>
      <c r="L353" s="333">
        <v>44329.0</v>
      </c>
      <c r="M353" s="95" t="s">
        <v>47</v>
      </c>
      <c r="N353" s="334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2563</v>
      </c>
      <c r="S353" s="333">
        <v>44041.0</v>
      </c>
      <c r="T353" s="169"/>
      <c r="U353" s="169"/>
      <c r="V353" s="45" t="s">
        <v>108</v>
      </c>
      <c r="W353" s="13" t="s">
        <v>3497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2942</v>
      </c>
      <c r="AE353" s="171">
        <v>0.0</v>
      </c>
      <c r="AF353" s="171">
        <v>0.0</v>
      </c>
      <c r="AG353" s="171">
        <v>0.0</v>
      </c>
      <c r="AH353" s="171">
        <v>0.0</v>
      </c>
      <c r="AI353" s="171">
        <v>0.0</v>
      </c>
      <c r="AJ353" s="171">
        <v>0.0</v>
      </c>
      <c r="AK353" s="171">
        <v>7400000.0</v>
      </c>
      <c r="AL353" s="171">
        <v>7219444.13</v>
      </c>
      <c r="AM353" s="171">
        <v>4370936.25</v>
      </c>
      <c r="AN353" s="171">
        <v>3720021.19</v>
      </c>
      <c r="AO353" s="171">
        <v>1499137.42</v>
      </c>
      <c r="AP353" s="171">
        <v>1535657.74</v>
      </c>
      <c r="AQ353" s="171">
        <v>1484268.74</v>
      </c>
      <c r="AR353" s="171">
        <v>469204.16</v>
      </c>
      <c r="AS353" s="171">
        <v>20609.44</v>
      </c>
      <c r="AT353" s="171">
        <v>21118.12</v>
      </c>
      <c r="AU353" s="171">
        <v>17208.62</v>
      </c>
      <c r="AV353" s="171">
        <v>13320.06</v>
      </c>
      <c r="AW353" s="171"/>
      <c r="AX353" s="337"/>
      <c r="AY353" s="337"/>
      <c r="AZ353" s="337"/>
      <c r="BA353" s="171"/>
      <c r="BB353" s="171"/>
      <c r="BC353" s="171"/>
      <c r="BD353" s="171"/>
      <c r="BE353" s="171"/>
      <c r="BF353" s="171">
        <v>0.0</v>
      </c>
      <c r="BG353" s="171">
        <v>0.0</v>
      </c>
      <c r="BH353" s="171">
        <v>0.0</v>
      </c>
      <c r="BI353" s="171" t="s">
        <v>2566</v>
      </c>
      <c r="BJ353" s="171">
        <v>0.0</v>
      </c>
      <c r="BK353" s="171" t="s">
        <v>2566</v>
      </c>
      <c r="BL353" s="171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  <c r="CI353" s="329"/>
    </row>
    <row r="354" ht="15.75" customHeight="1">
      <c r="A354" s="317" t="s">
        <v>2547</v>
      </c>
      <c r="B354" s="61" t="s">
        <v>3498</v>
      </c>
      <c r="C354" s="366" t="s">
        <v>3499</v>
      </c>
      <c r="D354" s="319" t="s">
        <v>18</v>
      </c>
      <c r="E354" s="319" t="s">
        <v>176</v>
      </c>
      <c r="F354" s="164" t="s">
        <v>177</v>
      </c>
      <c r="G354" s="44" t="str">
        <f t="shared" si="1"/>
        <v>Augusto</v>
      </c>
      <c r="H354" s="332" t="s">
        <v>186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4">
        <v>0.015</v>
      </c>
      <c r="O354" s="319" t="s">
        <v>48</v>
      </c>
      <c r="P354" s="322">
        <v>0.1</v>
      </c>
      <c r="Q354" s="164" t="str">
        <f>IFERROR(VLOOKUP(F354,'Cadastro de assessores'!A:B,2,FALSE),"Não Cadastrado")</f>
        <v>250</v>
      </c>
      <c r="R354" s="95" t="s">
        <v>2563</v>
      </c>
      <c r="S354" s="72">
        <v>44411.0</v>
      </c>
      <c r="T354" s="169"/>
      <c r="U354" s="169"/>
      <c r="V354" s="45" t="s">
        <v>108</v>
      </c>
      <c r="W354" s="5" t="s">
        <v>3500</v>
      </c>
      <c r="X354" s="164" t="s">
        <v>180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119</v>
      </c>
      <c r="AC354" s="95"/>
      <c r="AD354" s="95" t="s">
        <v>2609</v>
      </c>
      <c r="AE354" s="234"/>
      <c r="AF354" s="234"/>
      <c r="AG354" s="234"/>
      <c r="AH354" s="234"/>
      <c r="AI354" s="234"/>
      <c r="AJ354" s="234"/>
      <c r="AK354" s="234"/>
      <c r="AL354" s="234"/>
      <c r="AM354" s="234"/>
      <c r="AN354" s="234"/>
      <c r="AO354" s="234"/>
      <c r="AP354" s="171"/>
      <c r="AQ354" s="171"/>
      <c r="AR354" s="171"/>
      <c r="AS354" s="171"/>
      <c r="AT354" s="171"/>
      <c r="AU354" s="171"/>
      <c r="AV354" s="171"/>
      <c r="AW354" s="171"/>
      <c r="AX354" s="191"/>
      <c r="AY354" s="171">
        <v>55888.38</v>
      </c>
      <c r="AZ354" s="171">
        <v>55097.01</v>
      </c>
      <c r="BA354" s="171">
        <v>54804.5</v>
      </c>
      <c r="BB354" s="171">
        <v>53176.66</v>
      </c>
      <c r="BC354" s="171">
        <v>-63.72</v>
      </c>
      <c r="BD354" s="171">
        <v>-63.72</v>
      </c>
      <c r="BE354" s="171">
        <v>-52.72</v>
      </c>
      <c r="BF354" s="171">
        <v>11.0</v>
      </c>
      <c r="BG354" s="171">
        <v>11.0</v>
      </c>
      <c r="BH354" s="171">
        <v>11.0</v>
      </c>
      <c r="BI354" s="171" t="s">
        <v>2566</v>
      </c>
      <c r="BJ354" s="171">
        <v>0.0</v>
      </c>
      <c r="BK354" s="171" t="s">
        <v>2566</v>
      </c>
      <c r="BL354" s="171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  <c r="CI354" s="329"/>
    </row>
    <row r="355" ht="15.75" customHeight="1">
      <c r="A355" s="317" t="s">
        <v>2547</v>
      </c>
      <c r="B355" s="239" t="s">
        <v>3501</v>
      </c>
      <c r="C355" s="331" t="s">
        <v>3502</v>
      </c>
      <c r="D355" s="319" t="s">
        <v>2659</v>
      </c>
      <c r="E355" s="319" t="s">
        <v>29</v>
      </c>
      <c r="F355" s="95" t="s">
        <v>2659</v>
      </c>
      <c r="G355" s="44" t="str">
        <f t="shared" si="1"/>
        <v>Augusto</v>
      </c>
      <c r="H355" s="332" t="s">
        <v>186</v>
      </c>
      <c r="I355" s="46" t="s">
        <v>24</v>
      </c>
      <c r="J355" s="319" t="str">
        <f t="shared" si="2"/>
        <v>Não</v>
      </c>
      <c r="K355" s="333">
        <v>43441.0</v>
      </c>
      <c r="L355" s="333">
        <v>44448.0</v>
      </c>
      <c r="M355" s="95" t="s">
        <v>190</v>
      </c>
      <c r="N355" s="334">
        <v>0.01</v>
      </c>
      <c r="O355" s="319" t="s">
        <v>191</v>
      </c>
      <c r="P355" s="322">
        <v>0.2</v>
      </c>
      <c r="Q355" s="95" t="str">
        <f>IFERROR(VLOOKUP(F355,'Cadastro de assessores'!A:B,2,FALSE),"Não Cadastrado")</f>
        <v>22400</v>
      </c>
      <c r="R355" s="95" t="s">
        <v>2563</v>
      </c>
      <c r="S355" s="333">
        <v>43441.0</v>
      </c>
      <c r="T355" s="169"/>
      <c r="U355" s="169"/>
      <c r="V355" s="45" t="s">
        <v>108</v>
      </c>
      <c r="W355" s="13" t="s">
        <v>3503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2656</v>
      </c>
      <c r="AE355" s="171">
        <v>77841.67</v>
      </c>
      <c r="AF355" s="171">
        <v>84133.51</v>
      </c>
      <c r="AG355" s="171">
        <v>65856.95</v>
      </c>
      <c r="AH355" s="171">
        <v>70511.97</v>
      </c>
      <c r="AI355" s="171">
        <v>72462.63</v>
      </c>
      <c r="AJ355" s="171">
        <v>76167.31</v>
      </c>
      <c r="AK355" s="171">
        <v>83361.7</v>
      </c>
      <c r="AL355" s="171">
        <v>78749.02</v>
      </c>
      <c r="AM355" s="171">
        <v>75234.18</v>
      </c>
      <c r="AN355" s="171">
        <v>78058.06</v>
      </c>
      <c r="AO355" s="171">
        <v>90608.87</v>
      </c>
      <c r="AP355" s="171">
        <v>144153.12</v>
      </c>
      <c r="AQ355" s="171">
        <v>137498.88</v>
      </c>
      <c r="AR355" s="171">
        <v>130172.66</v>
      </c>
      <c r="AS355" s="171">
        <v>127007.11</v>
      </c>
      <c r="AT355" s="171">
        <v>131245.19</v>
      </c>
      <c r="AU355" s="171">
        <v>136013.95</v>
      </c>
      <c r="AV355" s="171">
        <v>136519.71</v>
      </c>
      <c r="AW355" s="171">
        <v>142066.65</v>
      </c>
      <c r="AX355" s="171">
        <v>139881.13</v>
      </c>
      <c r="AY355" s="171">
        <v>135954.11</v>
      </c>
      <c r="AZ355" s="171">
        <v>130029.24</v>
      </c>
      <c r="BA355" s="171">
        <v>123458.32</v>
      </c>
      <c r="BB355" s="171"/>
      <c r="BC355" s="171"/>
      <c r="BD355" s="171"/>
      <c r="BE355" s="171"/>
      <c r="BF355" s="171">
        <v>0.0</v>
      </c>
      <c r="BG355" s="171">
        <v>0.0</v>
      </c>
      <c r="BH355" s="171">
        <v>0.0</v>
      </c>
      <c r="BI355" s="339" t="s">
        <v>2566</v>
      </c>
      <c r="BJ355" s="171">
        <v>0.0</v>
      </c>
      <c r="BK355" s="171" t="s">
        <v>2566</v>
      </c>
      <c r="BL355" s="171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  <c r="CI355" s="329"/>
    </row>
    <row r="356" ht="15.75" customHeight="1">
      <c r="A356" s="317" t="s">
        <v>2547</v>
      </c>
      <c r="B356" s="61" t="s">
        <v>2236</v>
      </c>
      <c r="C356" s="330" t="s">
        <v>3504</v>
      </c>
      <c r="D356" s="319" t="s">
        <v>18</v>
      </c>
      <c r="E356" s="319" t="s">
        <v>176</v>
      </c>
      <c r="F356" s="319" t="s">
        <v>197</v>
      </c>
      <c r="G356" s="44" t="str">
        <f t="shared" si="1"/>
        <v>Augusto</v>
      </c>
      <c r="H356" s="332" t="s">
        <v>147</v>
      </c>
      <c r="I356" s="51" t="s">
        <v>219</v>
      </c>
      <c r="J356" s="319" t="str">
        <f t="shared" si="2"/>
        <v>Não</v>
      </c>
      <c r="K356" s="72">
        <v>44638.0</v>
      </c>
      <c r="L356" s="95"/>
      <c r="M356" s="95" t="s">
        <v>79</v>
      </c>
      <c r="N356" s="321">
        <v>0.012</v>
      </c>
      <c r="O356" s="319" t="s">
        <v>2552</v>
      </c>
      <c r="P356" s="322">
        <v>0.0</v>
      </c>
      <c r="Q356" s="93" t="str">
        <f>IFERROR(VLOOKUP(F356,'Cadastro de assessores'!A:B,2,FALSE),"Não Cadastrado")</f>
        <v>28411</v>
      </c>
      <c r="R356" s="319" t="s">
        <v>107</v>
      </c>
      <c r="S356" s="72">
        <v>44638.0</v>
      </c>
      <c r="T356" s="169"/>
      <c r="U356" s="169"/>
      <c r="V356" s="45" t="s">
        <v>108</v>
      </c>
      <c r="W356" s="5" t="s">
        <v>2238</v>
      </c>
      <c r="X356" s="164" t="s">
        <v>180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119</v>
      </c>
      <c r="AC356" s="95"/>
      <c r="AD356" s="95" t="s">
        <v>2609</v>
      </c>
      <c r="AE356" s="337"/>
      <c r="AF356" s="337"/>
      <c r="AG356" s="337"/>
      <c r="AH356" s="337"/>
      <c r="AI356" s="337"/>
      <c r="AJ356" s="337"/>
      <c r="AK356" s="337"/>
      <c r="AL356" s="337"/>
      <c r="AM356" s="337"/>
      <c r="AN356" s="337"/>
      <c r="AO356" s="337"/>
      <c r="AP356" s="337"/>
      <c r="AQ356" s="337"/>
      <c r="AR356" s="171"/>
      <c r="AS356" s="326"/>
      <c r="AT356" s="326"/>
      <c r="AU356" s="326"/>
      <c r="AV356" s="326"/>
      <c r="AW356" s="326"/>
      <c r="AX356" s="171"/>
      <c r="AY356" s="171"/>
      <c r="AZ356" s="171"/>
      <c r="BA356" s="171"/>
      <c r="BB356" s="171"/>
      <c r="BC356" s="171">
        <v>355283.95</v>
      </c>
      <c r="BD356" s="171">
        <v>357504.26</v>
      </c>
      <c r="BE356" s="171">
        <v>362346.82</v>
      </c>
      <c r="BF356" s="171">
        <v>103386.68</v>
      </c>
      <c r="BG356" s="171">
        <v>106226.72</v>
      </c>
      <c r="BH356" s="171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  <c r="CI356" s="329"/>
    </row>
    <row r="357" ht="15.75" customHeight="1">
      <c r="A357" s="317" t="s">
        <v>2547</v>
      </c>
      <c r="B357" s="42" t="s">
        <v>2242</v>
      </c>
      <c r="C357" s="330" t="s">
        <v>3505</v>
      </c>
      <c r="D357" s="319" t="s">
        <v>18</v>
      </c>
      <c r="E357" s="319" t="s">
        <v>176</v>
      </c>
      <c r="F357" s="95" t="s">
        <v>177</v>
      </c>
      <c r="G357" s="44" t="str">
        <f t="shared" si="1"/>
        <v>Augusto</v>
      </c>
      <c r="H357" s="332" t="s">
        <v>147</v>
      </c>
      <c r="I357" s="51" t="s">
        <v>219</v>
      </c>
      <c r="J357" s="319" t="str">
        <f t="shared" si="2"/>
        <v>Não</v>
      </c>
      <c r="K357" s="72">
        <v>44365.0</v>
      </c>
      <c r="L357" s="95"/>
      <c r="M357" s="95" t="s">
        <v>79</v>
      </c>
      <c r="N357" s="321">
        <v>0.012</v>
      </c>
      <c r="O357" s="319" t="s">
        <v>2552</v>
      </c>
      <c r="P357" s="322">
        <v>0.0</v>
      </c>
      <c r="Q357" s="93" t="str">
        <f>IFERROR(VLOOKUP(F357,'Cadastro de assessores'!A:B,2,FALSE),"Não Cadastrado")</f>
        <v>250</v>
      </c>
      <c r="R357" s="319" t="s">
        <v>107</v>
      </c>
      <c r="S357" s="72">
        <v>44363.0</v>
      </c>
      <c r="T357" s="50"/>
      <c r="U357" s="50"/>
      <c r="V357" s="45" t="s">
        <v>108</v>
      </c>
      <c r="W357" s="5" t="s">
        <v>2245</v>
      </c>
      <c r="X357" s="164" t="s">
        <v>180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119</v>
      </c>
      <c r="AC357" s="95"/>
      <c r="AD357" s="95" t="s">
        <v>2609</v>
      </c>
      <c r="AE357" s="191"/>
      <c r="AF357" s="191"/>
      <c r="AG357" s="191"/>
      <c r="AH357" s="191"/>
      <c r="AI357" s="191"/>
      <c r="AJ357" s="191"/>
      <c r="AK357" s="191"/>
      <c r="AL357" s="191"/>
      <c r="AM357" s="191"/>
      <c r="AN357" s="191"/>
      <c r="AO357" s="191"/>
      <c r="AP357" s="191"/>
      <c r="AQ357" s="191"/>
      <c r="AR357" s="326"/>
      <c r="AS357" s="326"/>
      <c r="AT357" s="326"/>
      <c r="AU357" s="326"/>
      <c r="AV357" s="326"/>
      <c r="AW357" s="191"/>
      <c r="AX357" s="171">
        <v>368924.89</v>
      </c>
      <c r="AY357" s="171">
        <v>368102.84</v>
      </c>
      <c r="AZ357" s="171">
        <v>365570.1</v>
      </c>
      <c r="BA357" s="171">
        <v>363223.78</v>
      </c>
      <c r="BB357" s="171">
        <v>356287.55</v>
      </c>
      <c r="BC357" s="171"/>
      <c r="BD357" s="171"/>
      <c r="BE357" s="171"/>
      <c r="BF357" s="171">
        <v>364767.61</v>
      </c>
      <c r="BG357" s="171">
        <v>376509.59</v>
      </c>
      <c r="BH357" s="171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  <c r="CI357" s="329"/>
    </row>
    <row r="358" ht="15.75" customHeight="1">
      <c r="A358" s="317" t="s">
        <v>2547</v>
      </c>
      <c r="B358" s="344" t="s">
        <v>3506</v>
      </c>
      <c r="C358" s="331" t="s">
        <v>3507</v>
      </c>
      <c r="D358" s="319" t="s">
        <v>18</v>
      </c>
      <c r="E358" s="319" t="s">
        <v>176</v>
      </c>
      <c r="F358" s="319" t="s">
        <v>177</v>
      </c>
      <c r="G358" s="44" t="str">
        <f t="shared" si="1"/>
        <v>Augusto</v>
      </c>
      <c r="H358" s="165" t="s">
        <v>147</v>
      </c>
      <c r="I358" s="51" t="s">
        <v>219</v>
      </c>
      <c r="J358" s="319" t="str">
        <f t="shared" si="2"/>
        <v>Não</v>
      </c>
      <c r="K358" s="333">
        <v>44263.0</v>
      </c>
      <c r="L358" s="95"/>
      <c r="M358" s="95" t="s">
        <v>79</v>
      </c>
      <c r="N358" s="321">
        <v>0.012</v>
      </c>
      <c r="O358" s="319" t="s">
        <v>2552</v>
      </c>
      <c r="P358" s="322">
        <v>0.0</v>
      </c>
      <c r="Q358" s="319" t="str">
        <f>IFERROR(VLOOKUP(F358,'Cadastro de assessores'!A:B,2,FALSE),"Não Cadastrado")</f>
        <v>250</v>
      </c>
      <c r="R358" s="319" t="s">
        <v>107</v>
      </c>
      <c r="S358" s="333">
        <v>44263.0</v>
      </c>
      <c r="T358" s="74"/>
      <c r="U358" s="169" t="s">
        <v>3508</v>
      </c>
      <c r="V358" s="45" t="s">
        <v>108</v>
      </c>
      <c r="W358" s="324" t="s">
        <v>3509</v>
      </c>
      <c r="X358" s="164" t="s">
        <v>180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119</v>
      </c>
      <c r="AC358" s="95"/>
      <c r="AD358" s="95" t="s">
        <v>2609</v>
      </c>
      <c r="AE358" s="337"/>
      <c r="AF358" s="337"/>
      <c r="AG358" s="337"/>
      <c r="AH358" s="337"/>
      <c r="AI358" s="337"/>
      <c r="AJ358" s="337"/>
      <c r="AK358" s="337"/>
      <c r="AL358" s="337"/>
      <c r="AM358" s="337"/>
      <c r="AN358" s="337"/>
      <c r="AO358" s="337"/>
      <c r="AP358" s="337"/>
      <c r="AQ358" s="337"/>
      <c r="AR358" s="171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1">
        <v>2051190.98</v>
      </c>
      <c r="AY358" s="171">
        <v>1994005.81</v>
      </c>
      <c r="AZ358" s="171">
        <v>1888337.3</v>
      </c>
      <c r="BA358" s="171">
        <v>1791811.54</v>
      </c>
      <c r="BB358" s="171">
        <v>1632843.8</v>
      </c>
      <c r="BC358" s="171">
        <v>1533952.63</v>
      </c>
      <c r="BD358" s="171">
        <v>1458416.28</v>
      </c>
      <c r="BE358" s="171">
        <v>869350.73</v>
      </c>
      <c r="BF358" s="171">
        <v>876037.91</v>
      </c>
      <c r="BG358" s="171">
        <v>909097.94</v>
      </c>
      <c r="BH358" s="171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  <c r="CI358" s="329"/>
    </row>
    <row r="359" ht="15.75" customHeight="1">
      <c r="A359" s="317" t="s">
        <v>2547</v>
      </c>
      <c r="B359" s="344" t="s">
        <v>3506</v>
      </c>
      <c r="C359" s="45">
        <v>858723.0</v>
      </c>
      <c r="D359" s="319" t="s">
        <v>18</v>
      </c>
      <c r="E359" s="319" t="s">
        <v>176</v>
      </c>
      <c r="F359" s="93" t="s">
        <v>177</v>
      </c>
      <c r="G359" s="44" t="str">
        <f t="shared" si="1"/>
        <v>Augusto</v>
      </c>
      <c r="H359" s="165" t="s">
        <v>147</v>
      </c>
      <c r="I359" s="51" t="s">
        <v>219</v>
      </c>
      <c r="J359" s="319" t="str">
        <f t="shared" si="2"/>
        <v>Sim</v>
      </c>
      <c r="K359" s="333">
        <v>44585.0</v>
      </c>
      <c r="L359" s="45"/>
      <c r="M359" s="95" t="s">
        <v>55</v>
      </c>
      <c r="N359" s="321">
        <v>0.007</v>
      </c>
      <c r="O359" s="319" t="s">
        <v>2552</v>
      </c>
      <c r="P359" s="322">
        <v>0.0</v>
      </c>
      <c r="Q359" s="319" t="str">
        <f>IFERROR(VLOOKUP(F359,'Cadastro de assessores'!A:B,2,FALSE),"Não Cadastrado")</f>
        <v>250</v>
      </c>
      <c r="R359" s="319" t="s">
        <v>107</v>
      </c>
      <c r="S359" s="333">
        <v>44585.0</v>
      </c>
      <c r="T359" s="50" t="s">
        <v>3510</v>
      </c>
      <c r="U359" s="50"/>
      <c r="V359" s="45" t="s">
        <v>108</v>
      </c>
      <c r="W359" s="324" t="s">
        <v>3509</v>
      </c>
      <c r="X359" s="164" t="s">
        <v>180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119</v>
      </c>
      <c r="AC359" s="95"/>
      <c r="AD359" s="95" t="s">
        <v>2609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1"/>
      <c r="AX359" s="171"/>
      <c r="AY359" s="171"/>
      <c r="AZ359" s="171"/>
      <c r="BA359" s="171"/>
      <c r="BB359" s="171"/>
      <c r="BC359" s="171"/>
      <c r="BD359" s="41"/>
      <c r="BE359" s="171">
        <v>681701.31</v>
      </c>
      <c r="BF359" s="171">
        <v>633961.45</v>
      </c>
      <c r="BG359" s="171">
        <v>591403.87</v>
      </c>
      <c r="BH359" s="171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  <c r="CI359" s="329"/>
    </row>
    <row r="360" ht="15.75" customHeight="1">
      <c r="A360" s="317" t="s">
        <v>2547</v>
      </c>
      <c r="B360" s="317" t="s">
        <v>3511</v>
      </c>
      <c r="C360" s="318" t="s">
        <v>3512</v>
      </c>
      <c r="D360" s="319" t="s">
        <v>2550</v>
      </c>
      <c r="E360" s="319" t="s">
        <v>29</v>
      </c>
      <c r="F360" s="319" t="s">
        <v>2551</v>
      </c>
      <c r="G360" s="44" t="str">
        <f t="shared" si="1"/>
        <v>Augusto</v>
      </c>
      <c r="H360" s="165" t="s">
        <v>147</v>
      </c>
      <c r="I360" s="51" t="s">
        <v>219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107</v>
      </c>
      <c r="S360" s="320">
        <v>43794.0</v>
      </c>
      <c r="T360" s="74"/>
      <c r="U360" s="169" t="s">
        <v>3513</v>
      </c>
      <c r="V360" s="45" t="s">
        <v>108</v>
      </c>
      <c r="W360" s="324" t="s">
        <v>3514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119</v>
      </c>
      <c r="AC360" s="95"/>
      <c r="AD360" s="95" t="s">
        <v>2842</v>
      </c>
      <c r="AE360" s="171">
        <v>99984.97</v>
      </c>
      <c r="AF360" s="171">
        <v>98133.83</v>
      </c>
      <c r="AG360" s="171">
        <v>91668.93</v>
      </c>
      <c r="AH360" s="171">
        <v>93521.41</v>
      </c>
      <c r="AI360" s="171">
        <v>94384.39</v>
      </c>
      <c r="AJ360" s="171">
        <v>96173.09</v>
      </c>
      <c r="AK360" s="171">
        <v>99350.23</v>
      </c>
      <c r="AL360" s="171">
        <v>97806.72</v>
      </c>
      <c r="AM360" s="171">
        <v>96125.12</v>
      </c>
      <c r="AN360" s="171">
        <v>98116.39</v>
      </c>
      <c r="AO360" s="171">
        <v>101467.04</v>
      </c>
      <c r="AP360" s="171">
        <v>101942.81</v>
      </c>
      <c r="AQ360" s="171">
        <v>99759.47</v>
      </c>
      <c r="AR360" s="171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1">
        <v>100571.03</v>
      </c>
      <c r="AY360" s="171">
        <v>99753.66</v>
      </c>
      <c r="AZ360" s="171">
        <v>98247.04</v>
      </c>
      <c r="BA360" s="171">
        <v>80018.58</v>
      </c>
      <c r="BB360" s="171">
        <v>94355.65</v>
      </c>
      <c r="BC360" s="171">
        <v>94095.44</v>
      </c>
      <c r="BD360" s="171">
        <v>94630.69</v>
      </c>
      <c r="BE360" s="171">
        <v>96188.44</v>
      </c>
      <c r="BF360" s="171">
        <v>96652.21</v>
      </c>
      <c r="BG360" s="171">
        <v>100002.85</v>
      </c>
      <c r="BH360" s="171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  <c r="CI360" s="329"/>
    </row>
    <row r="361" ht="15.75" customHeight="1">
      <c r="A361" s="317" t="s">
        <v>2547</v>
      </c>
      <c r="B361" s="235" t="s">
        <v>3515</v>
      </c>
      <c r="C361" s="331" t="s">
        <v>3516</v>
      </c>
      <c r="D361" s="319" t="s">
        <v>2550</v>
      </c>
      <c r="E361" s="319" t="s">
        <v>29</v>
      </c>
      <c r="F361" s="95" t="s">
        <v>2551</v>
      </c>
      <c r="G361" s="44" t="str">
        <f t="shared" si="1"/>
        <v>Augusto</v>
      </c>
      <c r="H361" s="332" t="s">
        <v>186</v>
      </c>
      <c r="I361" s="46" t="s">
        <v>24</v>
      </c>
      <c r="J361" s="319" t="str">
        <f t="shared" si="2"/>
        <v>Não</v>
      </c>
      <c r="K361" s="333">
        <v>43717.0</v>
      </c>
      <c r="L361" s="333">
        <v>44581.0</v>
      </c>
      <c r="M361" s="95" t="s">
        <v>47</v>
      </c>
      <c r="N361" s="334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2563</v>
      </c>
      <c r="S361" s="333">
        <v>43717.0</v>
      </c>
      <c r="T361" s="169"/>
      <c r="U361" s="169"/>
      <c r="V361" s="45" t="s">
        <v>108</v>
      </c>
      <c r="W361" s="13" t="s">
        <v>3517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119</v>
      </c>
      <c r="AC361" s="95"/>
      <c r="AD361" s="95" t="s">
        <v>2591</v>
      </c>
      <c r="AE361" s="171">
        <v>101829.05</v>
      </c>
      <c r="AF361" s="171">
        <v>94200.2</v>
      </c>
      <c r="AG361" s="171">
        <v>88953.45</v>
      </c>
      <c r="AH361" s="171">
        <v>90797.2</v>
      </c>
      <c r="AI361" s="171">
        <v>100057.73</v>
      </c>
      <c r="AJ361" s="171">
        <v>94101.72</v>
      </c>
      <c r="AK361" s="171">
        <v>95206.62</v>
      </c>
      <c r="AL361" s="171">
        <v>83653.63</v>
      </c>
      <c r="AM361" s="171">
        <v>79515.88</v>
      </c>
      <c r="AN361" s="171">
        <v>74811.14</v>
      </c>
      <c r="AO361" s="171">
        <v>71278.06</v>
      </c>
      <c r="AP361" s="171">
        <v>65989.92</v>
      </c>
      <c r="AQ361" s="171">
        <v>65142.93</v>
      </c>
      <c r="AR361" s="171">
        <v>57023.89</v>
      </c>
      <c r="AS361" s="171">
        <v>56142.43</v>
      </c>
      <c r="AT361" s="171">
        <v>56645.42</v>
      </c>
      <c r="AU361" s="171">
        <v>49415.81</v>
      </c>
      <c r="AV361" s="171">
        <v>49154.42</v>
      </c>
      <c r="AW361" s="171">
        <v>39990.3</v>
      </c>
      <c r="AX361" s="171">
        <v>40057.84</v>
      </c>
      <c r="AY361" s="171">
        <v>39776.65</v>
      </c>
      <c r="AZ361" s="171">
        <v>39903.21</v>
      </c>
      <c r="BA361" s="171">
        <v>19955.69</v>
      </c>
      <c r="BB361" s="171">
        <v>20062.4</v>
      </c>
      <c r="BC361" s="171">
        <v>20030.92</v>
      </c>
      <c r="BD361" s="171">
        <v>8954.45</v>
      </c>
      <c r="BE361" s="171">
        <v>141.15</v>
      </c>
      <c r="BF361" s="171">
        <v>-1.07</v>
      </c>
      <c r="BG361" s="171">
        <v>-38.89</v>
      </c>
      <c r="BH361" s="171">
        <v>-38.89</v>
      </c>
      <c r="BI361" s="171" t="s">
        <v>2566</v>
      </c>
      <c r="BJ361" s="171">
        <v>0.0</v>
      </c>
      <c r="BK361" s="171">
        <v>-30.77</v>
      </c>
      <c r="BL361" s="171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  <c r="CI361" s="329"/>
    </row>
    <row r="362" ht="15.75" customHeight="1">
      <c r="A362" s="317" t="s">
        <v>2547</v>
      </c>
      <c r="B362" s="317" t="s">
        <v>3518</v>
      </c>
      <c r="C362" s="318" t="s">
        <v>3519</v>
      </c>
      <c r="D362" s="319" t="s">
        <v>2659</v>
      </c>
      <c r="E362" s="319" t="s">
        <v>29</v>
      </c>
      <c r="F362" s="319" t="s">
        <v>2659</v>
      </c>
      <c r="G362" s="44" t="str">
        <f t="shared" si="1"/>
        <v>Augusto</v>
      </c>
      <c r="H362" s="332" t="s">
        <v>186</v>
      </c>
      <c r="I362" s="46" t="s">
        <v>24</v>
      </c>
      <c r="J362" s="319" t="str">
        <f t="shared" si="2"/>
        <v>Não</v>
      </c>
      <c r="K362" s="320">
        <v>43375.0</v>
      </c>
      <c r="L362" s="333">
        <v>44713.0</v>
      </c>
      <c r="M362" s="95" t="s">
        <v>190</v>
      </c>
      <c r="N362" s="321">
        <v>0.01</v>
      </c>
      <c r="O362" s="319" t="s">
        <v>191</v>
      </c>
      <c r="P362" s="322">
        <v>0.2</v>
      </c>
      <c r="Q362" s="319" t="str">
        <f>IFERROR(VLOOKUP(F362,'Cadastro de assessores'!A:B,2,FALSE),"Não Cadastrado")</f>
        <v>22400</v>
      </c>
      <c r="R362" s="347" t="s">
        <v>3380</v>
      </c>
      <c r="S362" s="320">
        <v>43375.0</v>
      </c>
      <c r="T362" s="169"/>
      <c r="U362" s="169"/>
      <c r="V362" s="45" t="s">
        <v>108</v>
      </c>
      <c r="W362" s="324" t="s">
        <v>3520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119</v>
      </c>
      <c r="AC362" s="95"/>
      <c r="AD362" s="95" t="s">
        <v>2565</v>
      </c>
      <c r="AE362" s="171">
        <v>225929.22</v>
      </c>
      <c r="AF362" s="171">
        <v>213808.49</v>
      </c>
      <c r="AG362" s="171">
        <v>167641.73</v>
      </c>
      <c r="AH362" s="171">
        <v>179033.67</v>
      </c>
      <c r="AI362" s="171">
        <v>186083.66</v>
      </c>
      <c r="AJ362" s="171">
        <v>195153.33</v>
      </c>
      <c r="AK362" s="171">
        <v>208313.87</v>
      </c>
      <c r="AL362" s="171">
        <v>199708.2</v>
      </c>
      <c r="AM362" s="171">
        <v>190243.0</v>
      </c>
      <c r="AN362" s="171">
        <v>196268.87</v>
      </c>
      <c r="AO362" s="171">
        <v>223505.4</v>
      </c>
      <c r="AP362" s="171">
        <v>229234.7</v>
      </c>
      <c r="AQ362" s="171">
        <v>218951.48</v>
      </c>
      <c r="AR362" s="171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1">
        <v>227371.2</v>
      </c>
      <c r="AY362" s="171">
        <v>221017.2</v>
      </c>
      <c r="AZ362" s="171">
        <v>211357.8</v>
      </c>
      <c r="BA362" s="171">
        <v>201485.57</v>
      </c>
      <c r="BB362" s="171">
        <v>189440.1</v>
      </c>
      <c r="BC362" s="171">
        <v>183482.39</v>
      </c>
      <c r="BD362" s="171">
        <v>184227.92</v>
      </c>
      <c r="BE362" s="171">
        <v>195472.08</v>
      </c>
      <c r="BF362" s="171">
        <v>196925.15</v>
      </c>
      <c r="BG362" s="171">
        <v>211577.22</v>
      </c>
      <c r="BH362" s="171">
        <v>201996.09</v>
      </c>
      <c r="BI362" s="392">
        <v>1888.2</v>
      </c>
      <c r="BJ362" s="327">
        <v>1795.66</v>
      </c>
      <c r="BK362" s="327" t="s">
        <v>2566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  <c r="CI362" s="329"/>
    </row>
    <row r="363" ht="15.75" customHeight="1">
      <c r="A363" s="317" t="s">
        <v>2547</v>
      </c>
      <c r="B363" s="235" t="s">
        <v>3521</v>
      </c>
      <c r="C363" s="219" t="s">
        <v>3522</v>
      </c>
      <c r="D363" s="319" t="s">
        <v>18</v>
      </c>
      <c r="E363" s="319" t="s">
        <v>29</v>
      </c>
      <c r="F363" s="319" t="s">
        <v>3170</v>
      </c>
      <c r="G363" s="44" t="str">
        <f t="shared" si="1"/>
        <v>Breno</v>
      </c>
      <c r="H363" s="165" t="s">
        <v>107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55</v>
      </c>
      <c r="N363" s="321">
        <v>0.01</v>
      </c>
      <c r="O363" s="319" t="s">
        <v>2552</v>
      </c>
      <c r="P363" s="322">
        <v>0.0</v>
      </c>
      <c r="Q363" s="319" t="str">
        <f>IFERROR(VLOOKUP(F363,'Cadastro de assessores'!A:B,2,FALSE),"Não Cadastrado")</f>
        <v>Não Cadastrado</v>
      </c>
      <c r="R363" s="144"/>
      <c r="S363" s="320"/>
      <c r="T363" s="169"/>
      <c r="U363" s="169"/>
      <c r="V363" s="45" t="s">
        <v>108</v>
      </c>
      <c r="W363" s="13" t="s">
        <v>2267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119</v>
      </c>
      <c r="AC363" s="95"/>
      <c r="AD363" s="95"/>
      <c r="AE363" s="337"/>
      <c r="AF363" s="337"/>
      <c r="AG363" s="337"/>
      <c r="AH363" s="337"/>
      <c r="AI363" s="337"/>
      <c r="AJ363" s="337"/>
      <c r="AK363" s="337"/>
      <c r="AL363" s="337"/>
      <c r="AM363" s="337"/>
      <c r="AN363" s="337"/>
      <c r="AO363" s="337"/>
      <c r="AP363" s="337"/>
      <c r="AQ363" s="337"/>
      <c r="AR363" s="171"/>
      <c r="AS363" s="171"/>
      <c r="AT363" s="171"/>
      <c r="AU363" s="171"/>
      <c r="AV363" s="171"/>
      <c r="AW363" s="171"/>
      <c r="AX363" s="171"/>
      <c r="AY363" s="171"/>
      <c r="AZ363" s="171"/>
      <c r="BA363" s="171"/>
      <c r="BB363" s="171"/>
      <c r="BC363" s="171"/>
      <c r="BD363" s="171"/>
      <c r="BE363" s="171"/>
      <c r="BF363" s="171"/>
      <c r="BG363" s="171"/>
      <c r="BH363" s="171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  <c r="CI363" s="329"/>
    </row>
    <row r="364" ht="15.75" customHeight="1">
      <c r="A364" s="317" t="s">
        <v>2547</v>
      </c>
      <c r="B364" s="235" t="s">
        <v>2291</v>
      </c>
      <c r="C364" s="219" t="s">
        <v>3523</v>
      </c>
      <c r="D364" s="319" t="s">
        <v>18</v>
      </c>
      <c r="E364" s="319" t="s">
        <v>176</v>
      </c>
      <c r="F364" s="319" t="s">
        <v>197</v>
      </c>
      <c r="G364" s="44" t="str">
        <f t="shared" si="1"/>
        <v>Augusto</v>
      </c>
      <c r="H364" s="165" t="s">
        <v>147</v>
      </c>
      <c r="I364" s="51" t="s">
        <v>219</v>
      </c>
      <c r="J364" s="319" t="str">
        <f t="shared" si="2"/>
        <v>Não</v>
      </c>
      <c r="K364" s="320">
        <v>44279.0</v>
      </c>
      <c r="L364" s="45"/>
      <c r="M364" s="95" t="s">
        <v>269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4" t="s">
        <v>107</v>
      </c>
      <c r="S364" s="320">
        <v>44230.0</v>
      </c>
      <c r="T364" s="63"/>
      <c r="U364" s="336" t="s">
        <v>3524</v>
      </c>
      <c r="V364" s="45" t="s">
        <v>108</v>
      </c>
      <c r="W364" s="13" t="s">
        <v>2293</v>
      </c>
      <c r="X364" s="164" t="s">
        <v>180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110</v>
      </c>
      <c r="AC364" s="95"/>
      <c r="AD364" s="95" t="s">
        <v>2609</v>
      </c>
      <c r="AE364" s="337"/>
      <c r="AF364" s="337"/>
      <c r="AG364" s="337"/>
      <c r="AH364" s="337"/>
      <c r="AI364" s="337"/>
      <c r="AJ364" s="337"/>
      <c r="AK364" s="337"/>
      <c r="AL364" s="337"/>
      <c r="AM364" s="337"/>
      <c r="AN364" s="337"/>
      <c r="AO364" s="337"/>
      <c r="AP364" s="337"/>
      <c r="AQ364" s="337"/>
      <c r="AR364" s="171"/>
      <c r="AS364" s="171"/>
      <c r="AT364" s="171">
        <v>1217340.63</v>
      </c>
      <c r="AU364" s="171"/>
      <c r="AV364" s="171">
        <v>1105252.61</v>
      </c>
      <c r="AW364" s="171">
        <v>1253383.66</v>
      </c>
      <c r="AX364" s="171">
        <v>1243291.21</v>
      </c>
      <c r="AY364" s="171">
        <v>1222085.5</v>
      </c>
      <c r="AZ364" s="171">
        <v>1184904.95</v>
      </c>
      <c r="BA364" s="171">
        <v>1152445.18</v>
      </c>
      <c r="BB364" s="171">
        <v>982558.67</v>
      </c>
      <c r="BC364" s="171">
        <v>1079810.51</v>
      </c>
      <c r="BD364" s="171">
        <v>1089387.83</v>
      </c>
      <c r="BE364" s="171">
        <v>1128068.68</v>
      </c>
      <c r="BF364" s="171">
        <v>1136806.29</v>
      </c>
      <c r="BG364" s="171">
        <v>1197731.68</v>
      </c>
      <c r="BH364" s="171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  <c r="CI364" s="329"/>
    </row>
    <row r="365" ht="15.75" customHeight="1">
      <c r="A365" s="317" t="s">
        <v>2547</v>
      </c>
      <c r="B365" s="156" t="s">
        <v>3525</v>
      </c>
      <c r="C365" s="144">
        <v>436179.0</v>
      </c>
      <c r="D365" s="319" t="s">
        <v>18</v>
      </c>
      <c r="E365" s="319" t="s">
        <v>176</v>
      </c>
      <c r="F365" s="319" t="s">
        <v>177</v>
      </c>
      <c r="G365" s="44" t="str">
        <f t="shared" si="1"/>
        <v>Augusto</v>
      </c>
      <c r="H365" s="332" t="s">
        <v>186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4" t="str">
        <f>IFERROR(VLOOKUP(F365,'Cadastro de assessores'!A:B,2,FALSE),"Não Cadastrado")</f>
        <v>250</v>
      </c>
      <c r="R365" s="144" t="s">
        <v>107</v>
      </c>
      <c r="S365" s="320">
        <v>44599.0</v>
      </c>
      <c r="T365" s="50" t="s">
        <v>3526</v>
      </c>
      <c r="U365" s="50"/>
      <c r="V365" s="45" t="s">
        <v>369</v>
      </c>
      <c r="W365" s="11" t="s">
        <v>3527</v>
      </c>
      <c r="X365" s="45" t="s">
        <v>180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119</v>
      </c>
      <c r="AC365" s="95"/>
      <c r="AD365" s="45" t="s">
        <v>2609</v>
      </c>
      <c r="AE365" s="191"/>
      <c r="AF365" s="191"/>
      <c r="AG365" s="191"/>
      <c r="AH365" s="191"/>
      <c r="AI365" s="191"/>
      <c r="AJ365" s="191"/>
      <c r="AK365" s="191"/>
      <c r="AL365" s="191"/>
      <c r="AM365" s="191"/>
      <c r="AN365" s="191"/>
      <c r="AO365" s="191"/>
      <c r="AP365" s="191"/>
      <c r="AQ365" s="191"/>
      <c r="AR365" s="191"/>
      <c r="AS365" s="191"/>
      <c r="AT365" s="201">
        <v>1217340.63</v>
      </c>
      <c r="AU365" s="191"/>
      <c r="AV365" s="201">
        <v>1105252.61</v>
      </c>
      <c r="AW365" s="201">
        <v>1253383.66</v>
      </c>
      <c r="AX365" s="201">
        <v>1243291.21</v>
      </c>
      <c r="AY365" s="201">
        <v>1222085.5</v>
      </c>
      <c r="AZ365" s="201">
        <v>1184904.95</v>
      </c>
      <c r="BA365" s="201">
        <v>1152445.18</v>
      </c>
      <c r="BB365" s="201">
        <v>982558.67</v>
      </c>
      <c r="BC365" s="201">
        <v>1079810.51</v>
      </c>
      <c r="BD365" s="201">
        <v>1089387.83</v>
      </c>
      <c r="BE365" s="171">
        <v>256471.38</v>
      </c>
      <c r="BF365" s="171">
        <v>256592.64</v>
      </c>
      <c r="BG365" s="171">
        <v>266164.67</v>
      </c>
      <c r="BH365" s="171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  <c r="CI365" s="329"/>
    </row>
    <row r="366" ht="15.75" customHeight="1">
      <c r="A366" s="317" t="s">
        <v>2547</v>
      </c>
      <c r="B366" s="239" t="s">
        <v>3528</v>
      </c>
      <c r="C366" s="331" t="s">
        <v>3529</v>
      </c>
      <c r="D366" s="319" t="s">
        <v>2550</v>
      </c>
      <c r="E366" s="319" t="s">
        <v>29</v>
      </c>
      <c r="F366" s="95" t="s">
        <v>2562</v>
      </c>
      <c r="G366" s="44" t="str">
        <f t="shared" si="1"/>
        <v>Augusto</v>
      </c>
      <c r="H366" s="332" t="s">
        <v>186</v>
      </c>
      <c r="I366" s="46" t="s">
        <v>24</v>
      </c>
      <c r="J366" s="319" t="str">
        <f t="shared" si="2"/>
        <v>Não</v>
      </c>
      <c r="K366" s="95" t="s">
        <v>2599</v>
      </c>
      <c r="L366" s="338">
        <v>44484.0</v>
      </c>
      <c r="M366" s="95" t="s">
        <v>79</v>
      </c>
      <c r="N366" s="334">
        <v>0.005</v>
      </c>
      <c r="O366" s="319" t="s">
        <v>2552</v>
      </c>
      <c r="P366" s="322">
        <v>0.0</v>
      </c>
      <c r="Q366" s="95" t="str">
        <f>IFERROR(VLOOKUP(F366,'Cadastro de assessores'!A:B,2,FALSE),"Não Cadastrado")</f>
        <v>2971</v>
      </c>
      <c r="R366" s="95" t="s">
        <v>2563</v>
      </c>
      <c r="S366" s="95" t="s">
        <v>2599</v>
      </c>
      <c r="T366" s="169"/>
      <c r="U366" s="169"/>
      <c r="V366" s="45" t="s">
        <v>369</v>
      </c>
      <c r="W366" s="13" t="s">
        <v>3530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3531</v>
      </c>
      <c r="AE366" s="171">
        <v>0.0</v>
      </c>
      <c r="AF366" s="171">
        <v>0.0</v>
      </c>
      <c r="AG366" s="171">
        <v>0.0</v>
      </c>
      <c r="AH366" s="171">
        <v>0.0</v>
      </c>
      <c r="AI366" s="171">
        <v>0.0</v>
      </c>
      <c r="AJ366" s="171">
        <v>0.0</v>
      </c>
      <c r="AK366" s="171">
        <v>0.0</v>
      </c>
      <c r="AL366" s="337"/>
      <c r="AM366" s="337"/>
      <c r="AN366" s="337"/>
      <c r="AO366" s="337"/>
      <c r="AP366" s="337"/>
      <c r="AQ366" s="337"/>
      <c r="AR366" s="171"/>
      <c r="AS366" s="171"/>
      <c r="AT366" s="171"/>
      <c r="AU366" s="171"/>
      <c r="AV366" s="171"/>
      <c r="AW366" s="171"/>
      <c r="AX366" s="337"/>
      <c r="AY366" s="337"/>
      <c r="AZ366" s="337"/>
      <c r="BA366" s="171"/>
      <c r="BB366" s="171"/>
      <c r="BC366" s="171"/>
      <c r="BD366" s="171"/>
      <c r="BE366" s="171"/>
      <c r="BF366" s="171">
        <v>0.0</v>
      </c>
      <c r="BG366" s="171">
        <v>0.0</v>
      </c>
      <c r="BH366" s="171">
        <v>0.0</v>
      </c>
      <c r="BI366" s="171" t="s">
        <v>2566</v>
      </c>
      <c r="BJ366" s="171">
        <v>0.0</v>
      </c>
      <c r="BK366" s="171" t="s">
        <v>2566</v>
      </c>
      <c r="BL366" s="171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  <c r="CI366" s="329"/>
    </row>
    <row r="367" ht="15.75" customHeight="1">
      <c r="A367" s="317" t="s">
        <v>2547</v>
      </c>
      <c r="B367" s="239" t="s">
        <v>3528</v>
      </c>
      <c r="C367" s="331" t="s">
        <v>3532</v>
      </c>
      <c r="D367" s="319" t="s">
        <v>2550</v>
      </c>
      <c r="E367" s="319" t="s">
        <v>29</v>
      </c>
      <c r="F367" s="95" t="s">
        <v>2562</v>
      </c>
      <c r="G367" s="44" t="str">
        <f t="shared" si="1"/>
        <v>Augusto</v>
      </c>
      <c r="H367" s="332" t="s">
        <v>186</v>
      </c>
      <c r="I367" s="46" t="s">
        <v>24</v>
      </c>
      <c r="J367" s="319" t="str">
        <f t="shared" si="2"/>
        <v>Não</v>
      </c>
      <c r="K367" s="95" t="s">
        <v>2599</v>
      </c>
      <c r="L367" s="338">
        <v>44484.0</v>
      </c>
      <c r="M367" s="95" t="s">
        <v>190</v>
      </c>
      <c r="N367" s="334">
        <v>0.02</v>
      </c>
      <c r="O367" s="319" t="s">
        <v>191</v>
      </c>
      <c r="P367" s="322">
        <v>0.2</v>
      </c>
      <c r="Q367" s="95" t="str">
        <f>IFERROR(VLOOKUP(F367,'Cadastro de assessores'!A:B,2,FALSE),"Não Cadastrado")</f>
        <v>2971</v>
      </c>
      <c r="R367" s="95" t="s">
        <v>2563</v>
      </c>
      <c r="S367" s="95" t="s">
        <v>2599</v>
      </c>
      <c r="T367" s="169"/>
      <c r="U367" s="169"/>
      <c r="V367" s="45" t="s">
        <v>369</v>
      </c>
      <c r="W367" s="13" t="s">
        <v>3533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3531</v>
      </c>
      <c r="AE367" s="171">
        <v>0.0</v>
      </c>
      <c r="AF367" s="171">
        <v>0.0</v>
      </c>
      <c r="AG367" s="171">
        <v>0.0</v>
      </c>
      <c r="AH367" s="171">
        <v>0.0</v>
      </c>
      <c r="AI367" s="171">
        <v>0.0</v>
      </c>
      <c r="AJ367" s="171">
        <v>0.0</v>
      </c>
      <c r="AK367" s="171">
        <v>0.0</v>
      </c>
      <c r="AL367" s="337"/>
      <c r="AM367" s="337"/>
      <c r="AN367" s="337"/>
      <c r="AO367" s="337"/>
      <c r="AP367" s="337"/>
      <c r="AQ367" s="337"/>
      <c r="AR367" s="171"/>
      <c r="AS367" s="171"/>
      <c r="AT367" s="171"/>
      <c r="AU367" s="171"/>
      <c r="AV367" s="171"/>
      <c r="AW367" s="171"/>
      <c r="AX367" s="337"/>
      <c r="AY367" s="337"/>
      <c r="AZ367" s="337"/>
      <c r="BA367" s="171"/>
      <c r="BB367" s="171"/>
      <c r="BC367" s="171"/>
      <c r="BD367" s="171"/>
      <c r="BE367" s="171"/>
      <c r="BF367" s="171">
        <v>0.0</v>
      </c>
      <c r="BG367" s="171">
        <v>0.0</v>
      </c>
      <c r="BH367" s="171">
        <v>0.0</v>
      </c>
      <c r="BI367" s="171" t="s">
        <v>2566</v>
      </c>
      <c r="BJ367" s="171">
        <v>0.0</v>
      </c>
      <c r="BK367" s="171" t="s">
        <v>2566</v>
      </c>
      <c r="BL367" s="171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  <c r="CI367" s="329"/>
    </row>
    <row r="368" ht="15.75" customHeight="1">
      <c r="A368" s="317" t="s">
        <v>2547</v>
      </c>
      <c r="B368" s="235" t="s">
        <v>3534</v>
      </c>
      <c r="C368" s="331" t="s">
        <v>3535</v>
      </c>
      <c r="D368" s="319" t="s">
        <v>2550</v>
      </c>
      <c r="E368" s="319" t="s">
        <v>29</v>
      </c>
      <c r="F368" s="95" t="s">
        <v>2562</v>
      </c>
      <c r="G368" s="44" t="str">
        <f t="shared" si="1"/>
        <v>Augusto</v>
      </c>
      <c r="H368" s="332" t="s">
        <v>186</v>
      </c>
      <c r="I368" s="46" t="s">
        <v>24</v>
      </c>
      <c r="J368" s="319" t="str">
        <f t="shared" si="2"/>
        <v>Não</v>
      </c>
      <c r="K368" s="333">
        <v>43710.0</v>
      </c>
      <c r="L368" s="333">
        <v>44309.0</v>
      </c>
      <c r="M368" s="95" t="s">
        <v>47</v>
      </c>
      <c r="N368" s="334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2563</v>
      </c>
      <c r="S368" s="333">
        <v>43710.0</v>
      </c>
      <c r="T368" s="169"/>
      <c r="U368" s="169" t="s">
        <v>3536</v>
      </c>
      <c r="V368" s="45" t="s">
        <v>108</v>
      </c>
      <c r="W368" s="13" t="s">
        <v>2311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2614</v>
      </c>
      <c r="AE368" s="171">
        <v>171948.74</v>
      </c>
      <c r="AF368" s="171">
        <v>170580.43</v>
      </c>
      <c r="AG368" s="171">
        <v>183129.57</v>
      </c>
      <c r="AH368" s="171">
        <v>185953.1</v>
      </c>
      <c r="AI368" s="171">
        <v>187410.67</v>
      </c>
      <c r="AJ368" s="171">
        <v>192428.67</v>
      </c>
      <c r="AK368" s="171">
        <v>197074.3</v>
      </c>
      <c r="AL368" s="171">
        <v>196887.41</v>
      </c>
      <c r="AM368" s="171">
        <v>196201.43</v>
      </c>
      <c r="AN368" s="171">
        <v>196229.64</v>
      </c>
      <c r="AO368" s="171">
        <v>197621.18</v>
      </c>
      <c r="AP368" s="171">
        <v>198444.05</v>
      </c>
      <c r="AQ368" s="171">
        <v>196781.86</v>
      </c>
      <c r="AR368" s="171">
        <v>159303.99</v>
      </c>
      <c r="AS368" s="171">
        <v>106032.22</v>
      </c>
      <c r="AT368" s="171"/>
      <c r="AU368" s="171"/>
      <c r="AV368" s="171"/>
      <c r="AW368" s="171"/>
      <c r="AX368" s="337"/>
      <c r="AY368" s="337"/>
      <c r="AZ368" s="337"/>
      <c r="BA368" s="171"/>
      <c r="BB368" s="171"/>
      <c r="BC368" s="171"/>
      <c r="BD368" s="171"/>
      <c r="BE368" s="171"/>
      <c r="BF368" s="171">
        <v>0.0</v>
      </c>
      <c r="BG368" s="171">
        <v>0.0</v>
      </c>
      <c r="BH368" s="171">
        <v>0.0</v>
      </c>
      <c r="BI368" s="171" t="s">
        <v>2566</v>
      </c>
      <c r="BJ368" s="171">
        <v>0.0</v>
      </c>
      <c r="BK368" s="171" t="s">
        <v>2566</v>
      </c>
      <c r="BL368" s="171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  <c r="CI368" s="329"/>
    </row>
    <row r="369" ht="15.75" customHeight="1">
      <c r="A369" s="317" t="s">
        <v>2547</v>
      </c>
      <c r="B369" s="42" t="s">
        <v>3537</v>
      </c>
      <c r="C369" s="330" t="s">
        <v>3538</v>
      </c>
      <c r="D369" s="319" t="s">
        <v>18</v>
      </c>
      <c r="E369" s="319" t="s">
        <v>176</v>
      </c>
      <c r="F369" s="93" t="s">
        <v>197</v>
      </c>
      <c r="G369" s="44" t="str">
        <f t="shared" si="1"/>
        <v>Augusto</v>
      </c>
      <c r="H369" s="332" t="s">
        <v>186</v>
      </c>
      <c r="I369" s="46" t="s">
        <v>24</v>
      </c>
      <c r="J369" s="319" t="str">
        <f t="shared" si="2"/>
        <v>Não</v>
      </c>
      <c r="K369" s="320">
        <v>44340.0</v>
      </c>
      <c r="L369" s="333">
        <v>44903.0</v>
      </c>
      <c r="M369" s="95" t="s">
        <v>79</v>
      </c>
      <c r="N369" s="321">
        <v>0.01</v>
      </c>
      <c r="O369" s="319" t="s">
        <v>2552</v>
      </c>
      <c r="P369" s="322">
        <v>0.0</v>
      </c>
      <c r="Q369" s="93" t="str">
        <f>IFERROR(VLOOKUP(F369,'Cadastro de assessores'!A:B,2,FALSE),"Não Cadastrado")</f>
        <v>28411</v>
      </c>
      <c r="R369" s="319" t="s">
        <v>107</v>
      </c>
      <c r="S369" s="320">
        <v>44340.0</v>
      </c>
      <c r="T369" s="74"/>
      <c r="U369" s="50" t="s">
        <v>3539</v>
      </c>
      <c r="V369" s="45" t="s">
        <v>108</v>
      </c>
      <c r="W369" s="5" t="s">
        <v>3540</v>
      </c>
      <c r="X369" s="164" t="s">
        <v>180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119</v>
      </c>
      <c r="AC369" s="95"/>
      <c r="AD369" s="95" t="s">
        <v>2609</v>
      </c>
      <c r="AE369" s="191"/>
      <c r="AF369" s="191"/>
      <c r="AG369" s="191"/>
      <c r="AH369" s="191"/>
      <c r="AI369" s="191"/>
      <c r="AJ369" s="191"/>
      <c r="AK369" s="191"/>
      <c r="AL369" s="191"/>
      <c r="AM369" s="191"/>
      <c r="AN369" s="191"/>
      <c r="AO369" s="191"/>
      <c r="AP369" s="191"/>
      <c r="AQ369" s="191"/>
      <c r="AR369" s="191"/>
      <c r="AS369" s="326"/>
      <c r="AT369" s="326"/>
      <c r="AU369" s="326"/>
      <c r="AV369" s="191"/>
      <c r="AW369" s="191">
        <v>150393.36</v>
      </c>
      <c r="AX369" s="171">
        <v>150270.22</v>
      </c>
      <c r="AY369" s="171">
        <v>149816.69</v>
      </c>
      <c r="AZ369" s="171">
        <v>148643.62</v>
      </c>
      <c r="BA369" s="171">
        <v>129444.37</v>
      </c>
      <c r="BB369" s="171">
        <v>145449.15</v>
      </c>
      <c r="BC369" s="171">
        <v>128521.81</v>
      </c>
      <c r="BD369" s="171">
        <v>146875.19</v>
      </c>
      <c r="BE369" s="171">
        <v>42443.57</v>
      </c>
      <c r="BF369" s="171">
        <v>42688.22</v>
      </c>
      <c r="BG369" s="171">
        <v>43139.9</v>
      </c>
      <c r="BH369" s="171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  <c r="CI369" s="329"/>
    </row>
    <row r="370" ht="15.75" customHeight="1">
      <c r="A370" s="317" t="s">
        <v>2547</v>
      </c>
      <c r="B370" s="235" t="s">
        <v>3541</v>
      </c>
      <c r="C370" s="219" t="s">
        <v>3542</v>
      </c>
      <c r="D370" s="319" t="s">
        <v>18</v>
      </c>
      <c r="E370" s="319" t="s">
        <v>176</v>
      </c>
      <c r="F370" s="324" t="s">
        <v>532</v>
      </c>
      <c r="G370" s="44" t="str">
        <f t="shared" si="1"/>
        <v>Augusto</v>
      </c>
      <c r="H370" s="165" t="s">
        <v>147</v>
      </c>
      <c r="I370" s="51" t="s">
        <v>219</v>
      </c>
      <c r="J370" s="319" t="str">
        <f t="shared" si="2"/>
        <v>Não</v>
      </c>
      <c r="K370" s="320">
        <v>44272.0</v>
      </c>
      <c r="L370" s="95"/>
      <c r="M370" s="95" t="s">
        <v>79</v>
      </c>
      <c r="N370" s="334">
        <v>0.012</v>
      </c>
      <c r="O370" s="319" t="s">
        <v>2552</v>
      </c>
      <c r="P370" s="322">
        <v>0.0</v>
      </c>
      <c r="Q370" s="319">
        <f>IFERROR(VLOOKUP(F370,'Cadastro de assessores'!A:B,2,FALSE),"Não Cadastrado")</f>
        <v>12362</v>
      </c>
      <c r="R370" s="319" t="s">
        <v>107</v>
      </c>
      <c r="S370" s="320">
        <v>44272.0</v>
      </c>
      <c r="T370" s="169"/>
      <c r="U370" s="169"/>
      <c r="V370" s="45" t="s">
        <v>108</v>
      </c>
      <c r="W370" s="13" t="s">
        <v>2346</v>
      </c>
      <c r="X370" s="164" t="s">
        <v>180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119</v>
      </c>
      <c r="AC370" s="95"/>
      <c r="AD370" s="95" t="s">
        <v>2609</v>
      </c>
      <c r="AE370" s="337"/>
      <c r="AF370" s="337"/>
      <c r="AG370" s="337"/>
      <c r="AH370" s="337"/>
      <c r="AI370" s="337"/>
      <c r="AJ370" s="337"/>
      <c r="AK370" s="337"/>
      <c r="AL370" s="337"/>
      <c r="AM370" s="337"/>
      <c r="AN370" s="337"/>
      <c r="AO370" s="337"/>
      <c r="AP370" s="337"/>
      <c r="AQ370" s="337"/>
      <c r="AR370" s="171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1">
        <v>226932.61</v>
      </c>
      <c r="AY370" s="171">
        <v>226122.7</v>
      </c>
      <c r="AZ370" s="171">
        <v>224226.11</v>
      </c>
      <c r="BA370" s="171">
        <v>222970.57</v>
      </c>
      <c r="BB370" s="171">
        <v>221133.89</v>
      </c>
      <c r="BC370" s="171">
        <v>220471.38</v>
      </c>
      <c r="BD370" s="171">
        <v>221190.11</v>
      </c>
      <c r="BE370" s="171">
        <v>224440.71</v>
      </c>
      <c r="BF370" s="171">
        <v>225921.62</v>
      </c>
      <c r="BG370" s="171">
        <v>230614.48</v>
      </c>
      <c r="BH370" s="171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  <c r="CI370" s="329"/>
    </row>
    <row r="371" ht="15.75" customHeight="1">
      <c r="A371" s="317" t="s">
        <v>2547</v>
      </c>
      <c r="B371" s="317" t="s">
        <v>3543</v>
      </c>
      <c r="C371" s="318" t="s">
        <v>3544</v>
      </c>
      <c r="D371" s="319" t="s">
        <v>2659</v>
      </c>
      <c r="E371" s="319" t="s">
        <v>29</v>
      </c>
      <c r="F371" s="319" t="s">
        <v>2659</v>
      </c>
      <c r="G371" s="44" t="str">
        <f t="shared" si="1"/>
        <v>Breno</v>
      </c>
      <c r="H371" s="165" t="s">
        <v>107</v>
      </c>
      <c r="I371" s="46" t="s">
        <v>24</v>
      </c>
      <c r="J371" s="319" t="str">
        <f t="shared" si="2"/>
        <v>Não</v>
      </c>
      <c r="K371" s="335">
        <v>43384.0</v>
      </c>
      <c r="L371" s="95"/>
      <c r="M371" s="95" t="s">
        <v>190</v>
      </c>
      <c r="N371" s="321">
        <v>0.01</v>
      </c>
      <c r="O371" s="319" t="s">
        <v>2552</v>
      </c>
      <c r="P371" s="322">
        <v>0.0</v>
      </c>
      <c r="Q371" s="319" t="str">
        <f>IFERROR(VLOOKUP(F371,'Cadastro de assessores'!A:B,2,FALSE),"Não Cadastrado")</f>
        <v>22400</v>
      </c>
      <c r="R371" s="319" t="s">
        <v>107</v>
      </c>
      <c r="S371" s="335">
        <v>43384.0</v>
      </c>
      <c r="T371" s="169"/>
      <c r="U371" s="169"/>
      <c r="V371" s="45" t="s">
        <v>108</v>
      </c>
      <c r="W371" s="324" t="s">
        <v>3545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119</v>
      </c>
      <c r="AC371" s="95"/>
      <c r="AD371" s="95" t="s">
        <v>2602</v>
      </c>
      <c r="AE371" s="171">
        <v>132252.1</v>
      </c>
      <c r="AF371" s="171">
        <v>125939.42</v>
      </c>
      <c r="AG371" s="171">
        <v>93811.81</v>
      </c>
      <c r="AH371" s="171">
        <v>102249.03</v>
      </c>
      <c r="AI371" s="171">
        <v>107442.06</v>
      </c>
      <c r="AJ371" s="171">
        <v>113549.39</v>
      </c>
      <c r="AK371" s="171">
        <v>123925.61</v>
      </c>
      <c r="AL371" s="171">
        <v>113735.35</v>
      </c>
      <c r="AM371" s="171">
        <v>108392.89</v>
      </c>
      <c r="AN371" s="171">
        <v>113674.62</v>
      </c>
      <c r="AO371" s="171">
        <v>128680.11</v>
      </c>
      <c r="AP371" s="171">
        <v>132908.08</v>
      </c>
      <c r="AQ371" s="171">
        <v>127315.02</v>
      </c>
      <c r="AR371" s="171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1">
        <v>131498.98</v>
      </c>
      <c r="AY371" s="171">
        <v>127649.0</v>
      </c>
      <c r="AZ371" s="171">
        <v>121996.93</v>
      </c>
      <c r="BA371" s="171">
        <v>115719.8</v>
      </c>
      <c r="BB371" s="171">
        <v>108474.13</v>
      </c>
      <c r="BC371" s="171">
        <v>105127.52</v>
      </c>
      <c r="BD371" s="171">
        <v>104998.3</v>
      </c>
      <c r="BE371" s="171">
        <v>110301.44</v>
      </c>
      <c r="BF371" s="171">
        <v>112234.18</v>
      </c>
      <c r="BG371" s="171">
        <v>120778.44</v>
      </c>
      <c r="BH371" s="171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  <c r="CI371" s="329"/>
    </row>
    <row r="372" ht="15.75" customHeight="1">
      <c r="A372" s="317" t="s">
        <v>2547</v>
      </c>
      <c r="B372" s="239" t="s">
        <v>3546</v>
      </c>
      <c r="C372" s="331" t="s">
        <v>3547</v>
      </c>
      <c r="D372" s="319" t="s">
        <v>2659</v>
      </c>
      <c r="E372" s="319" t="s">
        <v>29</v>
      </c>
      <c r="F372" s="95" t="s">
        <v>2659</v>
      </c>
      <c r="G372" s="44" t="str">
        <f t="shared" si="1"/>
        <v>Augusto</v>
      </c>
      <c r="H372" s="332" t="s">
        <v>186</v>
      </c>
      <c r="I372" s="46" t="s">
        <v>24</v>
      </c>
      <c r="J372" s="319" t="str">
        <f t="shared" si="2"/>
        <v>Não</v>
      </c>
      <c r="K372" s="333">
        <v>43494.0</v>
      </c>
      <c r="L372" s="338">
        <v>44132.0</v>
      </c>
      <c r="M372" s="95" t="s">
        <v>190</v>
      </c>
      <c r="N372" s="334">
        <v>0.01</v>
      </c>
      <c r="O372" s="319" t="s">
        <v>191</v>
      </c>
      <c r="P372" s="322">
        <v>0.2</v>
      </c>
      <c r="Q372" s="95" t="str">
        <f>IFERROR(VLOOKUP(F372,'Cadastro de assessores'!A:B,2,FALSE),"Não Cadastrado")</f>
        <v>22400</v>
      </c>
      <c r="R372" s="95" t="s">
        <v>2563</v>
      </c>
      <c r="S372" s="333">
        <v>43494.0</v>
      </c>
      <c r="T372" s="169"/>
      <c r="U372" s="169"/>
      <c r="V372" s="45" t="s">
        <v>108</v>
      </c>
      <c r="W372" s="13" t="s">
        <v>3548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2623</v>
      </c>
      <c r="AE372" s="171">
        <v>204035.21</v>
      </c>
      <c r="AF372" s="171">
        <v>193952.68</v>
      </c>
      <c r="AG372" s="171">
        <v>149618.53</v>
      </c>
      <c r="AH372" s="171">
        <v>159618.03</v>
      </c>
      <c r="AI372" s="171">
        <v>166210.44</v>
      </c>
      <c r="AJ372" s="171">
        <v>175629.47</v>
      </c>
      <c r="AK372" s="171">
        <v>187375.04</v>
      </c>
      <c r="AL372" s="171">
        <v>178660.46</v>
      </c>
      <c r="AM372" s="171">
        <v>191544.71</v>
      </c>
      <c r="AN372" s="171">
        <v>199190.36</v>
      </c>
      <c r="AO372" s="337"/>
      <c r="AP372" s="337"/>
      <c r="AQ372" s="337"/>
      <c r="AR372" s="171"/>
      <c r="AS372" s="171"/>
      <c r="AT372" s="171"/>
      <c r="AU372" s="171"/>
      <c r="AV372" s="171"/>
      <c r="AW372" s="171"/>
      <c r="AX372" s="337"/>
      <c r="AY372" s="337"/>
      <c r="AZ372" s="337"/>
      <c r="BA372" s="171"/>
      <c r="BB372" s="171"/>
      <c r="BC372" s="171"/>
      <c r="BD372" s="171"/>
      <c r="BE372" s="171"/>
      <c r="BF372" s="171">
        <v>0.0</v>
      </c>
      <c r="BG372" s="171">
        <v>0.0</v>
      </c>
      <c r="BH372" s="171">
        <v>0.0</v>
      </c>
      <c r="BI372" s="171" t="s">
        <v>2566</v>
      </c>
      <c r="BJ372" s="171">
        <v>0.0</v>
      </c>
      <c r="BK372" s="171" t="s">
        <v>2566</v>
      </c>
      <c r="BL372" s="171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  <c r="CI372" s="329"/>
    </row>
    <row r="373" ht="15.75" customHeight="1">
      <c r="A373" s="317" t="s">
        <v>2547</v>
      </c>
      <c r="B373" s="42" t="s">
        <v>3549</v>
      </c>
      <c r="C373" s="330" t="s">
        <v>3550</v>
      </c>
      <c r="D373" s="319" t="s">
        <v>18</v>
      </c>
      <c r="E373" s="319" t="s">
        <v>176</v>
      </c>
      <c r="F373" s="319" t="s">
        <v>177</v>
      </c>
      <c r="G373" s="44" t="str">
        <f t="shared" si="1"/>
        <v>Augusto</v>
      </c>
      <c r="H373" s="332" t="s">
        <v>186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107</v>
      </c>
      <c r="S373" s="320">
        <v>44319.0</v>
      </c>
      <c r="T373" s="50"/>
      <c r="U373" s="323" t="s">
        <v>2831</v>
      </c>
      <c r="V373" s="45" t="s">
        <v>108</v>
      </c>
      <c r="W373" s="5" t="s">
        <v>3551</v>
      </c>
      <c r="X373" s="164" t="s">
        <v>180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119</v>
      </c>
      <c r="AC373" s="95"/>
      <c r="AD373" s="95" t="s">
        <v>2609</v>
      </c>
      <c r="AE373" s="191"/>
      <c r="AF373" s="191"/>
      <c r="AG373" s="191"/>
      <c r="AH373" s="191"/>
      <c r="AI373" s="191"/>
      <c r="AJ373" s="191"/>
      <c r="AK373" s="191"/>
      <c r="AL373" s="191"/>
      <c r="AM373" s="191"/>
      <c r="AN373" s="191"/>
      <c r="AO373" s="191"/>
      <c r="AP373" s="191"/>
      <c r="AQ373" s="191"/>
      <c r="AR373" s="171"/>
      <c r="AS373" s="326"/>
      <c r="AT373" s="326"/>
      <c r="AU373" s="326"/>
      <c r="AV373" s="326"/>
      <c r="AW373" s="326">
        <v>143470.59</v>
      </c>
      <c r="AX373" s="171">
        <v>142716.91</v>
      </c>
      <c r="AY373" s="171">
        <v>141316.93</v>
      </c>
      <c r="AZ373" s="171">
        <v>138661.1</v>
      </c>
      <c r="BA373" s="171">
        <v>130167.83</v>
      </c>
      <c r="BB373" s="171">
        <v>132874.06</v>
      </c>
      <c r="BC373" s="171">
        <v>131348.54</v>
      </c>
      <c r="BD373" s="171">
        <v>131749.4</v>
      </c>
      <c r="BE373" s="171">
        <v>134227.15</v>
      </c>
      <c r="BF373" s="171">
        <v>134907.74</v>
      </c>
      <c r="BG373" s="171">
        <v>141396.03</v>
      </c>
      <c r="BH373" s="171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  <c r="CI373" s="329"/>
    </row>
    <row r="374" ht="15.75" customHeight="1">
      <c r="A374" s="317" t="s">
        <v>2547</v>
      </c>
      <c r="B374" s="317" t="s">
        <v>3552</v>
      </c>
      <c r="C374" s="318" t="s">
        <v>3553</v>
      </c>
      <c r="D374" s="319" t="s">
        <v>2550</v>
      </c>
      <c r="E374" s="319" t="s">
        <v>29</v>
      </c>
      <c r="F374" s="319" t="s">
        <v>2562</v>
      </c>
      <c r="G374" s="44" t="str">
        <f t="shared" si="1"/>
        <v>Augusto</v>
      </c>
      <c r="H374" s="165" t="s">
        <v>147</v>
      </c>
      <c r="I374" s="51" t="s">
        <v>219</v>
      </c>
      <c r="J374" s="319" t="str">
        <f t="shared" si="2"/>
        <v>Sim</v>
      </c>
      <c r="K374" s="335">
        <v>43822.0</v>
      </c>
      <c r="L374" s="95"/>
      <c r="M374" s="95" t="s">
        <v>79</v>
      </c>
      <c r="N374" s="334">
        <v>0.012</v>
      </c>
      <c r="O374" s="319" t="s">
        <v>2552</v>
      </c>
      <c r="P374" s="322">
        <v>0.0</v>
      </c>
      <c r="Q374" s="319" t="str">
        <f>IFERROR(VLOOKUP(F374,'Cadastro de assessores'!A:B,2,FALSE),"Não Cadastrado")</f>
        <v>2971</v>
      </c>
      <c r="R374" s="319" t="s">
        <v>107</v>
      </c>
      <c r="S374" s="335">
        <v>43811.0</v>
      </c>
      <c r="T374" s="169" t="s">
        <v>3554</v>
      </c>
      <c r="U374" s="169"/>
      <c r="V374" s="45" t="s">
        <v>108</v>
      </c>
      <c r="W374" s="324" t="s">
        <v>3555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119</v>
      </c>
      <c r="AC374" s="95"/>
      <c r="AD374" s="95" t="s">
        <v>2591</v>
      </c>
      <c r="AE374" s="171">
        <v>113079.77</v>
      </c>
      <c r="AF374" s="171">
        <v>118513.92</v>
      </c>
      <c r="AG374" s="171">
        <v>113047.14</v>
      </c>
      <c r="AH374" s="171">
        <v>146406.61</v>
      </c>
      <c r="AI374" s="171">
        <v>164629.46</v>
      </c>
      <c r="AJ374" s="171">
        <v>186103.16</v>
      </c>
      <c r="AK374" s="171">
        <v>218003.35</v>
      </c>
      <c r="AL374" s="171">
        <v>225209.02</v>
      </c>
      <c r="AM374" s="171">
        <v>222609.95</v>
      </c>
      <c r="AN374" s="171">
        <v>223262.65</v>
      </c>
      <c r="AO374" s="171">
        <v>250432.14</v>
      </c>
      <c r="AP374" s="171">
        <v>265317.83</v>
      </c>
      <c r="AQ374" s="171">
        <v>251869.46</v>
      </c>
      <c r="AR374" s="171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1">
        <v>236193.39</v>
      </c>
      <c r="AY374" s="171">
        <v>235519.03</v>
      </c>
      <c r="AZ374" s="171">
        <v>233635.09</v>
      </c>
      <c r="BA374" s="171">
        <v>188415.31</v>
      </c>
      <c r="BB374" s="171">
        <v>230178.43</v>
      </c>
      <c r="BC374" s="171">
        <v>229739.65</v>
      </c>
      <c r="BD374" s="171">
        <v>230748.79</v>
      </c>
      <c r="BE374" s="171">
        <v>220709.25</v>
      </c>
      <c r="BF374" s="171">
        <v>222329.46</v>
      </c>
      <c r="BG374" s="171">
        <v>227577.4</v>
      </c>
      <c r="BH374" s="171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  <c r="CI374" s="329"/>
    </row>
    <row r="375" ht="15.75" customHeight="1">
      <c r="A375" s="317" t="s">
        <v>2547</v>
      </c>
      <c r="B375" s="317" t="s">
        <v>3556</v>
      </c>
      <c r="C375" s="318" t="s">
        <v>3557</v>
      </c>
      <c r="D375" s="319" t="s">
        <v>2659</v>
      </c>
      <c r="E375" s="319" t="s">
        <v>29</v>
      </c>
      <c r="F375" s="319" t="s">
        <v>2659</v>
      </c>
      <c r="G375" s="44" t="str">
        <f t="shared" si="1"/>
        <v>Augusto</v>
      </c>
      <c r="H375" s="332" t="s">
        <v>147</v>
      </c>
      <c r="I375" s="51" t="s">
        <v>219</v>
      </c>
      <c r="J375" s="319" t="str">
        <f t="shared" si="2"/>
        <v>Não</v>
      </c>
      <c r="K375" s="320">
        <v>43538.0</v>
      </c>
      <c r="L375" s="95"/>
      <c r="M375" s="95" t="s">
        <v>190</v>
      </c>
      <c r="N375" s="321">
        <v>0.01</v>
      </c>
      <c r="O375" s="319" t="s">
        <v>2552</v>
      </c>
      <c r="P375" s="322">
        <v>0.0</v>
      </c>
      <c r="Q375" s="319" t="str">
        <f>IFERROR(VLOOKUP(F375,'Cadastro de assessores'!A:B,2,FALSE),"Não Cadastrado")</f>
        <v>22400</v>
      </c>
      <c r="R375" s="319" t="s">
        <v>107</v>
      </c>
      <c r="S375" s="320">
        <v>43538.0</v>
      </c>
      <c r="T375" s="169"/>
      <c r="U375" s="169"/>
      <c r="V375" s="45" t="s">
        <v>108</v>
      </c>
      <c r="W375" s="324" t="s">
        <v>3558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119</v>
      </c>
      <c r="AC375" s="95"/>
      <c r="AD375" s="95" t="s">
        <v>2623</v>
      </c>
      <c r="AE375" s="171">
        <v>61568.09</v>
      </c>
      <c r="AF375" s="171">
        <v>57643.36</v>
      </c>
      <c r="AG375" s="171">
        <v>44479.31</v>
      </c>
      <c r="AH375" s="171">
        <v>47885.73</v>
      </c>
      <c r="AI375" s="171">
        <v>49575.03</v>
      </c>
      <c r="AJ375" s="171">
        <v>50605.52</v>
      </c>
      <c r="AK375" s="171">
        <v>54540.78</v>
      </c>
      <c r="AL375" s="171">
        <v>50953.25</v>
      </c>
      <c r="AM375" s="171">
        <v>48495.78</v>
      </c>
      <c r="AN375" s="171">
        <v>49483.06</v>
      </c>
      <c r="AO375" s="171">
        <v>57526.87</v>
      </c>
      <c r="AP375" s="171">
        <v>59380.71</v>
      </c>
      <c r="AQ375" s="171">
        <v>55356.68</v>
      </c>
      <c r="AR375" s="171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1">
        <v>54954.62</v>
      </c>
      <c r="AY375" s="171">
        <v>53368.97</v>
      </c>
      <c r="AZ375" s="171">
        <v>51056.55</v>
      </c>
      <c r="BA375" s="171">
        <v>48767.41</v>
      </c>
      <c r="BB375" s="171">
        <v>45969.79</v>
      </c>
      <c r="BC375" s="171">
        <v>44618.23</v>
      </c>
      <c r="BD375" s="171">
        <v>44435.26</v>
      </c>
      <c r="BE375" s="171">
        <v>47094.65</v>
      </c>
      <c r="BF375" s="171">
        <v>47475.79</v>
      </c>
      <c r="BG375" s="171">
        <v>50947.76</v>
      </c>
      <c r="BH375" s="171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  <c r="CI375" s="329"/>
    </row>
    <row r="376" ht="15.75" customHeight="1">
      <c r="A376" s="317" t="s">
        <v>2547</v>
      </c>
      <c r="B376" s="239" t="s">
        <v>3559</v>
      </c>
      <c r="C376" s="331">
        <v>324079.0</v>
      </c>
      <c r="D376" s="319" t="s">
        <v>18</v>
      </c>
      <c r="E376" s="319" t="s">
        <v>176</v>
      </c>
      <c r="F376" s="95" t="s">
        <v>177</v>
      </c>
      <c r="G376" s="44" t="str">
        <f t="shared" si="1"/>
        <v>Augusto</v>
      </c>
      <c r="H376" s="165" t="s">
        <v>147</v>
      </c>
      <c r="I376" s="51" t="s">
        <v>219</v>
      </c>
      <c r="J376" s="319" t="str">
        <f t="shared" si="2"/>
        <v>Não</v>
      </c>
      <c r="K376" s="166">
        <v>44789.0</v>
      </c>
      <c r="L376" s="389"/>
      <c r="M376" s="95" t="s">
        <v>55</v>
      </c>
      <c r="N376" s="334">
        <v>0.007</v>
      </c>
      <c r="O376" s="319" t="s">
        <v>2552</v>
      </c>
      <c r="P376" s="322">
        <v>0.0</v>
      </c>
      <c r="Q376" s="319" t="str">
        <f>IFERROR(VLOOKUP(F376,'Cadastro de assessores'!A:B,2,FALSE),"Não Cadastrado")</f>
        <v>250</v>
      </c>
      <c r="R376" s="95" t="s">
        <v>107</v>
      </c>
      <c r="S376" s="166">
        <v>44770.0</v>
      </c>
      <c r="T376" s="169"/>
      <c r="U376" s="169"/>
      <c r="V376" s="45" t="s">
        <v>108</v>
      </c>
      <c r="W376" s="13" t="s">
        <v>2404</v>
      </c>
      <c r="X376" s="13" t="s">
        <v>180</v>
      </c>
      <c r="Y376" s="51" t="str">
        <f t="shared" si="3"/>
        <v>Ativo</v>
      </c>
      <c r="Z376" s="325"/>
      <c r="AA376" s="95" t="str">
        <f t="shared" si="8"/>
        <v/>
      </c>
      <c r="AB376" s="13" t="s">
        <v>119</v>
      </c>
      <c r="AC376" s="95"/>
      <c r="AD376" s="95"/>
      <c r="AE376" s="171"/>
      <c r="AF376" s="171"/>
      <c r="AG376" s="171"/>
      <c r="AH376" s="171"/>
      <c r="AI376" s="171"/>
      <c r="AJ376" s="171"/>
      <c r="AK376" s="171"/>
      <c r="AL376" s="337"/>
      <c r="AM376" s="337"/>
      <c r="AN376" s="337"/>
      <c r="AO376" s="337"/>
      <c r="AP376" s="337"/>
      <c r="AQ376" s="337"/>
      <c r="AR376" s="171"/>
      <c r="AS376" s="171"/>
      <c r="AT376" s="171"/>
      <c r="AU376" s="171"/>
      <c r="AV376" s="171"/>
      <c r="AW376" s="171"/>
      <c r="AX376" s="337"/>
      <c r="AY376" s="337"/>
      <c r="AZ376" s="337"/>
      <c r="BA376" s="171"/>
      <c r="BB376" s="171"/>
      <c r="BC376" s="171"/>
      <c r="BD376" s="171"/>
      <c r="BE376" s="171"/>
      <c r="BF376" s="171"/>
      <c r="BG376" s="171"/>
      <c r="BH376" s="171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  <c r="CI376" s="329"/>
    </row>
    <row r="377" ht="15.75" customHeight="1">
      <c r="A377" s="317" t="s">
        <v>2547</v>
      </c>
      <c r="B377" s="61" t="s">
        <v>2427</v>
      </c>
      <c r="C377" s="45">
        <v>5824219.0</v>
      </c>
      <c r="D377" s="319" t="s">
        <v>18</v>
      </c>
      <c r="E377" s="319" t="s">
        <v>176</v>
      </c>
      <c r="F377" s="95" t="s">
        <v>197</v>
      </c>
      <c r="G377" s="44" t="str">
        <f t="shared" si="1"/>
        <v>Augusto</v>
      </c>
      <c r="H377" s="165" t="s">
        <v>147</v>
      </c>
      <c r="I377" s="51" t="s">
        <v>219</v>
      </c>
      <c r="J377" s="319" t="str">
        <f t="shared" si="2"/>
        <v>Não</v>
      </c>
      <c r="K377" s="166">
        <v>44781.0</v>
      </c>
      <c r="L377" s="389"/>
      <c r="M377" s="95" t="s">
        <v>55</v>
      </c>
      <c r="N377" s="334">
        <v>0.007</v>
      </c>
      <c r="O377" s="319" t="s">
        <v>2552</v>
      </c>
      <c r="P377" s="322">
        <v>0.0</v>
      </c>
      <c r="Q377" s="95" t="s">
        <v>3560</v>
      </c>
      <c r="R377" s="95" t="s">
        <v>107</v>
      </c>
      <c r="S377" s="166">
        <v>44770.0</v>
      </c>
      <c r="T377" s="63"/>
      <c r="U377" s="336" t="s">
        <v>3561</v>
      </c>
      <c r="V377" s="45" t="s">
        <v>108</v>
      </c>
      <c r="W377" s="5" t="s">
        <v>2429</v>
      </c>
      <c r="X377" s="13" t="s">
        <v>180</v>
      </c>
      <c r="Y377" s="51" t="str">
        <f t="shared" si="3"/>
        <v>Ativo</v>
      </c>
      <c r="Z377" s="325"/>
      <c r="AA377" s="95" t="str">
        <f t="shared" si="8"/>
        <v/>
      </c>
      <c r="AB377" s="13" t="s">
        <v>119</v>
      </c>
      <c r="AC377" s="95"/>
      <c r="AD377" s="95"/>
      <c r="AE377" s="171"/>
      <c r="AF377" s="171"/>
      <c r="AG377" s="171"/>
      <c r="AH377" s="171"/>
      <c r="AI377" s="171"/>
      <c r="AJ377" s="171"/>
      <c r="AK377" s="171"/>
      <c r="AL377" s="337"/>
      <c r="AM377" s="337"/>
      <c r="AN377" s="337"/>
      <c r="AO377" s="337"/>
      <c r="AP377" s="337"/>
      <c r="AQ377" s="337"/>
      <c r="AR377" s="171"/>
      <c r="AS377" s="171"/>
      <c r="AT377" s="171"/>
      <c r="AU377" s="171"/>
      <c r="AV377" s="171"/>
      <c r="AW377" s="171"/>
      <c r="AX377" s="337"/>
      <c r="AY377" s="337"/>
      <c r="AZ377" s="337"/>
      <c r="BA377" s="171"/>
      <c r="BB377" s="171"/>
      <c r="BC377" s="171"/>
      <c r="BD377" s="171"/>
      <c r="BE377" s="171"/>
      <c r="BF377" s="171"/>
      <c r="BG377" s="171"/>
      <c r="BH377" s="171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  <c r="CI377" s="329"/>
    </row>
    <row r="378" ht="15.75" customHeight="1">
      <c r="A378" s="317" t="s">
        <v>2547</v>
      </c>
      <c r="B378" s="61" t="s">
        <v>3562</v>
      </c>
      <c r="C378" s="45">
        <v>3583227.0</v>
      </c>
      <c r="D378" s="319" t="s">
        <v>18</v>
      </c>
      <c r="E378" s="319" t="s">
        <v>176</v>
      </c>
      <c r="F378" s="95" t="s">
        <v>2634</v>
      </c>
      <c r="G378" s="44" t="str">
        <f t="shared" si="1"/>
        <v>Augusto</v>
      </c>
      <c r="H378" s="165" t="s">
        <v>147</v>
      </c>
      <c r="I378" s="51" t="s">
        <v>219</v>
      </c>
      <c r="J378" s="319" t="str">
        <f t="shared" si="2"/>
        <v>Não</v>
      </c>
      <c r="K378" s="166"/>
      <c r="L378" s="389"/>
      <c r="M378" s="95" t="s">
        <v>55</v>
      </c>
      <c r="N378" s="334">
        <v>0.007</v>
      </c>
      <c r="O378" s="319" t="s">
        <v>2552</v>
      </c>
      <c r="P378" s="322">
        <v>0.0</v>
      </c>
      <c r="Q378" s="95" t="s">
        <v>3563</v>
      </c>
      <c r="R378" s="95"/>
      <c r="S378" s="166"/>
      <c r="T378" s="169"/>
      <c r="U378" s="169"/>
      <c r="V378" s="45" t="s">
        <v>108</v>
      </c>
      <c r="W378" s="5" t="s">
        <v>3564</v>
      </c>
      <c r="X378" s="13" t="s">
        <v>180</v>
      </c>
      <c r="Y378" s="51" t="str">
        <f t="shared" si="3"/>
        <v>Inativo</v>
      </c>
      <c r="Z378" s="325"/>
      <c r="AA378" s="95" t="str">
        <f t="shared" si="8"/>
        <v/>
      </c>
      <c r="AB378" s="13" t="s">
        <v>119</v>
      </c>
      <c r="AC378" s="95"/>
      <c r="AD378" s="95"/>
      <c r="AE378" s="171"/>
      <c r="AF378" s="171"/>
      <c r="AG378" s="171"/>
      <c r="AH378" s="171"/>
      <c r="AI378" s="171"/>
      <c r="AJ378" s="171"/>
      <c r="AK378" s="171"/>
      <c r="AL378" s="337"/>
      <c r="AM378" s="337"/>
      <c r="AN378" s="337"/>
      <c r="AO378" s="337"/>
      <c r="AP378" s="337"/>
      <c r="AQ378" s="337"/>
      <c r="AR378" s="171"/>
      <c r="AS378" s="171"/>
      <c r="AT378" s="171"/>
      <c r="AU378" s="171"/>
      <c r="AV378" s="171"/>
      <c r="AW378" s="171"/>
      <c r="AX378" s="337"/>
      <c r="AY378" s="337"/>
      <c r="AZ378" s="337"/>
      <c r="BA378" s="171"/>
      <c r="BB378" s="171"/>
      <c r="BC378" s="171"/>
      <c r="BD378" s="171"/>
      <c r="BE378" s="171"/>
      <c r="BF378" s="171"/>
      <c r="BG378" s="171"/>
      <c r="BH378" s="171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  <c r="CI378" s="329"/>
    </row>
    <row r="379" ht="15.75" customHeight="1">
      <c r="A379" s="317" t="s">
        <v>2547</v>
      </c>
      <c r="B379" s="239" t="s">
        <v>3565</v>
      </c>
      <c r="C379" s="331" t="s">
        <v>3566</v>
      </c>
      <c r="D379" s="319" t="s">
        <v>18</v>
      </c>
      <c r="E379" s="319" t="s">
        <v>29</v>
      </c>
      <c r="F379" s="95" t="s">
        <v>2803</v>
      </c>
      <c r="G379" s="44" t="str">
        <f t="shared" si="1"/>
        <v>Augusto</v>
      </c>
      <c r="H379" s="332" t="s">
        <v>186</v>
      </c>
      <c r="I379" s="46" t="s">
        <v>24</v>
      </c>
      <c r="J379" s="319" t="str">
        <f t="shared" si="2"/>
        <v>Não</v>
      </c>
      <c r="K379" s="338">
        <v>43461.0</v>
      </c>
      <c r="L379" s="389">
        <v>43862.0</v>
      </c>
      <c r="M379" s="95" t="s">
        <v>47</v>
      </c>
      <c r="N379" s="334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2563</v>
      </c>
      <c r="S379" s="338">
        <v>43461.0</v>
      </c>
      <c r="T379" s="169"/>
      <c r="U379" s="169"/>
      <c r="V379" s="45" t="s">
        <v>108</v>
      </c>
      <c r="W379" s="13" t="s">
        <v>3567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2565</v>
      </c>
      <c r="AE379" s="171">
        <v>0.0</v>
      </c>
      <c r="AF379" s="171">
        <v>0.0</v>
      </c>
      <c r="AG379" s="171">
        <v>0.0</v>
      </c>
      <c r="AH379" s="171">
        <v>0.0</v>
      </c>
      <c r="AI379" s="171">
        <v>0.0</v>
      </c>
      <c r="AJ379" s="171">
        <v>0.0</v>
      </c>
      <c r="AK379" s="171">
        <v>0.0</v>
      </c>
      <c r="AL379" s="337"/>
      <c r="AM379" s="337"/>
      <c r="AN379" s="337"/>
      <c r="AO379" s="337"/>
      <c r="AP379" s="337"/>
      <c r="AQ379" s="337"/>
      <c r="AR379" s="171"/>
      <c r="AS379" s="171"/>
      <c r="AT379" s="171"/>
      <c r="AU379" s="171"/>
      <c r="AV379" s="171"/>
      <c r="AW379" s="171"/>
      <c r="AX379" s="337"/>
      <c r="AY379" s="337"/>
      <c r="AZ379" s="337"/>
      <c r="BA379" s="171"/>
      <c r="BB379" s="171"/>
      <c r="BC379" s="171"/>
      <c r="BD379" s="171"/>
      <c r="BE379" s="171"/>
      <c r="BF379" s="171">
        <v>0.0</v>
      </c>
      <c r="BG379" s="171">
        <v>0.0</v>
      </c>
      <c r="BH379" s="171">
        <v>0.0</v>
      </c>
      <c r="BI379" s="171" t="s">
        <v>2566</v>
      </c>
      <c r="BJ379" s="171">
        <v>0.0</v>
      </c>
      <c r="BK379" s="171">
        <v>0.0</v>
      </c>
      <c r="BL379" s="171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  <c r="CI379" s="329"/>
    </row>
    <row r="380" ht="15.75" customHeight="1">
      <c r="A380" s="317" t="s">
        <v>2547</v>
      </c>
      <c r="B380" s="42" t="s">
        <v>3568</v>
      </c>
      <c r="C380" s="366" t="s">
        <v>3569</v>
      </c>
      <c r="D380" s="319" t="s">
        <v>18</v>
      </c>
      <c r="E380" s="319" t="s">
        <v>176</v>
      </c>
      <c r="F380" s="164" t="s">
        <v>197</v>
      </c>
      <c r="G380" s="44" t="str">
        <f t="shared" si="1"/>
        <v>Augusto</v>
      </c>
      <c r="H380" s="332" t="s">
        <v>186</v>
      </c>
      <c r="I380" s="46" t="s">
        <v>24</v>
      </c>
      <c r="J380" s="319" t="str">
        <f t="shared" si="2"/>
        <v>Não</v>
      </c>
      <c r="K380" s="333">
        <v>44335.0</v>
      </c>
      <c r="L380" s="72">
        <v>44746.0</v>
      </c>
      <c r="M380" s="95" t="s">
        <v>47</v>
      </c>
      <c r="N380" s="334">
        <v>0.015</v>
      </c>
      <c r="O380" s="319" t="s">
        <v>48</v>
      </c>
      <c r="P380" s="322">
        <v>0.1</v>
      </c>
      <c r="Q380" s="164" t="str">
        <f>IFERROR(VLOOKUP(F380,'Cadastro de assessores'!A:B,2,FALSE),"Não Cadastrado")</f>
        <v>28411</v>
      </c>
      <c r="R380" s="95" t="s">
        <v>2563</v>
      </c>
      <c r="S380" s="333">
        <v>44335.0</v>
      </c>
      <c r="T380" s="50"/>
      <c r="U380" s="50"/>
      <c r="V380" s="45" t="s">
        <v>108</v>
      </c>
      <c r="W380" s="5" t="s">
        <v>3570</v>
      </c>
      <c r="X380" s="164" t="s">
        <v>180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119</v>
      </c>
      <c r="AC380" s="95"/>
      <c r="AD380" s="95" t="s">
        <v>2769</v>
      </c>
      <c r="AE380" s="191"/>
      <c r="AF380" s="191"/>
      <c r="AG380" s="191"/>
      <c r="AH380" s="191"/>
      <c r="AI380" s="191"/>
      <c r="AJ380" s="191"/>
      <c r="AK380" s="191"/>
      <c r="AL380" s="191"/>
      <c r="AM380" s="191"/>
      <c r="AN380" s="191"/>
      <c r="AO380" s="191"/>
      <c r="AP380" s="191"/>
      <c r="AQ380" s="191"/>
      <c r="AR380" s="191"/>
      <c r="AS380" s="171"/>
      <c r="AT380" s="171"/>
      <c r="AU380" s="171"/>
      <c r="AV380" s="191"/>
      <c r="AW380" s="191">
        <v>162252.64</v>
      </c>
      <c r="AX380" s="171">
        <v>162120.22</v>
      </c>
      <c r="AY380" s="171">
        <v>160265.39</v>
      </c>
      <c r="AZ380" s="171">
        <v>157867.39</v>
      </c>
      <c r="BA380" s="171">
        <v>136536.87</v>
      </c>
      <c r="BB380" s="171">
        <v>151144.51</v>
      </c>
      <c r="BC380" s="171">
        <v>150086.86</v>
      </c>
      <c r="BD380" s="171">
        <v>151343.42</v>
      </c>
      <c r="BE380" s="171">
        <v>154477.4</v>
      </c>
      <c r="BF380" s="171">
        <v>65452.99</v>
      </c>
      <c r="BG380" s="171">
        <v>57707.36</v>
      </c>
      <c r="BH380" s="171">
        <v>56444.7</v>
      </c>
      <c r="BI380" s="171">
        <v>55803.7</v>
      </c>
      <c r="BJ380" s="171">
        <v>0.0</v>
      </c>
      <c r="BK380" s="171">
        <v>113.72</v>
      </c>
      <c r="BL380" s="171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  <c r="CI380" s="329"/>
    </row>
    <row r="381" ht="15.75" customHeight="1">
      <c r="A381" s="317" t="s">
        <v>2547</v>
      </c>
      <c r="B381" s="239" t="s">
        <v>3571</v>
      </c>
      <c r="C381" s="331" t="s">
        <v>3572</v>
      </c>
      <c r="D381" s="319" t="s">
        <v>2550</v>
      </c>
      <c r="E381" s="319" t="s">
        <v>29</v>
      </c>
      <c r="F381" s="95" t="s">
        <v>2551</v>
      </c>
      <c r="G381" s="44" t="str">
        <f t="shared" si="1"/>
        <v>Augusto</v>
      </c>
      <c r="H381" s="332" t="s">
        <v>186</v>
      </c>
      <c r="I381" s="46" t="s">
        <v>24</v>
      </c>
      <c r="J381" s="319" t="str">
        <f t="shared" si="2"/>
        <v>Não</v>
      </c>
      <c r="K381" s="333">
        <v>43738.0</v>
      </c>
      <c r="L381" s="333">
        <v>44053.0</v>
      </c>
      <c r="M381" s="95" t="s">
        <v>190</v>
      </c>
      <c r="N381" s="334">
        <v>0.02</v>
      </c>
      <c r="O381" s="319" t="s">
        <v>191</v>
      </c>
      <c r="P381" s="322">
        <v>0.2</v>
      </c>
      <c r="Q381" s="95" t="str">
        <f>IFERROR(VLOOKUP(F381,'Cadastro de assessores'!A:B,2,FALSE),"Não Cadastrado")</f>
        <v>17573</v>
      </c>
      <c r="R381" s="95" t="s">
        <v>2563</v>
      </c>
      <c r="S381" s="333">
        <v>43738.0</v>
      </c>
      <c r="T381" s="169"/>
      <c r="U381" s="169"/>
      <c r="V381" s="45" t="s">
        <v>108</v>
      </c>
      <c r="W381" s="13" t="s">
        <v>3573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2675</v>
      </c>
      <c r="AE381" s="171">
        <v>386485.02</v>
      </c>
      <c r="AF381" s="171">
        <v>364419.14</v>
      </c>
      <c r="AG381" s="171">
        <v>280299.83</v>
      </c>
      <c r="AH381" s="171">
        <v>216396.43</v>
      </c>
      <c r="AI381" s="171">
        <v>125696.53</v>
      </c>
      <c r="AJ381" s="171">
        <v>0.0</v>
      </c>
      <c r="AK381" s="171">
        <v>0.0</v>
      </c>
      <c r="AL381" s="337"/>
      <c r="AM381" s="337"/>
      <c r="AN381" s="337"/>
      <c r="AO381" s="337"/>
      <c r="AP381" s="337"/>
      <c r="AQ381" s="337"/>
      <c r="AR381" s="171"/>
      <c r="AS381" s="171"/>
      <c r="AT381" s="171"/>
      <c r="AU381" s="171"/>
      <c r="AV381" s="171"/>
      <c r="AW381" s="171"/>
      <c r="AX381" s="337"/>
      <c r="AY381" s="337"/>
      <c r="AZ381" s="337"/>
      <c r="BA381" s="171"/>
      <c r="BB381" s="171"/>
      <c r="BC381" s="171"/>
      <c r="BD381" s="171"/>
      <c r="BE381" s="171"/>
      <c r="BF381" s="171">
        <v>0.0</v>
      </c>
      <c r="BG381" s="171">
        <v>0.0</v>
      </c>
      <c r="BH381" s="171">
        <v>0.0</v>
      </c>
      <c r="BI381" s="171" t="s">
        <v>2566</v>
      </c>
      <c r="BJ381" s="171">
        <v>0.0</v>
      </c>
      <c r="BK381" s="171">
        <v>0.0</v>
      </c>
      <c r="BL381" s="171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  <c r="CI381" s="329"/>
    </row>
    <row r="382" ht="15.75" customHeight="1">
      <c r="A382" s="317" t="s">
        <v>2547</v>
      </c>
      <c r="B382" s="239" t="s">
        <v>3574</v>
      </c>
      <c r="C382" s="331" t="s">
        <v>3575</v>
      </c>
      <c r="D382" s="319" t="s">
        <v>2550</v>
      </c>
      <c r="E382" s="319" t="s">
        <v>29</v>
      </c>
      <c r="F382" s="95" t="s">
        <v>2551</v>
      </c>
      <c r="G382" s="44" t="str">
        <f t="shared" si="1"/>
        <v>Augusto</v>
      </c>
      <c r="H382" s="332" t="s">
        <v>186</v>
      </c>
      <c r="I382" s="46" t="s">
        <v>24</v>
      </c>
      <c r="J382" s="319" t="str">
        <f t="shared" si="2"/>
        <v>Não</v>
      </c>
      <c r="K382" s="333">
        <v>43538.0</v>
      </c>
      <c r="L382" s="333">
        <v>44025.0</v>
      </c>
      <c r="M382" s="95" t="s">
        <v>47</v>
      </c>
      <c r="N382" s="334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2563</v>
      </c>
      <c r="S382" s="333">
        <v>43538.0</v>
      </c>
      <c r="T382" s="169"/>
      <c r="U382" s="74"/>
      <c r="V382" s="45" t="s">
        <v>108</v>
      </c>
      <c r="W382" s="13" t="s">
        <v>3576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2591</v>
      </c>
      <c r="AE382" s="171">
        <v>646888.15</v>
      </c>
      <c r="AF382" s="171">
        <v>667001.7</v>
      </c>
      <c r="AG382" s="171">
        <v>1888.84</v>
      </c>
      <c r="AH382" s="171">
        <v>0.0</v>
      </c>
      <c r="AI382" s="171">
        <v>462.41</v>
      </c>
      <c r="AJ382" s="171">
        <v>0.0</v>
      </c>
      <c r="AK382" s="171">
        <v>0.0</v>
      </c>
      <c r="AL382" s="337"/>
      <c r="AM382" s="337"/>
      <c r="AN382" s="337"/>
      <c r="AO382" s="337"/>
      <c r="AP382" s="337"/>
      <c r="AQ382" s="337"/>
      <c r="AR382" s="171">
        <v>232737.17</v>
      </c>
      <c r="AS382" s="171">
        <v>233229.84</v>
      </c>
      <c r="AT382" s="171"/>
      <c r="AU382" s="171"/>
      <c r="AV382" s="171"/>
      <c r="AW382" s="171"/>
      <c r="AX382" s="337"/>
      <c r="AY382" s="337"/>
      <c r="AZ382" s="337"/>
      <c r="BA382" s="171"/>
      <c r="BB382" s="171"/>
      <c r="BC382" s="171"/>
      <c r="BD382" s="171"/>
      <c r="BE382" s="171"/>
      <c r="BF382" s="171">
        <v>0.0</v>
      </c>
      <c r="BG382" s="171">
        <v>0.0</v>
      </c>
      <c r="BH382" s="171">
        <v>0.0</v>
      </c>
      <c r="BI382" s="171" t="s">
        <v>2566</v>
      </c>
      <c r="BJ382" s="171">
        <v>0.0</v>
      </c>
      <c r="BK382" s="171">
        <v>0.0</v>
      </c>
      <c r="BL382" s="171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  <c r="CI382" s="329"/>
    </row>
    <row r="383" ht="15.75" customHeight="1">
      <c r="A383" s="317" t="s">
        <v>2547</v>
      </c>
      <c r="B383" s="239" t="s">
        <v>3574</v>
      </c>
      <c r="C383" s="331" t="s">
        <v>3577</v>
      </c>
      <c r="D383" s="319" t="s">
        <v>2550</v>
      </c>
      <c r="E383" s="319" t="s">
        <v>29</v>
      </c>
      <c r="F383" s="95" t="s">
        <v>2551</v>
      </c>
      <c r="G383" s="44" t="str">
        <f t="shared" si="1"/>
        <v>Augusto</v>
      </c>
      <c r="H383" s="332" t="s">
        <v>186</v>
      </c>
      <c r="I383" s="46" t="s">
        <v>24</v>
      </c>
      <c r="J383" s="319" t="str">
        <f t="shared" si="2"/>
        <v>Não</v>
      </c>
      <c r="K383" s="333">
        <v>43538.0</v>
      </c>
      <c r="L383" s="333">
        <v>44025.0</v>
      </c>
      <c r="M383" s="95" t="s">
        <v>190</v>
      </c>
      <c r="N383" s="334">
        <v>0.025</v>
      </c>
      <c r="O383" s="319" t="s">
        <v>191</v>
      </c>
      <c r="P383" s="322">
        <v>0.2</v>
      </c>
      <c r="Q383" s="95" t="str">
        <f>IFERROR(VLOOKUP(F383,'Cadastro de assessores'!A:B,2,FALSE),"Não Cadastrado")</f>
        <v>17573</v>
      </c>
      <c r="R383" s="95" t="s">
        <v>2563</v>
      </c>
      <c r="S383" s="333">
        <v>43538.0</v>
      </c>
      <c r="T383" s="169"/>
      <c r="U383" s="169"/>
      <c r="V383" s="45" t="s">
        <v>108</v>
      </c>
      <c r="W383" s="13" t="s">
        <v>3576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2591</v>
      </c>
      <c r="AE383" s="171">
        <v>0.0</v>
      </c>
      <c r="AF383" s="171">
        <v>0.0</v>
      </c>
      <c r="AG383" s="171">
        <v>0.0</v>
      </c>
      <c r="AH383" s="171">
        <v>0.0</v>
      </c>
      <c r="AI383" s="171">
        <v>0.0</v>
      </c>
      <c r="AJ383" s="171">
        <v>0.0</v>
      </c>
      <c r="AK383" s="171">
        <v>0.0</v>
      </c>
      <c r="AL383" s="337"/>
      <c r="AM383" s="337"/>
      <c r="AN383" s="337"/>
      <c r="AO383" s="337"/>
      <c r="AP383" s="337"/>
      <c r="AQ383" s="337"/>
      <c r="AR383" s="171"/>
      <c r="AS383" s="171"/>
      <c r="AT383" s="171"/>
      <c r="AU383" s="171"/>
      <c r="AV383" s="171"/>
      <c r="AW383" s="171"/>
      <c r="AX383" s="337"/>
      <c r="AY383" s="337"/>
      <c r="AZ383" s="337"/>
      <c r="BA383" s="171"/>
      <c r="BB383" s="171"/>
      <c r="BC383" s="171"/>
      <c r="BD383" s="171"/>
      <c r="BE383" s="171"/>
      <c r="BF383" s="171">
        <v>0.0</v>
      </c>
      <c r="BG383" s="171">
        <v>0.0</v>
      </c>
      <c r="BH383" s="171">
        <v>0.0</v>
      </c>
      <c r="BI383" s="171" t="s">
        <v>2566</v>
      </c>
      <c r="BJ383" s="171">
        <v>0.0</v>
      </c>
      <c r="BK383" s="171">
        <v>0.0</v>
      </c>
      <c r="BL383" s="171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  <c r="CI383" s="329"/>
    </row>
    <row r="384" ht="15.75" customHeight="1">
      <c r="A384" s="317" t="s">
        <v>2547</v>
      </c>
      <c r="B384" s="235" t="s">
        <v>3578</v>
      </c>
      <c r="C384" s="331" t="s">
        <v>3579</v>
      </c>
      <c r="D384" s="319" t="s">
        <v>2550</v>
      </c>
      <c r="E384" s="319" t="s">
        <v>29</v>
      </c>
      <c r="F384" s="95" t="s">
        <v>2551</v>
      </c>
      <c r="G384" s="44" t="str">
        <f t="shared" si="1"/>
        <v>Augusto</v>
      </c>
      <c r="H384" s="332" t="s">
        <v>186</v>
      </c>
      <c r="I384" s="46" t="s">
        <v>24</v>
      </c>
      <c r="J384" s="319" t="str">
        <f t="shared" si="2"/>
        <v>Não</v>
      </c>
      <c r="K384" s="333">
        <v>43843.0</v>
      </c>
      <c r="L384" s="333">
        <v>44455.0</v>
      </c>
      <c r="M384" s="95" t="s">
        <v>79</v>
      </c>
      <c r="N384" s="334">
        <v>0.012</v>
      </c>
      <c r="O384" s="319" t="s">
        <v>2552</v>
      </c>
      <c r="P384" s="322">
        <v>0.0</v>
      </c>
      <c r="Q384" s="95" t="str">
        <f>IFERROR(VLOOKUP(F384,'Cadastro de assessores'!A:B,2,FALSE),"Não Cadastrado")</f>
        <v>17573</v>
      </c>
      <c r="R384" s="95" t="s">
        <v>2563</v>
      </c>
      <c r="S384" s="333">
        <v>43843.0</v>
      </c>
      <c r="T384" s="169"/>
      <c r="U384" s="169"/>
      <c r="V384" s="45" t="s">
        <v>108</v>
      </c>
      <c r="W384" s="13" t="s">
        <v>3580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2675</v>
      </c>
      <c r="AE384" s="171">
        <v>109611.63</v>
      </c>
      <c r="AF384" s="171">
        <v>107961.36</v>
      </c>
      <c r="AG384" s="171">
        <v>104081.71</v>
      </c>
      <c r="AH384" s="171">
        <v>104855.32</v>
      </c>
      <c r="AI384" s="171">
        <v>105522.73</v>
      </c>
      <c r="AJ384" s="171">
        <v>105886.34</v>
      </c>
      <c r="AK384" s="171">
        <v>107432.66</v>
      </c>
      <c r="AL384" s="171">
        <v>106053.85</v>
      </c>
      <c r="AM384" s="171">
        <v>104717.5</v>
      </c>
      <c r="AN384" s="171">
        <v>104601.62</v>
      </c>
      <c r="AO384" s="171">
        <v>107063.13</v>
      </c>
      <c r="AP384" s="171">
        <v>108445.55</v>
      </c>
      <c r="AQ384" s="171">
        <v>107142.67</v>
      </c>
      <c r="AR384" s="171">
        <v>105722.6</v>
      </c>
      <c r="AS384" s="171">
        <v>105412.75</v>
      </c>
      <c r="AT384" s="171">
        <v>107078.35</v>
      </c>
      <c r="AU384" s="171">
        <v>108222.44</v>
      </c>
      <c r="AV384" s="171">
        <v>108105.33</v>
      </c>
      <c r="AW384" s="171">
        <v>108984.02</v>
      </c>
      <c r="AX384" s="171">
        <v>108716.13</v>
      </c>
      <c r="AY384" s="171">
        <v>108542.37</v>
      </c>
      <c r="AZ384" s="171">
        <v>107666.91</v>
      </c>
      <c r="BA384" s="171">
        <v>107081.25</v>
      </c>
      <c r="BB384" s="171">
        <v>106320.71</v>
      </c>
      <c r="BC384" s="171"/>
      <c r="BD384" s="171"/>
      <c r="BE384" s="171"/>
      <c r="BF384" s="171">
        <v>0.0</v>
      </c>
      <c r="BG384" s="171">
        <v>0.0</v>
      </c>
      <c r="BH384" s="171">
        <v>0.0</v>
      </c>
      <c r="BI384" s="171" t="s">
        <v>2566</v>
      </c>
      <c r="BJ384" s="171">
        <v>0.0</v>
      </c>
      <c r="BK384" s="171">
        <v>0.0</v>
      </c>
      <c r="BL384" s="171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  <c r="CI384" s="329"/>
    </row>
    <row r="385" ht="15.75" customHeight="1">
      <c r="A385" s="317" t="s">
        <v>2547</v>
      </c>
      <c r="B385" s="344" t="s">
        <v>3581</v>
      </c>
      <c r="C385" s="331" t="s">
        <v>3582</v>
      </c>
      <c r="D385" s="319" t="s">
        <v>18</v>
      </c>
      <c r="E385" s="319" t="s">
        <v>176</v>
      </c>
      <c r="F385" s="319" t="s">
        <v>197</v>
      </c>
      <c r="G385" s="44" t="str">
        <f t="shared" si="1"/>
        <v>Augusto</v>
      </c>
      <c r="H385" s="165" t="s">
        <v>147</v>
      </c>
      <c r="I385" s="51" t="s">
        <v>219</v>
      </c>
      <c r="J385" s="319" t="str">
        <f t="shared" si="2"/>
        <v>Não</v>
      </c>
      <c r="K385" s="333">
        <v>44273.0</v>
      </c>
      <c r="L385" s="45"/>
      <c r="M385" s="95" t="s">
        <v>47</v>
      </c>
      <c r="N385" s="334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107</v>
      </c>
      <c r="S385" s="333">
        <v>44252.0</v>
      </c>
      <c r="T385" s="169"/>
      <c r="U385" s="169"/>
      <c r="V385" s="45" t="s">
        <v>108</v>
      </c>
      <c r="W385" s="324" t="s">
        <v>3583</v>
      </c>
      <c r="X385" s="164" t="s">
        <v>180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119</v>
      </c>
      <c r="AC385" s="95"/>
      <c r="AD385" s="95" t="s">
        <v>2559</v>
      </c>
      <c r="AE385" s="337"/>
      <c r="AF385" s="337"/>
      <c r="AG385" s="337"/>
      <c r="AH385" s="337"/>
      <c r="AI385" s="337"/>
      <c r="AJ385" s="337"/>
      <c r="AK385" s="337"/>
      <c r="AL385" s="337"/>
      <c r="AM385" s="337"/>
      <c r="AN385" s="337"/>
      <c r="AO385" s="337"/>
      <c r="AP385" s="337"/>
      <c r="AQ385" s="337"/>
      <c r="AR385" s="171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1">
        <v>97659.97</v>
      </c>
      <c r="AY385" s="171">
        <v>96671.15</v>
      </c>
      <c r="AZ385" s="171">
        <v>94590.76</v>
      </c>
      <c r="BA385" s="171">
        <v>93260.87</v>
      </c>
      <c r="BB385" s="171">
        <v>90581.97</v>
      </c>
      <c r="BC385" s="171">
        <v>89659.09</v>
      </c>
      <c r="BD385" s="171">
        <v>90000.48</v>
      </c>
      <c r="BE385" s="171">
        <v>92231.5</v>
      </c>
      <c r="BF385" s="171">
        <v>92773.75</v>
      </c>
      <c r="BG385" s="171">
        <v>96610.36</v>
      </c>
      <c r="BH385" s="171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  <c r="CI385" s="329"/>
    </row>
    <row r="386" ht="15.75" customHeight="1">
      <c r="A386" s="317" t="s">
        <v>2547</v>
      </c>
      <c r="B386" s="235" t="s">
        <v>3584</v>
      </c>
      <c r="C386" s="219" t="s">
        <v>3585</v>
      </c>
      <c r="D386" s="319" t="s">
        <v>18</v>
      </c>
      <c r="E386" s="319" t="s">
        <v>176</v>
      </c>
      <c r="F386" s="319" t="s">
        <v>2634</v>
      </c>
      <c r="G386" s="44" t="str">
        <f t="shared" si="1"/>
        <v>Augusto</v>
      </c>
      <c r="H386" s="332" t="s">
        <v>186</v>
      </c>
      <c r="I386" s="46" t="s">
        <v>24</v>
      </c>
      <c r="J386" s="319" t="str">
        <f t="shared" si="2"/>
        <v>Não</v>
      </c>
      <c r="K386" s="333">
        <v>44267.0</v>
      </c>
      <c r="L386" s="123">
        <v>44908.0</v>
      </c>
      <c r="M386" s="95" t="s">
        <v>47</v>
      </c>
      <c r="N386" s="334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107</v>
      </c>
      <c r="S386" s="333">
        <v>44235.0</v>
      </c>
      <c r="T386" s="323"/>
      <c r="U386" s="169" t="s">
        <v>3586</v>
      </c>
      <c r="V386" s="45" t="s">
        <v>108</v>
      </c>
      <c r="W386" s="13" t="s">
        <v>3587</v>
      </c>
      <c r="X386" s="164" t="s">
        <v>180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119</v>
      </c>
      <c r="AC386" s="95"/>
      <c r="AD386" s="95" t="s">
        <v>2609</v>
      </c>
      <c r="AE386" s="337"/>
      <c r="AF386" s="337"/>
      <c r="AG386" s="337"/>
      <c r="AH386" s="337"/>
      <c r="AI386" s="337"/>
      <c r="AJ386" s="337"/>
      <c r="AK386" s="337"/>
      <c r="AL386" s="337"/>
      <c r="AM386" s="337"/>
      <c r="AN386" s="337"/>
      <c r="AO386" s="337"/>
      <c r="AP386" s="337"/>
      <c r="AQ386" s="337"/>
      <c r="AR386" s="171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1">
        <v>324095.86</v>
      </c>
      <c r="AY386" s="171">
        <v>318675.94</v>
      </c>
      <c r="AZ386" s="171">
        <v>303444.86</v>
      </c>
      <c r="BA386" s="171">
        <v>296222.95</v>
      </c>
      <c r="BB386" s="171">
        <v>283524.06</v>
      </c>
      <c r="BC386" s="171">
        <v>276998.58</v>
      </c>
      <c r="BD386" s="171">
        <v>276712.22</v>
      </c>
      <c r="BE386" s="171">
        <v>274501.9</v>
      </c>
      <c r="BF386" s="171">
        <v>275832.73</v>
      </c>
      <c r="BG386" s="171">
        <v>289042.2</v>
      </c>
      <c r="BH386" s="171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  <c r="CI386" s="329"/>
    </row>
    <row r="387" ht="15.75" customHeight="1">
      <c r="A387" s="317" t="s">
        <v>2547</v>
      </c>
      <c r="B387" s="61" t="s">
        <v>3584</v>
      </c>
      <c r="C387" s="330" t="s">
        <v>3588</v>
      </c>
      <c r="D387" s="319" t="s">
        <v>18</v>
      </c>
      <c r="E387" s="319" t="s">
        <v>176</v>
      </c>
      <c r="F387" s="319" t="s">
        <v>2634</v>
      </c>
      <c r="G387" s="44" t="str">
        <f t="shared" si="1"/>
        <v>Augusto</v>
      </c>
      <c r="H387" s="332" t="s">
        <v>186</v>
      </c>
      <c r="I387" s="46" t="s">
        <v>24</v>
      </c>
      <c r="J387" s="319" t="str">
        <f t="shared" si="2"/>
        <v>Não</v>
      </c>
      <c r="K387" s="95"/>
      <c r="L387" s="338">
        <v>44908.0</v>
      </c>
      <c r="M387" s="45" t="s">
        <v>2914</v>
      </c>
      <c r="N387" s="321">
        <v>0.01</v>
      </c>
      <c r="O387" s="319" t="s">
        <v>2552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69"/>
      <c r="U387" s="169"/>
      <c r="V387" s="45" t="s">
        <v>108</v>
      </c>
      <c r="W387" s="5" t="s">
        <v>3587</v>
      </c>
      <c r="X387" s="164" t="s">
        <v>180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2609</v>
      </c>
      <c r="AE387" s="337"/>
      <c r="AF387" s="337"/>
      <c r="AG387" s="337"/>
      <c r="AH387" s="337"/>
      <c r="AI387" s="337"/>
      <c r="AJ387" s="337"/>
      <c r="AK387" s="337"/>
      <c r="AL387" s="337"/>
      <c r="AM387" s="337"/>
      <c r="AN387" s="337"/>
      <c r="AO387" s="337"/>
      <c r="AP387" s="337"/>
      <c r="AQ387" s="337"/>
      <c r="AR387" s="337"/>
      <c r="AS387" s="171"/>
      <c r="AT387" s="171"/>
      <c r="AU387" s="171"/>
      <c r="AV387" s="171"/>
      <c r="AW387" s="171"/>
      <c r="AX387" s="171"/>
      <c r="AY387" s="171"/>
      <c r="AZ387" s="171"/>
      <c r="BA387" s="171"/>
      <c r="BB387" s="171"/>
      <c r="BC387" s="171">
        <v>49015.46</v>
      </c>
      <c r="BD387" s="171">
        <v>48735.19</v>
      </c>
      <c r="BE387" s="171">
        <v>50980.29</v>
      </c>
      <c r="BF387" s="171"/>
      <c r="BG387" s="171"/>
      <c r="BH387" s="171">
        <v>0.0</v>
      </c>
      <c r="BI387" s="327" t="s">
        <v>2566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  <c r="CI387" s="329"/>
    </row>
    <row r="388" ht="15.75" customHeight="1">
      <c r="A388" s="317" t="s">
        <v>2547</v>
      </c>
      <c r="B388" s="317" t="s">
        <v>3589</v>
      </c>
      <c r="C388" s="318" t="s">
        <v>3590</v>
      </c>
      <c r="D388" s="319" t="s">
        <v>2550</v>
      </c>
      <c r="E388" s="319" t="s">
        <v>29</v>
      </c>
      <c r="F388" s="319" t="s">
        <v>2551</v>
      </c>
      <c r="G388" s="44" t="str">
        <f t="shared" si="1"/>
        <v>Augusto</v>
      </c>
      <c r="H388" s="165" t="s">
        <v>147</v>
      </c>
      <c r="I388" s="51" t="s">
        <v>219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7" t="s">
        <v>3380</v>
      </c>
      <c r="S388" s="320">
        <v>43552.0</v>
      </c>
      <c r="T388" s="97"/>
      <c r="U388" s="336" t="s">
        <v>3591</v>
      </c>
      <c r="V388" s="45" t="s">
        <v>108</v>
      </c>
      <c r="W388" s="324" t="s">
        <v>3592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119</v>
      </c>
      <c r="AC388" s="95"/>
      <c r="AD388" s="95" t="s">
        <v>2623</v>
      </c>
      <c r="AE388" s="171">
        <v>272123.15</v>
      </c>
      <c r="AF388" s="171">
        <v>269477.65</v>
      </c>
      <c r="AG388" s="171">
        <v>234023.17</v>
      </c>
      <c r="AH388" s="171">
        <v>236637.7</v>
      </c>
      <c r="AI388" s="171">
        <v>239746.38</v>
      </c>
      <c r="AJ388" s="171">
        <v>242739.15</v>
      </c>
      <c r="AK388" s="171">
        <v>247056.74</v>
      </c>
      <c r="AL388" s="171">
        <v>243834.84</v>
      </c>
      <c r="AM388" s="171">
        <v>227207.33</v>
      </c>
      <c r="AN388" s="171">
        <v>228633.96</v>
      </c>
      <c r="AO388" s="171">
        <v>205187.21</v>
      </c>
      <c r="AP388" s="171">
        <v>158268.14</v>
      </c>
      <c r="AQ388" s="171">
        <v>156455.1</v>
      </c>
      <c r="AR388" s="171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1">
        <v>203953.72</v>
      </c>
      <c r="AY388" s="171">
        <v>203513.91</v>
      </c>
      <c r="AZ388" s="171">
        <v>284596.45</v>
      </c>
      <c r="BA388" s="171">
        <v>269220.36</v>
      </c>
      <c r="BB388" s="171">
        <v>280443.0</v>
      </c>
      <c r="BC388" s="171"/>
      <c r="BD388" s="171"/>
      <c r="BE388" s="171"/>
      <c r="BF388" s="171">
        <v>53049.83</v>
      </c>
      <c r="BG388" s="171">
        <v>55663.23</v>
      </c>
      <c r="BH388" s="171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  <c r="CI388" s="329"/>
    </row>
    <row r="389" ht="15.75" customHeight="1">
      <c r="A389" s="317" t="s">
        <v>2547</v>
      </c>
      <c r="B389" s="156" t="s">
        <v>3593</v>
      </c>
      <c r="C389" s="330" t="s">
        <v>3594</v>
      </c>
      <c r="D389" s="319" t="s">
        <v>18</v>
      </c>
      <c r="E389" s="319" t="s">
        <v>29</v>
      </c>
      <c r="F389" s="319" t="s">
        <v>2931</v>
      </c>
      <c r="G389" s="44" t="str">
        <f t="shared" si="1"/>
        <v>Augusto</v>
      </c>
      <c r="H389" s="165" t="s">
        <v>107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7"/>
      <c r="S389" s="320"/>
      <c r="T389" s="169"/>
      <c r="U389" s="169"/>
      <c r="V389" s="45" t="s">
        <v>108</v>
      </c>
      <c r="W389" s="11" t="s">
        <v>3595</v>
      </c>
      <c r="X389" s="13" t="s">
        <v>152</v>
      </c>
      <c r="Y389" s="51" t="str">
        <f t="shared" si="3"/>
        <v>Ativo</v>
      </c>
      <c r="Z389" s="325"/>
      <c r="AA389" s="95" t="str">
        <f t="shared" si="8"/>
        <v/>
      </c>
      <c r="AB389" s="13" t="s">
        <v>110</v>
      </c>
      <c r="AC389" s="95"/>
      <c r="AD389" s="95"/>
      <c r="AE389" s="171"/>
      <c r="AF389" s="171"/>
      <c r="AG389" s="171"/>
      <c r="AH389" s="171"/>
      <c r="AI389" s="171"/>
      <c r="AJ389" s="171"/>
      <c r="AK389" s="171"/>
      <c r="AL389" s="171"/>
      <c r="AM389" s="171"/>
      <c r="AN389" s="171"/>
      <c r="AO389" s="171"/>
      <c r="AP389" s="171"/>
      <c r="AQ389" s="171"/>
      <c r="AR389" s="171"/>
      <c r="AS389" s="326"/>
      <c r="AT389" s="326"/>
      <c r="AU389" s="326"/>
      <c r="AV389" s="326"/>
      <c r="AW389" s="326"/>
      <c r="AX389" s="171"/>
      <c r="AY389" s="171"/>
      <c r="AZ389" s="171"/>
      <c r="BA389" s="171"/>
      <c r="BB389" s="171"/>
      <c r="BC389" s="171"/>
      <c r="BD389" s="171"/>
      <c r="BE389" s="171"/>
      <c r="BF389" s="171"/>
      <c r="BG389" s="171"/>
      <c r="BH389" s="171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  <c r="CI389" s="329"/>
    </row>
    <row r="390" ht="15.75" customHeight="1">
      <c r="A390" s="317" t="s">
        <v>2547</v>
      </c>
      <c r="B390" s="61" t="s">
        <v>2484</v>
      </c>
      <c r="C390" s="144">
        <v>5762469.0</v>
      </c>
      <c r="D390" s="319" t="s">
        <v>18</v>
      </c>
      <c r="E390" s="319" t="s">
        <v>176</v>
      </c>
      <c r="F390" s="319" t="s">
        <v>177</v>
      </c>
      <c r="G390" s="44" t="str">
        <f t="shared" si="1"/>
        <v>Augusto</v>
      </c>
      <c r="H390" s="165" t="s">
        <v>147</v>
      </c>
      <c r="I390" s="51" t="s">
        <v>219</v>
      </c>
      <c r="J390" s="319" t="str">
        <f t="shared" si="2"/>
        <v>Não</v>
      </c>
      <c r="K390" s="333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107</v>
      </c>
      <c r="S390" s="333">
        <v>44599.0</v>
      </c>
      <c r="T390" s="50"/>
      <c r="U390" s="50"/>
      <c r="V390" s="45" t="s">
        <v>108</v>
      </c>
      <c r="W390" s="5" t="s">
        <v>2487</v>
      </c>
      <c r="X390" s="164" t="s">
        <v>180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119</v>
      </c>
      <c r="AC390" s="95"/>
      <c r="AD390" s="95" t="s">
        <v>2609</v>
      </c>
      <c r="AE390" s="191"/>
      <c r="AF390" s="191"/>
      <c r="AG390" s="191"/>
      <c r="AH390" s="191"/>
      <c r="AI390" s="191"/>
      <c r="AJ390" s="191"/>
      <c r="AK390" s="191"/>
      <c r="AL390" s="191"/>
      <c r="AM390" s="191"/>
      <c r="AN390" s="191"/>
      <c r="AO390" s="191"/>
      <c r="AP390" s="191"/>
      <c r="AQ390" s="191"/>
      <c r="AR390" s="337"/>
      <c r="AS390" s="171"/>
      <c r="AT390" s="171"/>
      <c r="AU390" s="171"/>
      <c r="AV390" s="171"/>
      <c r="AW390" s="171"/>
      <c r="AX390" s="171"/>
      <c r="AY390" s="171"/>
      <c r="AZ390" s="171"/>
      <c r="BA390" s="171"/>
      <c r="BB390" s="171"/>
      <c r="BC390" s="171"/>
      <c r="BD390" s="171"/>
      <c r="BE390" s="171">
        <v>292422.39</v>
      </c>
      <c r="BF390" s="171">
        <v>292483.05</v>
      </c>
      <c r="BG390" s="171">
        <v>302991.76</v>
      </c>
      <c r="BH390" s="171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  <c r="CI390" s="329"/>
    </row>
    <row r="391" ht="15.75" customHeight="1">
      <c r="A391" s="317" t="s">
        <v>2547</v>
      </c>
      <c r="B391" s="61" t="s">
        <v>2484</v>
      </c>
      <c r="C391" s="144">
        <v>5573852.0</v>
      </c>
      <c r="D391" s="319" t="s">
        <v>18</v>
      </c>
      <c r="E391" s="319" t="s">
        <v>176</v>
      </c>
      <c r="F391" s="319" t="s">
        <v>177</v>
      </c>
      <c r="G391" s="44" t="str">
        <f t="shared" si="1"/>
        <v>Augusto</v>
      </c>
      <c r="H391" s="165" t="s">
        <v>147</v>
      </c>
      <c r="I391" s="51" t="s">
        <v>219</v>
      </c>
      <c r="J391" s="319" t="str">
        <f t="shared" si="2"/>
        <v>Não</v>
      </c>
      <c r="K391" s="95"/>
      <c r="L391" s="95"/>
      <c r="M391" s="45" t="s">
        <v>2914</v>
      </c>
      <c r="N391" s="321">
        <v>0.01</v>
      </c>
      <c r="O391" s="319" t="s">
        <v>2552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108</v>
      </c>
      <c r="W391" s="5" t="s">
        <v>2487</v>
      </c>
      <c r="X391" s="164" t="s">
        <v>180</v>
      </c>
      <c r="Y391" s="51" t="str">
        <f t="shared" si="3"/>
        <v>Inativo</v>
      </c>
      <c r="Z391" s="325"/>
      <c r="AA391" s="95" t="str">
        <f t="shared" si="8"/>
        <v/>
      </c>
      <c r="AB391" s="13" t="s">
        <v>119</v>
      </c>
      <c r="AC391" s="95"/>
      <c r="AD391" s="95" t="s">
        <v>2609</v>
      </c>
      <c r="AE391" s="191"/>
      <c r="AF391" s="191"/>
      <c r="AG391" s="191"/>
      <c r="AH391" s="191"/>
      <c r="AI391" s="191"/>
      <c r="AJ391" s="191"/>
      <c r="AK391" s="191"/>
      <c r="AL391" s="191"/>
      <c r="AM391" s="191"/>
      <c r="AN391" s="191"/>
      <c r="AO391" s="191"/>
      <c r="AP391" s="191"/>
      <c r="AQ391" s="191"/>
      <c r="AR391" s="337"/>
      <c r="AS391" s="171"/>
      <c r="AT391" s="171"/>
      <c r="AU391" s="171"/>
      <c r="AV391" s="171"/>
      <c r="AW391" s="171"/>
      <c r="AX391" s="171"/>
      <c r="AY391" s="171"/>
      <c r="AZ391" s="171"/>
      <c r="BA391" s="171"/>
      <c r="BB391" s="171"/>
      <c r="BC391" s="171">
        <v>346341.61</v>
      </c>
      <c r="BD391" s="171">
        <v>348400.36</v>
      </c>
      <c r="BE391" s="171">
        <v>369612.9</v>
      </c>
      <c r="BF391" s="171">
        <v>0.0</v>
      </c>
      <c r="BG391" s="171">
        <v>0.0</v>
      </c>
      <c r="BH391" s="171">
        <v>0.0</v>
      </c>
      <c r="BI391" s="327" t="s">
        <v>2566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  <c r="CI391" s="329"/>
    </row>
    <row r="392" ht="15.75" customHeight="1">
      <c r="A392" s="317" t="s">
        <v>2547</v>
      </c>
      <c r="B392" s="61" t="s">
        <v>3596</v>
      </c>
      <c r="C392" s="144">
        <v>3797278.0</v>
      </c>
      <c r="D392" s="319" t="s">
        <v>18</v>
      </c>
      <c r="E392" s="319" t="s">
        <v>29</v>
      </c>
      <c r="F392" s="319" t="s">
        <v>2931</v>
      </c>
      <c r="G392" s="44" t="str">
        <f t="shared" si="1"/>
        <v>Breno</v>
      </c>
      <c r="H392" s="165" t="s">
        <v>107</v>
      </c>
      <c r="I392" s="46" t="s">
        <v>24</v>
      </c>
      <c r="J392" s="319" t="str">
        <f t="shared" si="2"/>
        <v>Não</v>
      </c>
      <c r="K392" s="333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108</v>
      </c>
      <c r="W392" s="5" t="s">
        <v>3597</v>
      </c>
      <c r="X392" s="5" t="s">
        <v>152</v>
      </c>
      <c r="Y392" s="51" t="str">
        <f t="shared" si="3"/>
        <v>Ativo</v>
      </c>
      <c r="Z392" s="325"/>
      <c r="AA392" s="95" t="str">
        <f t="shared" si="8"/>
        <v/>
      </c>
      <c r="AB392" s="13" t="s">
        <v>119</v>
      </c>
      <c r="AC392" s="95"/>
      <c r="AD392" s="95"/>
      <c r="AE392" s="191"/>
      <c r="AF392" s="191"/>
      <c r="AG392" s="191"/>
      <c r="AH392" s="191"/>
      <c r="AI392" s="191"/>
      <c r="AJ392" s="191"/>
      <c r="AK392" s="191"/>
      <c r="AL392" s="191"/>
      <c r="AM392" s="191"/>
      <c r="AN392" s="191"/>
      <c r="AO392" s="191"/>
      <c r="AP392" s="191"/>
      <c r="AQ392" s="191"/>
      <c r="AR392" s="337"/>
      <c r="AS392" s="171"/>
      <c r="AT392" s="171"/>
      <c r="AU392" s="171"/>
      <c r="AV392" s="171"/>
      <c r="AW392" s="171"/>
      <c r="AX392" s="171"/>
      <c r="AY392" s="171"/>
      <c r="AZ392" s="171"/>
      <c r="BA392" s="171"/>
      <c r="BB392" s="171"/>
      <c r="BC392" s="171"/>
      <c r="BD392" s="171"/>
      <c r="BE392" s="171"/>
      <c r="BF392" s="171"/>
      <c r="BG392" s="171"/>
      <c r="BH392" s="171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  <c r="CI392" s="329"/>
    </row>
    <row r="393" ht="15.75" customHeight="1">
      <c r="A393" s="317" t="s">
        <v>2547</v>
      </c>
      <c r="B393" s="42" t="s">
        <v>3598</v>
      </c>
      <c r="C393" s="330" t="s">
        <v>3599</v>
      </c>
      <c r="D393" s="319" t="s">
        <v>18</v>
      </c>
      <c r="E393" s="319" t="s">
        <v>176</v>
      </c>
      <c r="F393" s="319" t="s">
        <v>197</v>
      </c>
      <c r="G393" s="44" t="str">
        <f t="shared" si="1"/>
        <v>Augusto</v>
      </c>
      <c r="H393" s="165" t="s">
        <v>147</v>
      </c>
      <c r="I393" s="51" t="s">
        <v>219</v>
      </c>
      <c r="J393" s="319" t="str">
        <f t="shared" si="2"/>
        <v>Não</v>
      </c>
      <c r="K393" s="320">
        <v>44319.0</v>
      </c>
      <c r="L393" s="95"/>
      <c r="M393" s="95" t="s">
        <v>190</v>
      </c>
      <c r="N393" s="321">
        <v>0.025</v>
      </c>
      <c r="O393" s="319" t="s">
        <v>191</v>
      </c>
      <c r="P393" s="322">
        <v>0.2</v>
      </c>
      <c r="Q393" s="319" t="str">
        <f>IFERROR(VLOOKUP(F393,'Cadastro de assessores'!A:B,2,FALSE),"Não Cadastrado")</f>
        <v>28411</v>
      </c>
      <c r="R393" s="319" t="s">
        <v>107</v>
      </c>
      <c r="S393" s="320">
        <v>44301.0</v>
      </c>
      <c r="T393" s="50"/>
      <c r="U393" s="50" t="s">
        <v>3600</v>
      </c>
      <c r="V393" s="45" t="s">
        <v>108</v>
      </c>
      <c r="W393" s="5" t="s">
        <v>3601</v>
      </c>
      <c r="X393" s="164" t="s">
        <v>180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119</v>
      </c>
      <c r="AC393" s="95"/>
      <c r="AD393" s="95" t="s">
        <v>2609</v>
      </c>
      <c r="AE393" s="191"/>
      <c r="AF393" s="191"/>
      <c r="AG393" s="191"/>
      <c r="AH393" s="191"/>
      <c r="AI393" s="191"/>
      <c r="AJ393" s="191"/>
      <c r="AK393" s="191"/>
      <c r="AL393" s="191"/>
      <c r="AM393" s="191"/>
      <c r="AN393" s="191"/>
      <c r="AO393" s="191"/>
      <c r="AP393" s="191"/>
      <c r="AQ393" s="191"/>
      <c r="AR393" s="337"/>
      <c r="AS393" s="171"/>
      <c r="AT393" s="171"/>
      <c r="AU393" s="171"/>
      <c r="AV393" s="171"/>
      <c r="AW393" s="171">
        <v>443766.58</v>
      </c>
      <c r="AX393" s="171">
        <v>435930.07</v>
      </c>
      <c r="AY393" s="171">
        <v>422792.33</v>
      </c>
      <c r="AZ393" s="171">
        <v>402115.31</v>
      </c>
      <c r="BA393" s="171">
        <v>382671.01</v>
      </c>
      <c r="BB393" s="171">
        <v>358254.41</v>
      </c>
      <c r="BC393" s="171"/>
      <c r="BD393" s="171"/>
      <c r="BE393" s="171"/>
      <c r="BF393" s="171">
        <v>372267.36</v>
      </c>
      <c r="BG393" s="171">
        <v>399847.03</v>
      </c>
      <c r="BH393" s="171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  <c r="CI393" s="329"/>
    </row>
    <row r="394" ht="15.75" customHeight="1">
      <c r="A394" s="317" t="s">
        <v>2547</v>
      </c>
      <c r="B394" s="61" t="s">
        <v>3602</v>
      </c>
      <c r="C394" s="330" t="s">
        <v>3603</v>
      </c>
      <c r="D394" s="319" t="s">
        <v>18</v>
      </c>
      <c r="E394" s="319" t="s">
        <v>176</v>
      </c>
      <c r="F394" s="319" t="s">
        <v>197</v>
      </c>
      <c r="G394" s="44" t="str">
        <f t="shared" si="1"/>
        <v>Augusto</v>
      </c>
      <c r="H394" s="165" t="s">
        <v>147</v>
      </c>
      <c r="I394" s="51" t="s">
        <v>219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107</v>
      </c>
      <c r="S394" s="320">
        <v>44651.0</v>
      </c>
      <c r="T394" s="169"/>
      <c r="U394" s="169"/>
      <c r="V394" s="45" t="s">
        <v>108</v>
      </c>
      <c r="W394" s="5" t="s">
        <v>3604</v>
      </c>
      <c r="X394" s="164" t="s">
        <v>180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119</v>
      </c>
      <c r="AC394" s="95"/>
      <c r="AD394" s="95" t="s">
        <v>3119</v>
      </c>
      <c r="AE394" s="337"/>
      <c r="AF394" s="337"/>
      <c r="AG394" s="337"/>
      <c r="AH394" s="337"/>
      <c r="AI394" s="337"/>
      <c r="AJ394" s="337"/>
      <c r="AK394" s="337"/>
      <c r="AL394" s="337"/>
      <c r="AM394" s="337"/>
      <c r="AN394" s="337"/>
      <c r="AO394" s="337"/>
      <c r="AP394" s="337"/>
      <c r="AQ394" s="337"/>
      <c r="AR394" s="337"/>
      <c r="AS394" s="171"/>
      <c r="AT394" s="171"/>
      <c r="AU394" s="171"/>
      <c r="AV394" s="171"/>
      <c r="AW394" s="171"/>
      <c r="AX394" s="171"/>
      <c r="AY394" s="171"/>
      <c r="AZ394" s="171"/>
      <c r="BA394" s="171"/>
      <c r="BB394" s="171"/>
      <c r="BC394" s="171"/>
      <c r="BD394" s="171"/>
      <c r="BE394" s="171"/>
      <c r="BF394" s="171"/>
      <c r="BG394" s="171">
        <v>157846.0</v>
      </c>
      <c r="BH394" s="171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  <c r="CI394" s="329"/>
    </row>
    <row r="395" ht="15.75" customHeight="1">
      <c r="A395" s="317" t="s">
        <v>2547</v>
      </c>
      <c r="B395" s="235" t="s">
        <v>3605</v>
      </c>
      <c r="C395" s="219" t="s">
        <v>3606</v>
      </c>
      <c r="D395" s="319" t="s">
        <v>18</v>
      </c>
      <c r="E395" s="319" t="s">
        <v>176</v>
      </c>
      <c r="F395" s="319" t="s">
        <v>197</v>
      </c>
      <c r="G395" s="44" t="str">
        <f t="shared" si="1"/>
        <v>Augusto</v>
      </c>
      <c r="H395" s="165" t="s">
        <v>107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107</v>
      </c>
      <c r="S395" s="320">
        <v>44291.0</v>
      </c>
      <c r="T395" s="169"/>
      <c r="U395" s="169"/>
      <c r="V395" s="45" t="s">
        <v>369</v>
      </c>
      <c r="W395" s="5" t="s">
        <v>3607</v>
      </c>
      <c r="X395" s="164" t="s">
        <v>180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119</v>
      </c>
      <c r="AC395" s="95"/>
      <c r="AD395" s="95" t="s">
        <v>3039</v>
      </c>
      <c r="AE395" s="337"/>
      <c r="AF395" s="337"/>
      <c r="AG395" s="337"/>
      <c r="AH395" s="337"/>
      <c r="AI395" s="337"/>
      <c r="AJ395" s="337"/>
      <c r="AK395" s="337"/>
      <c r="AL395" s="337"/>
      <c r="AM395" s="337"/>
      <c r="AN395" s="337"/>
      <c r="AO395" s="337"/>
      <c r="AP395" s="337"/>
      <c r="AQ395" s="337"/>
      <c r="AR395" s="337"/>
      <c r="AS395" s="171"/>
      <c r="AT395" s="171">
        <v>349273.79</v>
      </c>
      <c r="AU395" s="171">
        <v>349112.26</v>
      </c>
      <c r="AV395" s="171">
        <v>350590.79</v>
      </c>
      <c r="AW395" s="171">
        <v>357097.85</v>
      </c>
      <c r="AX395" s="171">
        <v>355424.12</v>
      </c>
      <c r="AY395" s="171">
        <v>351629.74</v>
      </c>
      <c r="AZ395" s="171">
        <v>345220.12</v>
      </c>
      <c r="BA395" s="171">
        <v>340486.75</v>
      </c>
      <c r="BB395" s="171">
        <v>332908.61</v>
      </c>
      <c r="BC395" s="171">
        <v>330002.32</v>
      </c>
      <c r="BD395" s="171">
        <v>329784.52</v>
      </c>
      <c r="BE395" s="171">
        <v>337537.46</v>
      </c>
      <c r="BF395" s="171">
        <v>340008.2</v>
      </c>
      <c r="BG395" s="171">
        <v>351355.78</v>
      </c>
      <c r="BH395" s="171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  <c r="CI395" s="329"/>
    </row>
    <row r="396" ht="15.75" customHeight="1">
      <c r="A396" s="403"/>
      <c r="B396" s="403"/>
      <c r="C396" s="404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5"/>
      <c r="O396" s="405"/>
      <c r="P396" s="405"/>
      <c r="Q396" s="275"/>
      <c r="R396" s="275"/>
      <c r="S396" s="275"/>
      <c r="T396" s="406"/>
      <c r="U396" s="406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  <c r="AY396" s="407"/>
      <c r="AZ396" s="407"/>
      <c r="BA396" s="407"/>
      <c r="BB396" s="407"/>
      <c r="BC396" s="407"/>
      <c r="BD396" s="407"/>
      <c r="BE396" s="407"/>
      <c r="BF396" s="407"/>
      <c r="BG396" s="407"/>
      <c r="BH396" s="407"/>
      <c r="BI396" s="408"/>
      <c r="BJ396" s="408"/>
      <c r="BK396" s="408"/>
      <c r="BL396" s="408"/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/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/>
    </row>
    <row r="397" ht="15.75" customHeight="1">
      <c r="A397" s="409"/>
      <c r="B397" s="410" t="s">
        <v>2533</v>
      </c>
      <c r="C397" s="411">
        <f>COUNTIF(H:H,"Ativo")</f>
        <v>54</v>
      </c>
      <c r="D397" s="412"/>
      <c r="E397" s="412"/>
      <c r="F397" s="412"/>
      <c r="G397" s="274"/>
      <c r="H397" s="285"/>
      <c r="I397" s="274"/>
      <c r="J397" s="412"/>
      <c r="K397" s="412"/>
      <c r="L397" s="412"/>
      <c r="M397" s="412"/>
      <c r="N397" s="412"/>
      <c r="O397" s="412"/>
      <c r="P397" s="412"/>
      <c r="Q397" s="407"/>
      <c r="R397" s="407"/>
      <c r="S397" s="407"/>
      <c r="T397" s="413"/>
      <c r="U397" s="413"/>
      <c r="V397" s="412"/>
      <c r="W397" s="414"/>
      <c r="X397" s="412"/>
      <c r="Y397" s="412"/>
      <c r="Z397" s="415"/>
      <c r="AA397" s="412"/>
      <c r="AB397" s="412"/>
      <c r="AC397" s="412"/>
      <c r="AD397" s="412"/>
      <c r="AE397" s="416">
        <f t="shared" ref="AE397:BQ397" si="9">SUM(AE3:AE395)</f>
        <v>32441336.7</v>
      </c>
      <c r="AF397" s="416">
        <f t="shared" si="9"/>
        <v>34905705.6</v>
      </c>
      <c r="AG397" s="416">
        <f t="shared" si="9"/>
        <v>32184030.73</v>
      </c>
      <c r="AH397" s="416">
        <f t="shared" si="9"/>
        <v>33876867.34</v>
      </c>
      <c r="AI397" s="416">
        <f t="shared" si="9"/>
        <v>34333699.9</v>
      </c>
      <c r="AJ397" s="416">
        <f t="shared" si="9"/>
        <v>41299206.55</v>
      </c>
      <c r="AK397" s="416">
        <f t="shared" si="9"/>
        <v>58663189.9</v>
      </c>
      <c r="AL397" s="416">
        <f t="shared" si="9"/>
        <v>52949921.98</v>
      </c>
      <c r="AM397" s="416">
        <f t="shared" si="9"/>
        <v>50377885.41</v>
      </c>
      <c r="AN397" s="416">
        <f t="shared" si="9"/>
        <v>48768160.66</v>
      </c>
      <c r="AO397" s="416">
        <f t="shared" si="9"/>
        <v>48328473.05</v>
      </c>
      <c r="AP397" s="416">
        <f t="shared" si="9"/>
        <v>49863517.49</v>
      </c>
      <c r="AQ397" s="416">
        <f t="shared" si="9"/>
        <v>46666925.07</v>
      </c>
      <c r="AR397" s="416">
        <f t="shared" si="9"/>
        <v>43656750.3</v>
      </c>
      <c r="AS397" s="416">
        <f t="shared" si="9"/>
        <v>83530383.47</v>
      </c>
      <c r="AT397" s="416">
        <f t="shared" si="9"/>
        <v>98496601.59</v>
      </c>
      <c r="AU397" s="416">
        <f t="shared" si="9"/>
        <v>47286245.14</v>
      </c>
      <c r="AV397" s="416">
        <f t="shared" si="9"/>
        <v>97651618.36</v>
      </c>
      <c r="AW397" s="416">
        <f t="shared" si="9"/>
        <v>124773500.3</v>
      </c>
      <c r="AX397" s="416">
        <f t="shared" si="9"/>
        <v>128563623</v>
      </c>
      <c r="AY397" s="416">
        <f t="shared" si="9"/>
        <v>128013078</v>
      </c>
      <c r="AZ397" s="416">
        <f t="shared" si="9"/>
        <v>123649093.6</v>
      </c>
      <c r="BA397" s="416">
        <f t="shared" si="9"/>
        <v>115877875.1</v>
      </c>
      <c r="BB397" s="416">
        <f t="shared" si="9"/>
        <v>110741172.8</v>
      </c>
      <c r="BC397" s="416">
        <f t="shared" si="9"/>
        <v>104936756.3</v>
      </c>
      <c r="BD397" s="416">
        <f t="shared" si="9"/>
        <v>103838404.1</v>
      </c>
      <c r="BE397" s="416">
        <f t="shared" si="9"/>
        <v>103873922.2</v>
      </c>
      <c r="BF397" s="416">
        <f t="shared" si="9"/>
        <v>103988106.3</v>
      </c>
      <c r="BG397" s="416">
        <f t="shared" si="9"/>
        <v>107723751.7</v>
      </c>
      <c r="BH397" s="417">
        <f t="shared" si="9"/>
        <v>113224168.2</v>
      </c>
      <c r="BI397" s="417">
        <f t="shared" si="9"/>
        <v>93638259.73</v>
      </c>
      <c r="BJ397" s="417">
        <f t="shared" si="9"/>
        <v>95849391.11</v>
      </c>
      <c r="BK397" s="417">
        <f t="shared" si="9"/>
        <v>97924397.21</v>
      </c>
      <c r="BL397" s="417">
        <f t="shared" si="9"/>
        <v>96618915.29</v>
      </c>
      <c r="BM397" s="417">
        <f t="shared" si="9"/>
        <v>95075852.84</v>
      </c>
      <c r="BN397" s="417">
        <f t="shared" si="9"/>
        <v>96562992.22</v>
      </c>
      <c r="BO397" s="417">
        <f t="shared" si="9"/>
        <v>92194871.52</v>
      </c>
      <c r="BP397" s="417">
        <f t="shared" si="9"/>
        <v>91201604</v>
      </c>
      <c r="BQ397" s="417">
        <f t="shared" si="9"/>
        <v>90258199.55</v>
      </c>
      <c r="BR397" s="417">
        <f t="shared" ref="BR397:BU397" si="10">SUM(BR3:BR396)</f>
        <v>89585440.28</v>
      </c>
      <c r="BS397" s="417">
        <f t="shared" si="10"/>
        <v>84062748.48</v>
      </c>
      <c r="BT397" s="417">
        <f t="shared" si="10"/>
        <v>60716129.54</v>
      </c>
      <c r="BU397" s="417">
        <f t="shared" si="10"/>
        <v>50232651.97</v>
      </c>
      <c r="BV397" s="417">
        <f t="shared" ref="BV397:CH397" si="11">SUM(BV3:BV395)</f>
        <v>46503199.57</v>
      </c>
      <c r="BW397" s="417">
        <f t="shared" si="11"/>
        <v>41948834.41</v>
      </c>
      <c r="BX397" s="417">
        <f t="shared" si="11"/>
        <v>35532207.76</v>
      </c>
      <c r="BY397" s="417">
        <f t="shared" si="11"/>
        <v>33732373.67</v>
      </c>
      <c r="BZ397" s="417">
        <f t="shared" si="11"/>
        <v>29769253.07</v>
      </c>
      <c r="CA397" s="417">
        <f t="shared" si="11"/>
        <v>24301285.02</v>
      </c>
      <c r="CB397" s="417">
        <f t="shared" si="11"/>
        <v>22315793.08</v>
      </c>
      <c r="CC397" s="418">
        <f t="shared" si="11"/>
        <v>20623662.73</v>
      </c>
      <c r="CD397" s="418">
        <f t="shared" si="11"/>
        <v>19534663.28</v>
      </c>
      <c r="CE397" s="418">
        <f t="shared" si="11"/>
        <v>17533313.23</v>
      </c>
      <c r="CF397" s="418">
        <f t="shared" si="11"/>
        <v>18123650.28</v>
      </c>
      <c r="CG397" s="418">
        <f t="shared" si="11"/>
        <v>17255985.08</v>
      </c>
      <c r="CH397" s="418">
        <f t="shared" si="11"/>
        <v>17736140.36</v>
      </c>
      <c r="CI397" s="418"/>
    </row>
    <row r="398" ht="15.75" customHeight="1">
      <c r="A398" s="419"/>
      <c r="B398" s="288" t="s">
        <v>2535</v>
      </c>
      <c r="C398" s="420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1"/>
      <c r="R398" s="421"/>
      <c r="S398" s="421"/>
      <c r="T398" s="181"/>
      <c r="U398" s="181"/>
      <c r="V398" s="414"/>
      <c r="W398" s="414"/>
      <c r="X398" s="414"/>
      <c r="Y398" s="414"/>
      <c r="Z398" s="422"/>
      <c r="AA398" s="414"/>
      <c r="AB398" s="414"/>
      <c r="AC398" s="414"/>
      <c r="AD398" s="414"/>
      <c r="AE398" s="423"/>
      <c r="AF398" s="423"/>
      <c r="AG398" s="423"/>
      <c r="AH398" s="423"/>
      <c r="AI398" s="423"/>
      <c r="AJ398" s="423"/>
      <c r="AK398" s="423"/>
      <c r="AL398" s="423"/>
      <c r="AM398" s="423"/>
      <c r="AN398" s="423"/>
      <c r="AO398" s="423"/>
      <c r="AP398" s="423"/>
      <c r="AQ398" s="423"/>
      <c r="AR398" s="423"/>
      <c r="AS398" s="423"/>
      <c r="AT398" s="423"/>
      <c r="AU398" s="423"/>
      <c r="AV398" s="423"/>
      <c r="AW398" s="423"/>
      <c r="AX398" s="423"/>
      <c r="AY398" s="423"/>
      <c r="AZ398" s="423"/>
      <c r="BA398" s="423"/>
      <c r="BB398" s="423"/>
      <c r="BC398" s="423"/>
      <c r="BD398" s="423"/>
      <c r="BE398" s="423"/>
      <c r="BF398" s="423"/>
      <c r="BG398" s="423"/>
      <c r="BH398" s="423"/>
      <c r="BI398" s="423"/>
      <c r="BJ398" s="423"/>
      <c r="BK398" s="423"/>
      <c r="BL398" s="423"/>
      <c r="BM398" s="423"/>
      <c r="BN398" s="423"/>
      <c r="BO398" s="423"/>
      <c r="BP398" s="423"/>
      <c r="BQ398" s="423"/>
      <c r="BR398" s="423"/>
      <c r="BS398" s="423"/>
      <c r="BT398" s="423"/>
      <c r="BU398" s="423"/>
      <c r="BV398" s="423"/>
      <c r="BW398" s="423"/>
      <c r="BX398" s="423"/>
      <c r="BY398" s="423"/>
      <c r="BZ398" s="423"/>
      <c r="CA398" s="423"/>
      <c r="CB398" s="423"/>
      <c r="CC398" s="423"/>
      <c r="CD398" s="423"/>
      <c r="CE398" s="423"/>
      <c r="CF398" s="423"/>
      <c r="CG398" s="423"/>
      <c r="CH398" s="423"/>
      <c r="CI398" s="423"/>
    </row>
    <row r="399" ht="15.75" customHeight="1">
      <c r="A399" s="419"/>
      <c r="B399" s="288" t="s">
        <v>3608</v>
      </c>
      <c r="C399" s="420">
        <f>COUNTIF(H:H,"Inativo")</f>
        <v>167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1"/>
      <c r="R399" s="421"/>
      <c r="S399" s="421"/>
      <c r="T399" s="181"/>
      <c r="U399" s="181"/>
      <c r="V399" s="414"/>
      <c r="W399" s="414"/>
      <c r="X399" s="414"/>
      <c r="Y399" s="414"/>
      <c r="Z399" s="422"/>
      <c r="AA399" s="414"/>
      <c r="AB399" s="414"/>
      <c r="AC399" s="414"/>
      <c r="AD399" s="414"/>
      <c r="AE399" s="423"/>
      <c r="AF399" s="423"/>
      <c r="AG399" s="423"/>
      <c r="AH399" s="423"/>
      <c r="AI399" s="423"/>
      <c r="AJ399" s="423"/>
      <c r="AK399" s="423"/>
      <c r="AL399" s="423"/>
      <c r="AM399" s="423"/>
      <c r="AN399" s="423"/>
      <c r="AO399" s="423"/>
      <c r="AP399" s="423"/>
      <c r="AQ399" s="423"/>
      <c r="AR399" s="423"/>
      <c r="AS399" s="423"/>
      <c r="AT399" s="423"/>
      <c r="AU399" s="423"/>
      <c r="AV399" s="423"/>
      <c r="AW399" s="423"/>
      <c r="AX399" s="423"/>
      <c r="AY399" s="423"/>
      <c r="AZ399" s="423"/>
      <c r="BA399" s="423"/>
      <c r="BB399" s="423"/>
      <c r="BC399" s="423"/>
      <c r="BD399" s="423"/>
      <c r="BE399" s="423"/>
      <c r="BF399" s="423"/>
      <c r="BG399" s="423"/>
      <c r="BH399" s="423"/>
      <c r="BI399" s="423"/>
      <c r="BJ399" s="423"/>
      <c r="BK399" s="423"/>
      <c r="BL399" s="423"/>
      <c r="BM399" s="423"/>
      <c r="BN399" s="423"/>
      <c r="BO399" s="423"/>
      <c r="BP399" s="423"/>
      <c r="BQ399" s="423"/>
      <c r="BR399" s="423"/>
      <c r="BS399" s="423"/>
      <c r="BT399" s="423"/>
      <c r="BU399" s="423"/>
      <c r="BV399" s="423"/>
      <c r="BW399" s="423"/>
      <c r="BX399" s="423"/>
      <c r="BY399" s="423"/>
      <c r="BZ399" s="423"/>
      <c r="CA399" s="423"/>
      <c r="CB399" s="423"/>
      <c r="CC399" s="423"/>
      <c r="CD399" s="423"/>
      <c r="CE399" s="423"/>
      <c r="CF399" s="423"/>
      <c r="CG399" s="423"/>
      <c r="CH399" s="423"/>
      <c r="CI399" s="423"/>
    </row>
    <row r="400" ht="15.75" customHeight="1">
      <c r="A400" s="424"/>
      <c r="B400" s="296" t="s">
        <v>2536</v>
      </c>
      <c r="C400" s="425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1"/>
      <c r="R400" s="421"/>
      <c r="S400" s="421"/>
      <c r="T400" s="181"/>
      <c r="U400" s="181"/>
      <c r="V400" s="414"/>
      <c r="W400" s="414"/>
      <c r="X400" s="414"/>
      <c r="Y400" s="414"/>
      <c r="Z400" s="422"/>
      <c r="AA400" s="414"/>
      <c r="AB400" s="414"/>
      <c r="AC400" s="414"/>
      <c r="AD400" s="414"/>
      <c r="AE400" s="423"/>
      <c r="AF400" s="423"/>
      <c r="AG400" s="423"/>
      <c r="AH400" s="423"/>
      <c r="AI400" s="423"/>
      <c r="AJ400" s="423"/>
      <c r="AK400" s="423"/>
      <c r="AL400" s="423"/>
      <c r="AM400" s="423"/>
      <c r="AN400" s="423"/>
      <c r="AO400" s="423"/>
      <c r="AP400" s="423"/>
      <c r="AQ400" s="423"/>
      <c r="AR400" s="423"/>
      <c r="AS400" s="423"/>
      <c r="AT400" s="423"/>
      <c r="AU400" s="423"/>
      <c r="AV400" s="423"/>
      <c r="AW400" s="423"/>
      <c r="AX400" s="423"/>
      <c r="AY400" s="423"/>
      <c r="AZ400" s="423"/>
      <c r="BA400" s="423"/>
      <c r="BB400" s="423"/>
      <c r="BC400" s="423"/>
      <c r="BD400" s="423"/>
      <c r="BE400" s="423"/>
      <c r="BF400" s="423"/>
      <c r="BG400" s="423"/>
      <c r="BH400" s="423"/>
      <c r="BI400" s="423"/>
      <c r="BJ400" s="423"/>
      <c r="BK400" s="423"/>
      <c r="BL400" s="423"/>
      <c r="BM400" s="423"/>
      <c r="BN400" s="423"/>
      <c r="BO400" s="423"/>
      <c r="BP400" s="423"/>
      <c r="BQ400" s="423"/>
      <c r="BR400" s="423"/>
      <c r="BS400" s="423"/>
      <c r="BT400" s="423"/>
      <c r="BU400" s="423"/>
      <c r="BV400" s="423"/>
      <c r="BW400" s="423"/>
      <c r="BX400" s="423"/>
      <c r="BY400" s="423"/>
      <c r="BZ400" s="423"/>
      <c r="CA400" s="423"/>
      <c r="CB400" s="423"/>
      <c r="CC400" s="423"/>
      <c r="CD400" s="423"/>
      <c r="CE400" s="423"/>
      <c r="CF400" s="423"/>
      <c r="CG400" s="423"/>
      <c r="CH400" s="423"/>
      <c r="CI400" s="423"/>
    </row>
    <row r="401" ht="15.75" customHeight="1">
      <c r="A401" s="421"/>
      <c r="B401" s="421"/>
      <c r="C401" s="426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1"/>
      <c r="R401" s="421"/>
      <c r="S401" s="421"/>
      <c r="T401" s="181"/>
      <c r="U401" s="181"/>
      <c r="V401" s="414"/>
      <c r="W401" s="414"/>
      <c r="X401" s="414"/>
      <c r="Y401" s="414"/>
      <c r="Z401" s="422"/>
      <c r="AA401" s="414"/>
      <c r="AB401" s="414"/>
      <c r="AC401" s="414"/>
      <c r="AD401" s="414"/>
      <c r="AE401" s="423"/>
      <c r="AF401" s="423"/>
      <c r="AG401" s="423"/>
      <c r="AH401" s="423"/>
      <c r="AI401" s="423"/>
      <c r="AJ401" s="423"/>
      <c r="AK401" s="423"/>
      <c r="AL401" s="423"/>
      <c r="AM401" s="423"/>
      <c r="AN401" s="423"/>
      <c r="AO401" s="423"/>
      <c r="AP401" s="423"/>
      <c r="AQ401" s="423"/>
      <c r="AR401" s="423"/>
      <c r="AS401" s="423"/>
      <c r="AT401" s="423"/>
      <c r="AU401" s="423"/>
      <c r="AV401" s="423"/>
      <c r="AW401" s="423"/>
      <c r="AX401" s="423"/>
      <c r="AY401" s="423"/>
      <c r="AZ401" s="423"/>
      <c r="BA401" s="423"/>
      <c r="BB401" s="423"/>
      <c r="BC401" s="423"/>
      <c r="BD401" s="423"/>
      <c r="BE401" s="423"/>
      <c r="BF401" s="423"/>
      <c r="BG401" s="423"/>
      <c r="BH401" s="423"/>
      <c r="BI401" s="423"/>
      <c r="BJ401" s="423"/>
      <c r="BK401" s="423"/>
      <c r="BL401" s="423"/>
      <c r="BM401" s="423"/>
      <c r="BN401" s="423"/>
      <c r="BO401" s="423"/>
      <c r="BP401" s="423"/>
      <c r="BQ401" s="423"/>
      <c r="BR401" s="423"/>
      <c r="BS401" s="423"/>
      <c r="BT401" s="423"/>
      <c r="BU401" s="423"/>
      <c r="BV401" s="423"/>
      <c r="BW401" s="423"/>
      <c r="BX401" s="423"/>
      <c r="BY401" s="423"/>
      <c r="BZ401" s="423"/>
      <c r="CA401" s="423"/>
      <c r="CB401" s="423"/>
      <c r="CC401" s="423"/>
      <c r="CD401" s="423"/>
      <c r="CE401" s="423"/>
      <c r="CF401" s="423"/>
      <c r="CG401" s="423"/>
      <c r="CH401" s="423"/>
      <c r="CI401" s="423"/>
    </row>
    <row r="402" ht="15.75" customHeight="1">
      <c r="A402" s="421"/>
      <c r="B402" s="421"/>
      <c r="C402" s="426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1"/>
      <c r="R402" s="421"/>
      <c r="S402" s="421"/>
      <c r="T402" s="181"/>
      <c r="U402" s="181"/>
      <c r="V402" s="414"/>
      <c r="W402" s="274"/>
      <c r="X402" s="414"/>
      <c r="Y402" s="414"/>
      <c r="Z402" s="422"/>
      <c r="AA402" s="414"/>
      <c r="AB402" s="414"/>
      <c r="AC402" s="414"/>
      <c r="AD402" s="414"/>
      <c r="AE402" s="423"/>
      <c r="AF402" s="423"/>
      <c r="AG402" s="423"/>
      <c r="AH402" s="423"/>
      <c r="AI402" s="423"/>
      <c r="AJ402" s="423"/>
      <c r="AK402" s="423"/>
      <c r="AL402" s="423"/>
      <c r="AM402" s="423"/>
      <c r="AN402" s="423"/>
      <c r="AO402" s="423"/>
      <c r="AP402" s="423"/>
      <c r="AQ402" s="423"/>
      <c r="AR402" s="423"/>
      <c r="AS402" s="423"/>
      <c r="AT402" s="423"/>
      <c r="AU402" s="423"/>
      <c r="AV402" s="423"/>
      <c r="AW402" s="423"/>
      <c r="AX402" s="423"/>
      <c r="AY402" s="423"/>
      <c r="AZ402" s="423"/>
      <c r="BA402" s="423"/>
      <c r="BB402" s="423"/>
      <c r="BC402" s="423"/>
      <c r="BD402" s="423"/>
      <c r="BE402" s="423"/>
      <c r="BF402" s="423"/>
      <c r="BG402" s="423"/>
      <c r="BH402" s="423"/>
      <c r="BI402" s="423"/>
      <c r="BJ402" s="423"/>
      <c r="BK402" s="423"/>
      <c r="BL402" s="423"/>
      <c r="BM402" s="423"/>
      <c r="BN402" s="423"/>
      <c r="BO402" s="423"/>
      <c r="BP402" s="423"/>
      <c r="BQ402" s="423"/>
      <c r="BR402" s="423"/>
      <c r="BS402" s="423"/>
      <c r="BT402" s="423"/>
      <c r="BU402" s="423"/>
      <c r="BV402" s="423"/>
      <c r="BW402" s="423"/>
      <c r="BX402" s="423"/>
      <c r="BY402" s="423"/>
      <c r="BZ402" s="423"/>
      <c r="CA402" s="423"/>
      <c r="CB402" s="423"/>
      <c r="CC402" s="423"/>
      <c r="CD402" s="423"/>
      <c r="CE402" s="423"/>
      <c r="CF402" s="423"/>
      <c r="CG402" s="423"/>
      <c r="CH402" s="423"/>
      <c r="CI402" s="423"/>
    </row>
    <row r="403" ht="15.75" customHeight="1">
      <c r="A403" s="421"/>
      <c r="B403" s="421"/>
      <c r="C403" s="426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1"/>
      <c r="R403" s="421"/>
      <c r="S403" s="421"/>
      <c r="T403" s="181"/>
      <c r="U403" s="181"/>
      <c r="V403" s="414"/>
      <c r="W403" s="274"/>
      <c r="X403" s="414"/>
      <c r="Y403" s="414"/>
      <c r="Z403" s="422"/>
      <c r="AA403" s="414"/>
      <c r="AB403" s="414"/>
      <c r="AC403" s="414"/>
      <c r="AD403" s="414"/>
      <c r="AE403" s="423"/>
      <c r="AF403" s="423"/>
      <c r="AG403" s="423"/>
      <c r="AH403" s="423"/>
      <c r="AI403" s="423"/>
      <c r="AJ403" s="423"/>
      <c r="AK403" s="423"/>
      <c r="AL403" s="423"/>
      <c r="AM403" s="423"/>
      <c r="AN403" s="423"/>
      <c r="AO403" s="423"/>
      <c r="AP403" s="423"/>
      <c r="AQ403" s="423"/>
      <c r="AR403" s="423"/>
      <c r="AS403" s="423"/>
      <c r="AT403" s="423"/>
      <c r="AU403" s="423"/>
      <c r="AV403" s="423"/>
      <c r="AW403" s="423"/>
      <c r="AX403" s="423"/>
      <c r="AY403" s="423"/>
      <c r="AZ403" s="423"/>
      <c r="BA403" s="423"/>
      <c r="BB403" s="423"/>
      <c r="BC403" s="423"/>
      <c r="BD403" s="423"/>
      <c r="BE403" s="423"/>
      <c r="BF403" s="423"/>
      <c r="BG403" s="423"/>
      <c r="BH403" s="423"/>
      <c r="BI403" s="423"/>
      <c r="BJ403" s="423"/>
      <c r="BK403" s="423"/>
      <c r="BL403" s="423"/>
      <c r="BM403" s="423"/>
      <c r="BN403" s="423"/>
      <c r="BO403" s="423"/>
      <c r="BP403" s="423"/>
      <c r="BQ403" s="423"/>
      <c r="BR403" s="423"/>
      <c r="BS403" s="423"/>
      <c r="BT403" s="423"/>
      <c r="BU403" s="423"/>
      <c r="BV403" s="423"/>
      <c r="BW403" s="423"/>
      <c r="BX403" s="423"/>
      <c r="BY403" s="423"/>
      <c r="BZ403" s="423"/>
      <c r="CA403" s="423"/>
      <c r="CB403" s="423"/>
      <c r="CC403" s="423"/>
      <c r="CD403" s="423"/>
      <c r="CE403" s="423"/>
      <c r="CF403" s="423"/>
      <c r="CG403" s="423"/>
      <c r="CH403" s="423"/>
      <c r="CI403" s="423"/>
    </row>
  </sheetData>
  <autoFilter ref="$A$2:$CH$395"/>
  <customSheetViews>
    <customSheetView guid="{B1A2AC4A-C64C-414F-87A6-C08D5FF9589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54D44DF-3139-400C-8D16-F0861529D2A4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5C80CFB-B622-4464-936A-672870383AD5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90D1CE9-2DD8-4EF7-AB3F-AA9D15B48525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CAA395F-B7AE-40E3-9A48-35D53FA4C242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CF9BBF74-3EB1-4F1E-8AB9-3B8870336168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7BCA2C2C-F7E8-4C6F-8167-87779DE61747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249DC8AA-ACA6-4B9C-A07F-AB9BD6C0EE3A}" filter="1" showAutoFilter="1">
      <autoFilter ref="$B$2:$S$403"/>
    </customSheetView>
    <customSheetView guid="{F6D75903-A93A-4F57-B54E-1739ADB203EE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5BCE252-50A6-4475-8861-533DFF234630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527816A2-4B9B-45A3-8053-6B2C2E9D6D5F}" filter="1" showAutoFilter="1">
      <autoFilter ref="$B$2:$BU$403"/>
    </customSheetView>
    <customSheetView guid="{6B781031-E317-408B-AA3E-BBA15CAB4E3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4D65EE7-8307-4FA6-802F-84511C17C5BA}" filter="1" showAutoFilter="1">
      <autoFilter ref="$B$2:$BW$395"/>
    </customSheetView>
    <customSheetView guid="{8AB1E79D-D44B-4A2E-9F3E-6435461CA99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A6CDDCD-2F33-4272-B4F1-A34C4A6C4EF9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28FD0294-0BF4-44EE-8184-397C77AA4C49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FEA9777-B900-416B-87B5-6A916F50D15D}" filter="1" showAutoFilter="1">
      <autoFilter ref="$A$2:$CD$395">
        <filterColumn colId="7">
          <filters>
            <filter val="Inativo"/>
          </filters>
        </filterColumn>
      </autoFilter>
    </customSheetView>
    <customSheetView guid="{EE1FF9EE-17F4-4E10-A930-20801D66BC0D}" filter="1" showAutoFilter="1">
      <autoFilter ref="$B$2:$BR$395"/>
    </customSheetView>
    <customSheetView guid="{2FB56CF0-E762-477D-AB70-F0F5CBA2529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DBFFFC7-5474-4620-9D7B-3D6876EC9FC3}" filter="1" showAutoFilter="1">
      <autoFilter ref="$B$2:$BS$395"/>
    </customSheetView>
    <customSheetView guid="{6733F935-C852-47D5-98BD-8140433034FA}" filter="1" showAutoFilter="1">
      <autoFilter ref="$A$1:$CB$395"/>
    </customSheetView>
    <customSheetView guid="{EBE105E8-56E8-4505-B28E-67C2CC303C02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C4A2D276-8F5F-4095-B7C9-226D4DB300B0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7116B13B-1593-49E0-8822-D288A8A506B5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47B45DE-C83F-4A7C-8B39-135BE9D9DA5A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8D7389D-EA13-45B6-A864-F4E0128C6069}" filter="1" showAutoFilter="1">
      <autoFilter ref="$A$2:$CB$395"/>
    </customSheetView>
    <customSheetView guid="{7072D128-9EA6-4728-A634-81E48BE183B9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0C64D1DF-F9E6-41EC-A890-6C4BDAEAA33D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89DD8F7B-8177-47AF-ADAF-E718951036C8}" filter="1" showAutoFilter="1">
      <autoFilter ref="$B$2:$BR$395"/>
    </customSheetView>
    <customSheetView guid="{4F918789-E6EC-4FDC-A4F2-F77B8A664208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B8A853D5-7798-4D28-8F1A-12FAA0502223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203CFD03-B588-4CE1-B45A-B66FC78144D3}" filter="1" showAutoFilter="1">
      <autoFilter ref="$A$1:$CC$395"/>
    </customSheetView>
    <customSheetView guid="{E13C4A8D-7CD6-4E07-A1F1-DA6D79223014}" filter="1" showAutoFilter="1">
      <autoFilter ref="$B$2:$BS$395"/>
    </customSheetView>
    <customSheetView guid="{93649D97-0246-4A99-85BE-DDB9B45A1123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807BCDEA-6B95-434C-81E7-0B3CE4ECB2DF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82</v>
      </c>
      <c r="G1" s="427" t="s">
        <v>83</v>
      </c>
      <c r="H1" s="28" t="s">
        <v>84</v>
      </c>
      <c r="J1" s="26" t="s">
        <v>82</v>
      </c>
      <c r="Q1" s="428" t="s">
        <v>2538</v>
      </c>
      <c r="R1" s="429" t="s">
        <v>2537</v>
      </c>
      <c r="S1" s="30" t="s">
        <v>85</v>
      </c>
      <c r="Y1" s="30"/>
      <c r="Z1" s="31" t="s">
        <v>86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0" t="s">
        <v>3</v>
      </c>
      <c r="B2" s="33" t="s">
        <v>87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88</v>
      </c>
      <c r="H2" s="2" t="s">
        <v>89</v>
      </c>
      <c r="I2" s="1" t="s">
        <v>90</v>
      </c>
      <c r="J2" s="2" t="s">
        <v>91</v>
      </c>
      <c r="K2" s="34" t="s">
        <v>92</v>
      </c>
      <c r="L2" s="34" t="s">
        <v>93</v>
      </c>
      <c r="M2" s="34" t="s">
        <v>9</v>
      </c>
      <c r="N2" s="36" t="s">
        <v>94</v>
      </c>
      <c r="O2" s="3" t="s">
        <v>95</v>
      </c>
      <c r="P2" s="37" t="s">
        <v>12</v>
      </c>
      <c r="Q2" s="4" t="s">
        <v>96</v>
      </c>
      <c r="R2" s="4" t="s">
        <v>97</v>
      </c>
      <c r="S2" s="2" t="s">
        <v>98</v>
      </c>
      <c r="T2" s="313" t="s">
        <v>38</v>
      </c>
      <c r="U2" s="34" t="s">
        <v>39</v>
      </c>
      <c r="V2" s="1" t="s">
        <v>99</v>
      </c>
      <c r="W2" s="3" t="s">
        <v>40</v>
      </c>
      <c r="X2" s="3" t="s">
        <v>100</v>
      </c>
      <c r="Y2" s="1" t="s">
        <v>101</v>
      </c>
      <c r="Z2" s="2" t="s">
        <v>3609</v>
      </c>
      <c r="AA2" s="2" t="s">
        <v>3610</v>
      </c>
      <c r="AB2" s="2" t="s">
        <v>3611</v>
      </c>
      <c r="AC2" s="2" t="s">
        <v>3612</v>
      </c>
      <c r="AD2" s="2" t="s">
        <v>3613</v>
      </c>
      <c r="AE2" s="2" t="s">
        <v>3614</v>
      </c>
      <c r="AF2" s="2" t="s">
        <v>3615</v>
      </c>
      <c r="AG2" s="2" t="s">
        <v>3616</v>
      </c>
      <c r="AH2" s="2" t="s">
        <v>3617</v>
      </c>
      <c r="AI2" s="2" t="s">
        <v>3618</v>
      </c>
      <c r="AJ2" s="31" t="s">
        <v>3619</v>
      </c>
      <c r="AK2" s="431" t="s">
        <v>3620</v>
      </c>
      <c r="AL2" s="431" t="s">
        <v>3621</v>
      </c>
      <c r="AM2" s="431" t="s">
        <v>3622</v>
      </c>
      <c r="AN2" s="431" t="s">
        <v>3623</v>
      </c>
      <c r="AO2" s="431" t="s">
        <v>3624</v>
      </c>
      <c r="AP2" s="431" t="s">
        <v>3625</v>
      </c>
      <c r="AQ2" s="431" t="s">
        <v>3626</v>
      </c>
      <c r="AR2" s="431" t="s">
        <v>3627</v>
      </c>
      <c r="AS2" s="431" t="s">
        <v>3628</v>
      </c>
      <c r="AT2" s="431" t="s">
        <v>3629</v>
      </c>
      <c r="AU2" s="432" t="s">
        <v>3630</v>
      </c>
      <c r="AV2" s="432" t="s">
        <v>3631</v>
      </c>
      <c r="AW2" s="433">
        <v>44408.0</v>
      </c>
      <c r="AX2" s="433">
        <v>44439.0</v>
      </c>
      <c r="AY2" s="433">
        <v>44469.0</v>
      </c>
      <c r="AZ2" s="433">
        <v>44500.0</v>
      </c>
      <c r="BA2" s="434">
        <v>44530.0</v>
      </c>
      <c r="BB2" s="434">
        <v>44561.0</v>
      </c>
      <c r="BC2" s="434">
        <v>44592.0</v>
      </c>
      <c r="BD2" s="434">
        <v>44617.0</v>
      </c>
      <c r="BE2" s="434">
        <v>44680.0</v>
      </c>
      <c r="BF2" s="434">
        <v>44712.0</v>
      </c>
      <c r="BG2" s="434">
        <v>44742.0</v>
      </c>
      <c r="BH2" s="434">
        <v>44771.0</v>
      </c>
      <c r="BI2" s="434">
        <v>44804.0</v>
      </c>
      <c r="BJ2" s="434">
        <v>44834.0</v>
      </c>
      <c r="BK2" s="434">
        <v>44865.0</v>
      </c>
      <c r="BL2" s="434">
        <v>44895.0</v>
      </c>
      <c r="BM2" s="434">
        <v>44925.0</v>
      </c>
      <c r="BN2" s="434">
        <v>44957.0</v>
      </c>
      <c r="BO2" s="434">
        <v>44985.0</v>
      </c>
      <c r="BP2" s="434">
        <v>45016.0</v>
      </c>
      <c r="BQ2" s="433">
        <v>45044.0</v>
      </c>
      <c r="BR2" s="433">
        <v>45077.0</v>
      </c>
      <c r="BS2" s="433">
        <v>45107.0</v>
      </c>
      <c r="BT2" s="433">
        <v>45138.0</v>
      </c>
      <c r="BU2" s="433">
        <v>45169.0</v>
      </c>
      <c r="BV2" s="433">
        <v>45198.0</v>
      </c>
      <c r="BW2" s="433">
        <v>45230.0</v>
      </c>
      <c r="BX2" s="433">
        <v>45260.0</v>
      </c>
      <c r="BY2" s="435">
        <v>45289.0</v>
      </c>
      <c r="BZ2" s="435">
        <v>45322.0</v>
      </c>
      <c r="CA2" s="435">
        <v>45351.0</v>
      </c>
      <c r="CB2" s="435">
        <v>45379.0</v>
      </c>
      <c r="CC2" s="435">
        <v>45412.0</v>
      </c>
      <c r="CD2" s="435">
        <v>45443.0</v>
      </c>
      <c r="CE2" s="435">
        <v>45471.0</v>
      </c>
    </row>
    <row r="3" ht="15.75" customHeight="1">
      <c r="A3" s="436" t="s">
        <v>3632</v>
      </c>
      <c r="B3" s="436" t="s">
        <v>3633</v>
      </c>
      <c r="C3" s="437" t="s">
        <v>3634</v>
      </c>
      <c r="D3" s="319" t="s">
        <v>18</v>
      </c>
      <c r="E3" s="93" t="s">
        <v>29</v>
      </c>
      <c r="F3" s="438" t="s">
        <v>168</v>
      </c>
      <c r="G3" s="439" t="s">
        <v>3635</v>
      </c>
      <c r="H3" s="440" t="s">
        <v>186</v>
      </c>
      <c r="I3" s="46" t="s">
        <v>24</v>
      </c>
      <c r="J3" s="319" t="str">
        <f t="shared" ref="J3:J7" si="1">IF(Q3=0,"Não","Sim")</f>
        <v>Não</v>
      </c>
      <c r="K3" s="441">
        <v>44629.0</v>
      </c>
      <c r="L3" s="442">
        <v>45418.0</v>
      </c>
      <c r="M3" s="443" t="s">
        <v>55</v>
      </c>
      <c r="N3" s="444">
        <v>0.007</v>
      </c>
      <c r="O3" s="95" t="s">
        <v>24</v>
      </c>
      <c r="P3" s="168">
        <v>0.0</v>
      </c>
      <c r="Q3" s="436"/>
      <c r="R3" s="50"/>
      <c r="S3" s="45" t="s">
        <v>369</v>
      </c>
      <c r="T3" s="445" t="s">
        <v>3636</v>
      </c>
      <c r="U3" s="446" t="s">
        <v>29</v>
      </c>
      <c r="V3" s="447" t="str">
        <f t="shared" ref="V3:V31" si="2">IFS(H:H="Encerrado","Encerrado",SUM(BN3:BZ3)&lt;=0,"Inativo",SUM(BN3:BZ3)&gt;0,"Ativo")</f>
        <v>Encerrado</v>
      </c>
      <c r="W3" s="45"/>
      <c r="X3" s="24" t="s">
        <v>119</v>
      </c>
      <c r="Y3" s="45"/>
      <c r="Z3" s="448"/>
      <c r="AA3" s="448"/>
      <c r="AB3" s="448"/>
      <c r="AC3" s="448"/>
      <c r="AD3" s="448"/>
      <c r="AE3" s="448"/>
      <c r="AF3" s="448"/>
      <c r="AG3" s="448"/>
      <c r="AH3" s="448"/>
      <c r="AI3" s="448"/>
      <c r="AJ3" s="449"/>
      <c r="AK3" s="449"/>
      <c r="AL3" s="449"/>
      <c r="AM3" s="449"/>
      <c r="AN3" s="449"/>
      <c r="AO3" s="449"/>
      <c r="AP3" s="449"/>
      <c r="AQ3" s="449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>
        <v>30511.0</v>
      </c>
      <c r="BE3" s="450">
        <v>0.0</v>
      </c>
      <c r="BF3" s="450"/>
      <c r="BG3" s="450">
        <v>48736.86</v>
      </c>
      <c r="BH3" s="450">
        <v>51373.49</v>
      </c>
      <c r="BI3" s="450">
        <v>52228.11</v>
      </c>
      <c r="BJ3" s="450">
        <v>51857.9</v>
      </c>
      <c r="BK3" s="450">
        <v>0.0</v>
      </c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  <c r="BY3" s="451"/>
      <c r="BZ3" s="451"/>
      <c r="CA3" s="451"/>
      <c r="CB3" s="451"/>
      <c r="CC3" s="451"/>
      <c r="CD3" s="451"/>
      <c r="CE3" s="451"/>
    </row>
    <row r="4" ht="15.75" customHeight="1">
      <c r="A4" s="436" t="s">
        <v>3632</v>
      </c>
      <c r="B4" s="452" t="s">
        <v>221</v>
      </c>
      <c r="C4" s="453" t="s">
        <v>3637</v>
      </c>
      <c r="D4" s="319" t="s">
        <v>18</v>
      </c>
      <c r="E4" s="93" t="s">
        <v>29</v>
      </c>
      <c r="F4" s="454" t="s">
        <v>60</v>
      </c>
      <c r="G4" s="439" t="s">
        <v>3635</v>
      </c>
      <c r="H4" s="440" t="s">
        <v>147</v>
      </c>
      <c r="I4" s="51" t="s">
        <v>693</v>
      </c>
      <c r="J4" s="319" t="str">
        <f t="shared" si="1"/>
        <v>Não</v>
      </c>
      <c r="K4" s="455">
        <v>44075.0</v>
      </c>
      <c r="L4" s="456"/>
      <c r="M4" s="457" t="s">
        <v>47</v>
      </c>
      <c r="N4" s="458">
        <v>0.015</v>
      </c>
      <c r="O4" s="95" t="s">
        <v>24</v>
      </c>
      <c r="P4" s="168">
        <v>0.0</v>
      </c>
      <c r="Q4" s="436"/>
      <c r="R4" s="60" t="s">
        <v>3638</v>
      </c>
      <c r="S4" s="45" t="s">
        <v>108</v>
      </c>
      <c r="T4" s="459" t="s">
        <v>223</v>
      </c>
      <c r="U4" s="460" t="s">
        <v>224</v>
      </c>
      <c r="V4" s="447" t="str">
        <f t="shared" si="2"/>
        <v>Ativo</v>
      </c>
      <c r="W4" s="45"/>
      <c r="X4" s="24" t="s">
        <v>119</v>
      </c>
      <c r="Y4" s="45"/>
      <c r="Z4" s="448">
        <v>0.0</v>
      </c>
      <c r="AA4" s="448">
        <v>0.0</v>
      </c>
      <c r="AB4" s="448">
        <v>0.0</v>
      </c>
      <c r="AC4" s="448">
        <v>0.0</v>
      </c>
      <c r="AD4" s="448">
        <v>0.0</v>
      </c>
      <c r="AE4" s="448">
        <v>0.0</v>
      </c>
      <c r="AF4" s="448">
        <v>0.0</v>
      </c>
      <c r="AG4" s="448">
        <v>0.0</v>
      </c>
      <c r="AH4" s="448">
        <v>0.0</v>
      </c>
      <c r="AI4" s="448">
        <v>0.0</v>
      </c>
      <c r="AJ4" s="449">
        <v>120000.0</v>
      </c>
      <c r="AK4" s="449">
        <v>117828.07</v>
      </c>
      <c r="AL4" s="449">
        <v>117951.33</v>
      </c>
      <c r="AM4" s="449">
        <v>140206.63</v>
      </c>
      <c r="AN4" s="449">
        <v>150855.83</v>
      </c>
      <c r="AO4" s="449">
        <v>148393.17</v>
      </c>
      <c r="AP4" s="449">
        <v>171615.52</v>
      </c>
      <c r="AQ4" s="449">
        <v>171628.13</v>
      </c>
      <c r="AR4" s="450">
        <v>199989.14</v>
      </c>
      <c r="AS4" s="450">
        <v>214620.13</v>
      </c>
      <c r="AT4" s="450">
        <v>214986.46</v>
      </c>
      <c r="AU4" s="450">
        <v>237099.6</v>
      </c>
      <c r="AV4" s="450">
        <v>248211.86</v>
      </c>
      <c r="AW4" s="450">
        <v>236915.45</v>
      </c>
      <c r="AX4" s="450">
        <v>254536.06</v>
      </c>
      <c r="AY4" s="450">
        <v>248974.9</v>
      </c>
      <c r="AZ4" s="450">
        <v>245530.4</v>
      </c>
      <c r="BA4" s="450">
        <v>235892.49</v>
      </c>
      <c r="BB4" s="450">
        <v>210817.08</v>
      </c>
      <c r="BC4" s="450">
        <v>258231.01</v>
      </c>
      <c r="BD4" s="450">
        <v>209992.0</v>
      </c>
      <c r="BE4" s="450">
        <v>209613.12</v>
      </c>
      <c r="BF4" s="450">
        <v>689074.29</v>
      </c>
      <c r="BG4" s="450">
        <v>691017.71</v>
      </c>
      <c r="BH4" s="450">
        <v>697475.64</v>
      </c>
      <c r="BI4" s="450">
        <v>701732.01</v>
      </c>
      <c r="BJ4" s="450">
        <v>709805.97</v>
      </c>
      <c r="BK4" s="450">
        <v>719672.68</v>
      </c>
      <c r="BL4" s="450">
        <v>717360.89</v>
      </c>
      <c r="BM4" s="450">
        <v>722848.36</v>
      </c>
      <c r="BN4" s="450">
        <v>744427.34</v>
      </c>
      <c r="BO4" s="450">
        <v>752272.27</v>
      </c>
      <c r="BP4" s="450">
        <v>764710.32</v>
      </c>
      <c r="BQ4" s="450">
        <v>785604.92</v>
      </c>
      <c r="BR4" s="450">
        <v>800837.41</v>
      </c>
      <c r="BS4" s="450">
        <v>807773.22</v>
      </c>
      <c r="BT4" s="450">
        <v>807773.22</v>
      </c>
      <c r="BU4" s="450">
        <v>817740.04</v>
      </c>
      <c r="BV4" s="450">
        <v>798392.52</v>
      </c>
      <c r="BW4" s="450">
        <v>800618.61</v>
      </c>
      <c r="BX4" s="450">
        <v>814987.04</v>
      </c>
      <c r="BY4" s="451">
        <v>839929.71</v>
      </c>
      <c r="BZ4" s="451">
        <v>0.0</v>
      </c>
      <c r="CA4" s="451">
        <v>0.0</v>
      </c>
      <c r="CB4" s="451"/>
      <c r="CC4" s="451"/>
      <c r="CD4" s="451"/>
      <c r="CE4" s="451"/>
    </row>
    <row r="5" ht="15.75" customHeight="1">
      <c r="A5" s="436" t="s">
        <v>3632</v>
      </c>
      <c r="B5" s="461" t="s">
        <v>3639</v>
      </c>
      <c r="C5" s="462" t="s">
        <v>3640</v>
      </c>
      <c r="D5" s="319" t="s">
        <v>18</v>
      </c>
      <c r="E5" s="93" t="s">
        <v>29</v>
      </c>
      <c r="F5" s="454" t="s">
        <v>78</v>
      </c>
      <c r="G5" s="439" t="s">
        <v>3635</v>
      </c>
      <c r="H5" s="463" t="s">
        <v>107</v>
      </c>
      <c r="I5" s="46" t="s">
        <v>24</v>
      </c>
      <c r="J5" s="319" t="str">
        <f t="shared" si="1"/>
        <v>Não</v>
      </c>
      <c r="K5" s="455"/>
      <c r="L5" s="456"/>
      <c r="M5" s="443" t="s">
        <v>55</v>
      </c>
      <c r="N5" s="458">
        <v>0.012</v>
      </c>
      <c r="O5" s="95" t="s">
        <v>24</v>
      </c>
      <c r="P5" s="168">
        <v>0.0</v>
      </c>
      <c r="Q5" s="436"/>
      <c r="R5" s="50"/>
      <c r="S5" s="45" t="s">
        <v>108</v>
      </c>
      <c r="T5" s="464" t="s">
        <v>3641</v>
      </c>
      <c r="U5" s="465" t="s">
        <v>29</v>
      </c>
      <c r="V5" s="447" t="str">
        <f t="shared" si="2"/>
        <v>Ativo</v>
      </c>
      <c r="W5" s="45"/>
      <c r="X5" s="24" t="s">
        <v>119</v>
      </c>
      <c r="Y5" s="45"/>
      <c r="Z5" s="448"/>
      <c r="AA5" s="448"/>
      <c r="AB5" s="448"/>
      <c r="AC5" s="448"/>
      <c r="AD5" s="448"/>
      <c r="AE5" s="448"/>
      <c r="AF5" s="448"/>
      <c r="AG5" s="448"/>
      <c r="AH5" s="448"/>
      <c r="AI5" s="448"/>
      <c r="AJ5" s="449"/>
      <c r="AK5" s="449"/>
      <c r="AL5" s="449"/>
      <c r="AM5" s="449"/>
      <c r="AN5" s="449"/>
      <c r="AO5" s="449"/>
      <c r="AP5" s="449"/>
      <c r="AQ5" s="449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>
        <v>110430.21</v>
      </c>
      <c r="BT5" s="450">
        <v>110430.21</v>
      </c>
      <c r="BU5" s="450">
        <v>111796.7</v>
      </c>
      <c r="BV5" s="450">
        <v>117723.31</v>
      </c>
      <c r="BW5" s="450">
        <v>118564.24</v>
      </c>
      <c r="BX5" s="450">
        <v>123445.88</v>
      </c>
      <c r="BY5" s="451">
        <v>124184.08</v>
      </c>
      <c r="BZ5" s="451">
        <v>125268.94</v>
      </c>
      <c r="CA5" s="451">
        <v>126358.95</v>
      </c>
      <c r="CB5" s="451">
        <v>127359.83</v>
      </c>
      <c r="CC5" s="451">
        <v>128402.04</v>
      </c>
      <c r="CD5" s="451">
        <v>129442.46</v>
      </c>
      <c r="CE5" s="451">
        <v>130436.62</v>
      </c>
    </row>
    <row r="6" ht="15.75" customHeight="1">
      <c r="A6" s="436" t="s">
        <v>3632</v>
      </c>
      <c r="B6" s="452" t="s">
        <v>3642</v>
      </c>
      <c r="C6" s="453" t="s">
        <v>3643</v>
      </c>
      <c r="D6" s="319" t="s">
        <v>18</v>
      </c>
      <c r="E6" s="93" t="s">
        <v>29</v>
      </c>
      <c r="F6" s="457" t="s">
        <v>3644</v>
      </c>
      <c r="G6" s="439" t="s">
        <v>3635</v>
      </c>
      <c r="H6" s="463" t="s">
        <v>186</v>
      </c>
      <c r="I6" s="46" t="s">
        <v>24</v>
      </c>
      <c r="J6" s="319" t="str">
        <f t="shared" si="1"/>
        <v>Sim</v>
      </c>
      <c r="K6" s="455">
        <v>43759.0</v>
      </c>
      <c r="L6" s="456"/>
      <c r="M6" s="457" t="s">
        <v>269</v>
      </c>
      <c r="N6" s="458">
        <v>0.02</v>
      </c>
      <c r="O6" s="95" t="s">
        <v>48</v>
      </c>
      <c r="P6" s="168">
        <v>0.2</v>
      </c>
      <c r="Q6" s="106" t="s">
        <v>3645</v>
      </c>
      <c r="R6" s="60"/>
      <c r="S6" s="45" t="s">
        <v>108</v>
      </c>
      <c r="T6" s="459" t="s">
        <v>3646</v>
      </c>
      <c r="U6" s="460" t="s">
        <v>29</v>
      </c>
      <c r="V6" s="447" t="str">
        <f t="shared" si="2"/>
        <v>Encerrado</v>
      </c>
      <c r="W6" s="45"/>
      <c r="X6" s="24" t="s">
        <v>119</v>
      </c>
      <c r="Y6" s="45"/>
      <c r="Z6" s="448">
        <v>4987.96</v>
      </c>
      <c r="AA6" s="448">
        <v>5039.52</v>
      </c>
      <c r="AB6" s="449">
        <v>5153.89</v>
      </c>
      <c r="AC6" s="449">
        <v>5136.17</v>
      </c>
      <c r="AD6" s="449">
        <v>4895.74</v>
      </c>
      <c r="AE6" s="449">
        <v>4349.46</v>
      </c>
      <c r="AF6" s="449">
        <v>4454.04</v>
      </c>
      <c r="AG6" s="449">
        <v>4521.56</v>
      </c>
      <c r="AH6" s="449">
        <v>4694.08</v>
      </c>
      <c r="AI6" s="449">
        <v>4862.9</v>
      </c>
      <c r="AJ6" s="449">
        <v>4816.16</v>
      </c>
      <c r="AK6" s="449">
        <v>4647.29</v>
      </c>
      <c r="AL6" s="449">
        <v>4642.15</v>
      </c>
      <c r="AM6" s="449">
        <v>4910.84</v>
      </c>
      <c r="AN6" s="449">
        <v>5055.8</v>
      </c>
      <c r="AO6" s="449">
        <v>4973.2</v>
      </c>
      <c r="AP6" s="449">
        <v>4874.09</v>
      </c>
      <c r="AQ6" s="449">
        <v>4907.65</v>
      </c>
      <c r="AR6" s="450">
        <v>5004.75</v>
      </c>
      <c r="AS6" s="450">
        <v>5046.15</v>
      </c>
      <c r="AT6" s="450">
        <v>5038.64</v>
      </c>
      <c r="AU6" s="450">
        <v>5045.9</v>
      </c>
      <c r="AV6" s="450">
        <v>55.75</v>
      </c>
      <c r="AW6" s="450"/>
      <c r="AX6" s="450"/>
      <c r="AY6" s="450"/>
      <c r="AZ6" s="450"/>
      <c r="BA6" s="450"/>
      <c r="BB6" s="450"/>
      <c r="BC6" s="450"/>
      <c r="BD6" s="450"/>
      <c r="BE6" s="450">
        <v>0.0</v>
      </c>
      <c r="BF6" s="450"/>
      <c r="BG6" s="450" t="s">
        <v>2566</v>
      </c>
      <c r="BH6" s="450"/>
      <c r="BI6" s="450"/>
      <c r="BJ6" s="450"/>
      <c r="BK6" s="450">
        <v>0.0</v>
      </c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  <c r="BY6" s="466"/>
      <c r="BZ6" s="451"/>
      <c r="CA6" s="451"/>
      <c r="CB6" s="451"/>
      <c r="CC6" s="451"/>
      <c r="CD6" s="451"/>
      <c r="CE6" s="451"/>
    </row>
    <row r="7" ht="15.75" customHeight="1">
      <c r="A7" s="436" t="s">
        <v>3632</v>
      </c>
      <c r="B7" s="452" t="s">
        <v>3647</v>
      </c>
      <c r="C7" s="453" t="s">
        <v>3648</v>
      </c>
      <c r="D7" s="319" t="s">
        <v>18</v>
      </c>
      <c r="E7" s="93" t="s">
        <v>29</v>
      </c>
      <c r="F7" s="454" t="s">
        <v>373</v>
      </c>
      <c r="G7" s="439" t="s">
        <v>3635</v>
      </c>
      <c r="H7" s="440" t="s">
        <v>147</v>
      </c>
      <c r="I7" s="46" t="s">
        <v>24</v>
      </c>
      <c r="J7" s="319" t="str">
        <f t="shared" si="1"/>
        <v>Não</v>
      </c>
      <c r="K7" s="455">
        <v>43686.0</v>
      </c>
      <c r="L7" s="456"/>
      <c r="M7" s="457" t="s">
        <v>190</v>
      </c>
      <c r="N7" s="467">
        <v>0.02</v>
      </c>
      <c r="O7" s="95" t="s">
        <v>191</v>
      </c>
      <c r="P7" s="168">
        <v>0.2</v>
      </c>
      <c r="Q7" s="436"/>
      <c r="R7" s="50"/>
      <c r="S7" s="45" t="s">
        <v>108</v>
      </c>
      <c r="T7" s="459" t="s">
        <v>2663</v>
      </c>
      <c r="U7" s="460" t="s">
        <v>791</v>
      </c>
      <c r="V7" s="447" t="str">
        <f t="shared" si="2"/>
        <v>Inativo</v>
      </c>
      <c r="W7" s="45"/>
      <c r="X7" s="24" t="s">
        <v>119</v>
      </c>
      <c r="Y7" s="45"/>
      <c r="Z7" s="448">
        <v>0.0</v>
      </c>
      <c r="AA7" s="448">
        <v>0.0</v>
      </c>
      <c r="AB7" s="449">
        <v>0.0</v>
      </c>
      <c r="AC7" s="449">
        <v>0.0</v>
      </c>
      <c r="AD7" s="449">
        <v>0.0</v>
      </c>
      <c r="AE7" s="449">
        <v>0.0</v>
      </c>
      <c r="AF7" s="449">
        <v>0.0</v>
      </c>
      <c r="AG7" s="449">
        <v>0.0</v>
      </c>
      <c r="AH7" s="449">
        <v>0.0</v>
      </c>
      <c r="AI7" s="449">
        <v>0.0</v>
      </c>
      <c r="AJ7" s="449"/>
      <c r="AK7" s="449">
        <v>0.0</v>
      </c>
      <c r="AL7" s="449">
        <v>0.0</v>
      </c>
      <c r="AM7" s="449"/>
      <c r="AN7" s="468"/>
      <c r="AO7" s="468">
        <v>0.0</v>
      </c>
      <c r="AP7" s="468"/>
      <c r="AQ7" s="468"/>
      <c r="AR7" s="468"/>
      <c r="AS7" s="468"/>
      <c r="AT7" s="468">
        <v>0.0</v>
      </c>
      <c r="AU7" s="449"/>
      <c r="AV7" s="468"/>
      <c r="AW7" s="449"/>
      <c r="AX7" s="449"/>
      <c r="AY7" s="449"/>
      <c r="AZ7" s="449"/>
      <c r="BA7" s="449"/>
      <c r="BB7" s="449"/>
      <c r="BC7" s="449"/>
      <c r="BD7" s="449">
        <v>0.0</v>
      </c>
      <c r="BE7" s="449">
        <v>0.0</v>
      </c>
      <c r="BF7" s="449"/>
      <c r="BG7" s="449" t="s">
        <v>2566</v>
      </c>
      <c r="BH7" s="449"/>
      <c r="BI7" s="450"/>
      <c r="BJ7" s="450"/>
      <c r="BK7" s="450">
        <v>0.0</v>
      </c>
      <c r="BL7" s="450"/>
      <c r="BM7" s="450"/>
      <c r="BN7" s="450"/>
      <c r="BO7" s="450"/>
      <c r="BP7" s="450"/>
      <c r="BQ7" s="450"/>
      <c r="BR7" s="450"/>
      <c r="BS7" s="450"/>
      <c r="BT7" s="450"/>
      <c r="BU7" s="450"/>
      <c r="BV7" s="450"/>
      <c r="BW7" s="450"/>
      <c r="BX7" s="450"/>
      <c r="BY7" s="450"/>
      <c r="BZ7" s="451"/>
      <c r="CA7" s="451"/>
      <c r="CB7" s="451"/>
      <c r="CC7" s="451"/>
      <c r="CD7" s="451"/>
      <c r="CE7" s="451"/>
    </row>
    <row r="8" ht="15.75" customHeight="1">
      <c r="A8" s="436" t="s">
        <v>3632</v>
      </c>
      <c r="B8" s="469" t="s">
        <v>430</v>
      </c>
      <c r="C8" s="453" t="s">
        <v>3649</v>
      </c>
      <c r="D8" s="319" t="s">
        <v>18</v>
      </c>
      <c r="E8" s="93" t="s">
        <v>29</v>
      </c>
      <c r="F8" s="454" t="s">
        <v>60</v>
      </c>
      <c r="G8" s="439" t="s">
        <v>3635</v>
      </c>
      <c r="H8" s="440" t="s">
        <v>147</v>
      </c>
      <c r="I8" s="51" t="s">
        <v>219</v>
      </c>
      <c r="J8" s="319" t="str">
        <f>IF(R8=0,"Não","Sim")</f>
        <v>Sim</v>
      </c>
      <c r="K8" s="455">
        <v>43934.0</v>
      </c>
      <c r="L8" s="456"/>
      <c r="M8" s="457" t="s">
        <v>269</v>
      </c>
      <c r="N8" s="458">
        <v>0.02</v>
      </c>
      <c r="O8" s="95" t="s">
        <v>48</v>
      </c>
      <c r="P8" s="168">
        <v>0.2</v>
      </c>
      <c r="Q8" s="470"/>
      <c r="R8" s="471" t="s">
        <v>3650</v>
      </c>
      <c r="S8" s="45" t="s">
        <v>108</v>
      </c>
      <c r="T8" s="459" t="s">
        <v>432</v>
      </c>
      <c r="U8" s="460" t="s">
        <v>29</v>
      </c>
      <c r="V8" s="447" t="str">
        <f t="shared" si="2"/>
        <v>Ativo</v>
      </c>
      <c r="W8" s="45"/>
      <c r="X8" s="24" t="s">
        <v>119</v>
      </c>
      <c r="Y8" s="45"/>
      <c r="Z8" s="448">
        <v>0.0</v>
      </c>
      <c r="AA8" s="448">
        <v>0.0</v>
      </c>
      <c r="AB8" s="449">
        <v>0.0</v>
      </c>
      <c r="AC8" s="449">
        <v>0.0</v>
      </c>
      <c r="AD8" s="449">
        <v>0.0</v>
      </c>
      <c r="AE8" s="449">
        <v>0.0</v>
      </c>
      <c r="AF8" s="449">
        <v>198532.35</v>
      </c>
      <c r="AG8" s="449">
        <v>200529.88</v>
      </c>
      <c r="AH8" s="449">
        <v>205168.39</v>
      </c>
      <c r="AI8" s="449">
        <v>213829.98</v>
      </c>
      <c r="AJ8" s="449">
        <v>187848.55</v>
      </c>
      <c r="AK8" s="449">
        <v>174344.73</v>
      </c>
      <c r="AL8" s="449">
        <v>166428.38</v>
      </c>
      <c r="AM8" s="449">
        <v>188027.13</v>
      </c>
      <c r="AN8" s="449">
        <v>194461.93</v>
      </c>
      <c r="AO8" s="449">
        <v>185425.29</v>
      </c>
      <c r="AP8" s="449">
        <v>172948.62</v>
      </c>
      <c r="AQ8" s="449">
        <v>172028.87</v>
      </c>
      <c r="AR8" s="450">
        <v>188472.31</v>
      </c>
      <c r="AS8" s="450">
        <v>324026.19</v>
      </c>
      <c r="AT8" s="450">
        <v>324564.13</v>
      </c>
      <c r="AU8" s="450">
        <v>346831.26</v>
      </c>
      <c r="AV8" s="449">
        <v>340509.38</v>
      </c>
      <c r="AW8" s="449">
        <v>337088.71</v>
      </c>
      <c r="AX8" s="449">
        <v>323344.58</v>
      </c>
      <c r="AY8" s="449">
        <v>256752.44</v>
      </c>
      <c r="AZ8" s="449">
        <v>222781.82</v>
      </c>
      <c r="BA8" s="449">
        <v>199036.78</v>
      </c>
      <c r="BB8" s="449">
        <v>217354.12</v>
      </c>
      <c r="BC8" s="449">
        <v>238771.9</v>
      </c>
      <c r="BD8" s="449">
        <v>216488.31</v>
      </c>
      <c r="BE8" s="449">
        <v>211368.96</v>
      </c>
      <c r="BF8" s="449">
        <v>211692.9</v>
      </c>
      <c r="BG8" s="449">
        <v>205428.81</v>
      </c>
      <c r="BH8" s="449">
        <v>213872.48</v>
      </c>
      <c r="BI8" s="450">
        <v>216201.72</v>
      </c>
      <c r="BJ8" s="450">
        <v>221755.58</v>
      </c>
      <c r="BK8" s="450">
        <v>232860.98</v>
      </c>
      <c r="BL8" s="450">
        <v>226603.36</v>
      </c>
      <c r="BM8" s="450">
        <v>240596.62</v>
      </c>
      <c r="BN8" s="450">
        <v>220563.0</v>
      </c>
      <c r="BO8" s="450">
        <v>220713.5</v>
      </c>
      <c r="BP8" s="450">
        <v>222820.29</v>
      </c>
      <c r="BQ8" s="450">
        <v>223093.59</v>
      </c>
      <c r="BR8" s="450">
        <v>225951.9</v>
      </c>
      <c r="BS8" s="450">
        <v>230485.87</v>
      </c>
      <c r="BT8" s="450">
        <v>230485.87</v>
      </c>
      <c r="BU8" s="450">
        <v>235650.07</v>
      </c>
      <c r="BV8" s="450">
        <v>243881.08</v>
      </c>
      <c r="BW8" s="450">
        <v>234936.15</v>
      </c>
      <c r="BX8" s="450">
        <v>239749.64</v>
      </c>
      <c r="BY8" s="451">
        <v>253213.06</v>
      </c>
      <c r="BZ8" s="451">
        <v>233920.0</v>
      </c>
      <c r="CA8" s="451">
        <v>270614.46</v>
      </c>
      <c r="CB8" s="451">
        <v>217850.43</v>
      </c>
      <c r="CC8" s="451">
        <v>1685.37</v>
      </c>
      <c r="CD8" s="451">
        <v>0.0</v>
      </c>
      <c r="CE8" s="451"/>
    </row>
    <row r="9" ht="15.75" customHeight="1">
      <c r="A9" s="436" t="s">
        <v>3632</v>
      </c>
      <c r="B9" s="452" t="s">
        <v>2716</v>
      </c>
      <c r="C9" s="453" t="s">
        <v>3651</v>
      </c>
      <c r="D9" s="319" t="s">
        <v>18</v>
      </c>
      <c r="E9" s="93" t="s">
        <v>29</v>
      </c>
      <c r="F9" s="454" t="s">
        <v>2803</v>
      </c>
      <c r="G9" s="439" t="s">
        <v>3635</v>
      </c>
      <c r="H9" s="440" t="s">
        <v>147</v>
      </c>
      <c r="I9" s="46" t="s">
        <v>24</v>
      </c>
      <c r="J9" s="319" t="str">
        <f t="shared" ref="J9:J17" si="3">IF(Q9=0,"Não","Sim")</f>
        <v>Sim</v>
      </c>
      <c r="K9" s="455">
        <v>43663.0</v>
      </c>
      <c r="L9" s="456"/>
      <c r="M9" s="457" t="s">
        <v>269</v>
      </c>
      <c r="N9" s="467">
        <v>0.01</v>
      </c>
      <c r="O9" s="95" t="s">
        <v>48</v>
      </c>
      <c r="P9" s="168">
        <v>0.15</v>
      </c>
      <c r="Q9" s="106" t="s">
        <v>3645</v>
      </c>
      <c r="R9" s="111"/>
      <c r="S9" s="45" t="s">
        <v>108</v>
      </c>
      <c r="T9" s="459" t="s">
        <v>2719</v>
      </c>
      <c r="U9" s="460" t="s">
        <v>29</v>
      </c>
      <c r="V9" s="447" t="str">
        <f t="shared" si="2"/>
        <v>Inativo</v>
      </c>
      <c r="W9" s="45"/>
      <c r="X9" s="24" t="s">
        <v>119</v>
      </c>
      <c r="Y9" s="45"/>
      <c r="Z9" s="448">
        <v>0.0</v>
      </c>
      <c r="AA9" s="448">
        <v>0.0</v>
      </c>
      <c r="AB9" s="449">
        <v>0.0</v>
      </c>
      <c r="AC9" s="449">
        <v>0.0</v>
      </c>
      <c r="AD9" s="449">
        <v>0.0</v>
      </c>
      <c r="AE9" s="449">
        <v>0.0</v>
      </c>
      <c r="AF9" s="449">
        <v>0.0</v>
      </c>
      <c r="AG9" s="449">
        <v>0.0</v>
      </c>
      <c r="AH9" s="449">
        <v>0.0</v>
      </c>
      <c r="AI9" s="449">
        <v>0.0</v>
      </c>
      <c r="AJ9" s="449"/>
      <c r="AK9" s="449">
        <v>0.0</v>
      </c>
      <c r="AL9" s="449">
        <v>0.0</v>
      </c>
      <c r="AM9" s="449"/>
      <c r="AN9" s="449"/>
      <c r="AO9" s="449">
        <v>0.0</v>
      </c>
      <c r="AP9" s="449"/>
      <c r="AQ9" s="449"/>
      <c r="AR9" s="449"/>
      <c r="AS9" s="449"/>
      <c r="AT9" s="449">
        <v>0.0</v>
      </c>
      <c r="AU9" s="449"/>
      <c r="AV9" s="449"/>
      <c r="AW9" s="449"/>
      <c r="AX9" s="449"/>
      <c r="AY9" s="449"/>
      <c r="AZ9" s="449"/>
      <c r="BA9" s="449"/>
      <c r="BB9" s="449"/>
      <c r="BC9" s="449"/>
      <c r="BD9" s="449">
        <v>0.0</v>
      </c>
      <c r="BE9" s="449">
        <v>0.0</v>
      </c>
      <c r="BF9" s="449"/>
      <c r="BG9" s="449" t="s">
        <v>2566</v>
      </c>
      <c r="BH9" s="449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1"/>
      <c r="CA9" s="451"/>
      <c r="CB9" s="451"/>
      <c r="CC9" s="451"/>
      <c r="CD9" s="451"/>
      <c r="CE9" s="451"/>
    </row>
    <row r="10" ht="15.75" customHeight="1">
      <c r="A10" s="436" t="s">
        <v>3632</v>
      </c>
      <c r="B10" s="452" t="s">
        <v>3652</v>
      </c>
      <c r="C10" s="462" t="s">
        <v>3653</v>
      </c>
      <c r="D10" s="319" t="s">
        <v>18</v>
      </c>
      <c r="E10" s="93" t="s">
        <v>29</v>
      </c>
      <c r="F10" s="454" t="s">
        <v>2803</v>
      </c>
      <c r="G10" s="439" t="s">
        <v>3635</v>
      </c>
      <c r="H10" s="440" t="s">
        <v>147</v>
      </c>
      <c r="I10" s="46" t="s">
        <v>24</v>
      </c>
      <c r="J10" s="319" t="str">
        <f t="shared" si="3"/>
        <v>Não</v>
      </c>
      <c r="K10" s="455">
        <v>43864.0</v>
      </c>
      <c r="L10" s="456"/>
      <c r="M10" s="457" t="s">
        <v>47</v>
      </c>
      <c r="N10" s="467">
        <v>1.0E-4</v>
      </c>
      <c r="O10" s="95" t="s">
        <v>24</v>
      </c>
      <c r="P10" s="168">
        <v>0.0</v>
      </c>
      <c r="Q10" s="436"/>
      <c r="R10" s="111"/>
      <c r="S10" s="45" t="s">
        <v>108</v>
      </c>
      <c r="T10" s="459" t="s">
        <v>3654</v>
      </c>
      <c r="U10" s="460" t="s">
        <v>29</v>
      </c>
      <c r="V10" s="447" t="str">
        <f t="shared" si="2"/>
        <v>Inativo</v>
      </c>
      <c r="W10" s="45"/>
      <c r="X10" s="24" t="s">
        <v>119</v>
      </c>
      <c r="Y10" s="45"/>
      <c r="Z10" s="448">
        <v>0.0</v>
      </c>
      <c r="AA10" s="448">
        <v>0.0</v>
      </c>
      <c r="AB10" s="449">
        <v>0.0</v>
      </c>
      <c r="AC10" s="449">
        <v>0.0</v>
      </c>
      <c r="AD10" s="449">
        <v>257539.37</v>
      </c>
      <c r="AE10" s="449">
        <v>248290.05</v>
      </c>
      <c r="AF10" s="449">
        <v>257290.32</v>
      </c>
      <c r="AG10" s="449">
        <v>261574.77</v>
      </c>
      <c r="AH10" s="449">
        <v>265766.68</v>
      </c>
      <c r="AI10" s="449">
        <v>270591.32</v>
      </c>
      <c r="AJ10" s="449">
        <v>266448.06</v>
      </c>
      <c r="AK10" s="449">
        <v>258292.02</v>
      </c>
      <c r="AL10" s="449">
        <v>258061.12</v>
      </c>
      <c r="AM10" s="449">
        <v>276790.53</v>
      </c>
      <c r="AN10" s="449">
        <v>284352.66</v>
      </c>
      <c r="AO10" s="449">
        <v>276673.82</v>
      </c>
      <c r="AP10" s="449">
        <v>268457.18</v>
      </c>
      <c r="AQ10" s="449">
        <v>267932.75</v>
      </c>
      <c r="AR10" s="450">
        <v>280352.87</v>
      </c>
      <c r="AS10" s="450">
        <v>276492.88</v>
      </c>
      <c r="AT10" s="450">
        <v>276542.41</v>
      </c>
      <c r="AU10" s="450">
        <v>280807.88</v>
      </c>
      <c r="AV10" s="450">
        <v>280244.33</v>
      </c>
      <c r="AW10" s="450">
        <v>277956.49</v>
      </c>
      <c r="AX10" s="450">
        <v>275858.1</v>
      </c>
      <c r="AY10" s="450">
        <v>270518.24</v>
      </c>
      <c r="AZ10" s="450">
        <v>266140.43</v>
      </c>
      <c r="BA10" s="450">
        <v>257981.5</v>
      </c>
      <c r="BB10" s="450">
        <v>266871.1</v>
      </c>
      <c r="BC10" s="450">
        <v>276031.85</v>
      </c>
      <c r="BD10" s="450">
        <v>280031.89</v>
      </c>
      <c r="BE10" s="450">
        <v>280789.91</v>
      </c>
      <c r="BF10" s="450">
        <v>284504.27</v>
      </c>
      <c r="BG10" s="450">
        <v>116971.52</v>
      </c>
      <c r="BH10" s="450">
        <v>694.79</v>
      </c>
      <c r="BI10" s="450">
        <v>849.9</v>
      </c>
      <c r="BJ10" s="450">
        <v>849.9</v>
      </c>
      <c r="BK10" s="450">
        <v>0.0</v>
      </c>
      <c r="BL10" s="450"/>
      <c r="BM10" s="450"/>
      <c r="BN10" s="450"/>
      <c r="BO10" s="450"/>
      <c r="BP10" s="450"/>
      <c r="BQ10" s="450"/>
      <c r="BR10" s="450"/>
      <c r="BS10" s="450"/>
      <c r="BT10" s="450"/>
      <c r="BU10" s="450"/>
      <c r="BV10" s="450"/>
      <c r="BW10" s="450"/>
      <c r="BX10" s="450"/>
      <c r="BY10" s="450"/>
      <c r="BZ10" s="451"/>
      <c r="CA10" s="451"/>
      <c r="CB10" s="451"/>
      <c r="CC10" s="451"/>
      <c r="CD10" s="451"/>
      <c r="CE10" s="451"/>
    </row>
    <row r="11" ht="15.75" customHeight="1">
      <c r="A11" s="436" t="s">
        <v>3632</v>
      </c>
      <c r="B11" s="452" t="s">
        <v>3655</v>
      </c>
      <c r="C11" s="462" t="s">
        <v>3656</v>
      </c>
      <c r="D11" s="319" t="s">
        <v>18</v>
      </c>
      <c r="E11" s="93" t="s">
        <v>29</v>
      </c>
      <c r="F11" s="454" t="s">
        <v>18</v>
      </c>
      <c r="G11" s="439" t="s">
        <v>3635</v>
      </c>
      <c r="H11" s="440" t="s">
        <v>147</v>
      </c>
      <c r="I11" s="46" t="s">
        <v>24</v>
      </c>
      <c r="J11" s="319" t="str">
        <f t="shared" si="3"/>
        <v>Não</v>
      </c>
      <c r="K11" s="455">
        <v>44062.0</v>
      </c>
      <c r="L11" s="456"/>
      <c r="M11" s="457" t="s">
        <v>47</v>
      </c>
      <c r="N11" s="467">
        <v>0.015</v>
      </c>
      <c r="O11" s="95" t="s">
        <v>24</v>
      </c>
      <c r="P11" s="168">
        <v>0.0</v>
      </c>
      <c r="Q11" s="436"/>
      <c r="R11" s="50"/>
      <c r="S11" s="45" t="s">
        <v>108</v>
      </c>
      <c r="T11" s="459" t="s">
        <v>3657</v>
      </c>
      <c r="U11" s="460" t="s">
        <v>29</v>
      </c>
      <c r="V11" s="447" t="str">
        <f t="shared" si="2"/>
        <v>Inativo</v>
      </c>
      <c r="W11" s="45"/>
      <c r="X11" s="24" t="s">
        <v>119</v>
      </c>
      <c r="Y11" s="45"/>
      <c r="Z11" s="448">
        <v>0.0</v>
      </c>
      <c r="AA11" s="448">
        <v>0.0</v>
      </c>
      <c r="AB11" s="448">
        <v>0.0</v>
      </c>
      <c r="AC11" s="448">
        <v>0.0</v>
      </c>
      <c r="AD11" s="448">
        <v>0.0</v>
      </c>
      <c r="AE11" s="448">
        <v>0.0</v>
      </c>
      <c r="AF11" s="448">
        <v>0.0</v>
      </c>
      <c r="AG11" s="448">
        <v>0.0</v>
      </c>
      <c r="AH11" s="448">
        <v>0.0</v>
      </c>
      <c r="AI11" s="448">
        <v>0.0</v>
      </c>
      <c r="AJ11" s="448">
        <v>180093.37</v>
      </c>
      <c r="AK11" s="448">
        <v>172792.99</v>
      </c>
      <c r="AL11" s="448">
        <v>172710.75</v>
      </c>
      <c r="AM11" s="448">
        <v>177927.11</v>
      </c>
      <c r="AN11" s="448">
        <v>181504.78</v>
      </c>
      <c r="AO11" s="448">
        <v>177719.78</v>
      </c>
      <c r="AP11" s="448">
        <v>164338.46</v>
      </c>
      <c r="AQ11" s="448">
        <v>163504.22</v>
      </c>
      <c r="AR11" s="450">
        <v>105356.68</v>
      </c>
      <c r="AS11" s="450">
        <v>71410.36</v>
      </c>
      <c r="AT11" s="450">
        <v>71700.88</v>
      </c>
      <c r="AU11" s="450">
        <v>66430.76</v>
      </c>
      <c r="AV11" s="450">
        <v>66648.36</v>
      </c>
      <c r="AW11" s="450">
        <v>53190.78</v>
      </c>
      <c r="AX11" s="450">
        <v>49858.56</v>
      </c>
      <c r="AY11" s="450">
        <v>49187.42</v>
      </c>
      <c r="AZ11" s="450">
        <v>37247.04</v>
      </c>
      <c r="BA11" s="450">
        <v>28733.39</v>
      </c>
      <c r="BB11" s="450">
        <v>28963.08</v>
      </c>
      <c r="BC11" s="450">
        <v>22571.29</v>
      </c>
      <c r="BD11" s="450">
        <v>19775.15</v>
      </c>
      <c r="BE11" s="450">
        <v>14460.46</v>
      </c>
      <c r="BF11" s="450">
        <v>15287.31</v>
      </c>
      <c r="BG11" s="450">
        <v>11673.3</v>
      </c>
      <c r="BH11" s="450">
        <v>3549.51</v>
      </c>
      <c r="BI11" s="450">
        <v>3049.0</v>
      </c>
      <c r="BJ11" s="450">
        <v>0.0</v>
      </c>
      <c r="BK11" s="450">
        <v>0.0</v>
      </c>
      <c r="BL11" s="450"/>
      <c r="BM11" s="450"/>
      <c r="BN11" s="450"/>
      <c r="BO11" s="450"/>
      <c r="BP11" s="450"/>
      <c r="BQ11" s="450"/>
      <c r="BR11" s="450"/>
      <c r="BS11" s="450"/>
      <c r="BT11" s="450"/>
      <c r="BU11" s="450"/>
      <c r="BV11" s="450"/>
      <c r="BW11" s="450"/>
      <c r="BX11" s="450"/>
      <c r="BY11" s="450"/>
      <c r="BZ11" s="451"/>
      <c r="CA11" s="451"/>
      <c r="CB11" s="451"/>
      <c r="CC11" s="451"/>
      <c r="CD11" s="451"/>
      <c r="CE11" s="451"/>
    </row>
    <row r="12" ht="15.75" customHeight="1">
      <c r="A12" s="436" t="s">
        <v>3632</v>
      </c>
      <c r="B12" s="472" t="s">
        <v>3658</v>
      </c>
      <c r="C12" s="462" t="s">
        <v>3659</v>
      </c>
      <c r="D12" s="319" t="s">
        <v>105</v>
      </c>
      <c r="E12" s="93" t="s">
        <v>29</v>
      </c>
      <c r="F12" s="454" t="s">
        <v>3660</v>
      </c>
      <c r="G12" s="439" t="s">
        <v>3635</v>
      </c>
      <c r="H12" s="463" t="s">
        <v>186</v>
      </c>
      <c r="I12" s="46" t="s">
        <v>24</v>
      </c>
      <c r="J12" s="319" t="str">
        <f t="shared" si="3"/>
        <v>Não</v>
      </c>
      <c r="K12" s="455">
        <v>44774.0</v>
      </c>
      <c r="L12" s="456">
        <v>44942.0</v>
      </c>
      <c r="M12" s="457" t="s">
        <v>47</v>
      </c>
      <c r="N12" s="467">
        <v>0.015</v>
      </c>
      <c r="O12" s="95" t="s">
        <v>24</v>
      </c>
      <c r="P12" s="168">
        <v>0.0</v>
      </c>
      <c r="Q12" s="436"/>
      <c r="R12" s="473"/>
      <c r="S12" s="45" t="s">
        <v>108</v>
      </c>
      <c r="T12" s="459" t="s">
        <v>3661</v>
      </c>
      <c r="U12" s="465" t="s">
        <v>29</v>
      </c>
      <c r="V12" s="447" t="str">
        <f t="shared" si="2"/>
        <v>Encerrado</v>
      </c>
      <c r="W12" s="45"/>
      <c r="X12" s="24" t="s">
        <v>119</v>
      </c>
      <c r="Y12" s="45"/>
      <c r="Z12" s="448"/>
      <c r="AA12" s="448"/>
      <c r="AB12" s="449"/>
      <c r="AC12" s="449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  <c r="AN12" s="449"/>
      <c r="AO12" s="449"/>
      <c r="AP12" s="449"/>
      <c r="AQ12" s="449"/>
      <c r="AR12" s="449"/>
      <c r="AS12" s="449"/>
      <c r="AT12" s="449"/>
      <c r="AU12" s="449"/>
      <c r="AV12" s="449"/>
      <c r="AW12" s="449"/>
      <c r="AX12" s="449"/>
      <c r="AY12" s="449"/>
      <c r="AZ12" s="449"/>
      <c r="BA12" s="449"/>
      <c r="BB12" s="449"/>
      <c r="BC12" s="449"/>
      <c r="BD12" s="449"/>
      <c r="BE12" s="449"/>
      <c r="BF12" s="449"/>
      <c r="BG12" s="449"/>
      <c r="BH12" s="449"/>
      <c r="BI12" s="450"/>
      <c r="BJ12" s="450">
        <v>1029046.34</v>
      </c>
      <c r="BK12" s="450">
        <v>1125492.29</v>
      </c>
      <c r="BL12" s="450">
        <v>1115086.74</v>
      </c>
      <c r="BM12" s="450">
        <v>1126305.3</v>
      </c>
      <c r="BN12" s="450">
        <v>0.0</v>
      </c>
      <c r="BO12" s="450">
        <v>0.0</v>
      </c>
      <c r="BP12" s="450"/>
      <c r="BQ12" s="450"/>
      <c r="BR12" s="450"/>
      <c r="BS12" s="450"/>
      <c r="BT12" s="450"/>
      <c r="BU12" s="450"/>
      <c r="BV12" s="450"/>
      <c r="BW12" s="450"/>
      <c r="BX12" s="450"/>
      <c r="BY12" s="450"/>
      <c r="BZ12" s="451"/>
      <c r="CA12" s="451"/>
      <c r="CB12" s="451"/>
      <c r="CC12" s="451"/>
      <c r="CD12" s="451"/>
      <c r="CE12" s="451"/>
    </row>
    <row r="13" ht="15.75" customHeight="1">
      <c r="A13" s="436" t="s">
        <v>3632</v>
      </c>
      <c r="B13" s="452" t="s">
        <v>3662</v>
      </c>
      <c r="C13" s="462" t="s">
        <v>3663</v>
      </c>
      <c r="D13" s="319" t="s">
        <v>18</v>
      </c>
      <c r="E13" s="93" t="s">
        <v>29</v>
      </c>
      <c r="F13" s="454" t="s">
        <v>2803</v>
      </c>
      <c r="G13" s="439" t="s">
        <v>3635</v>
      </c>
      <c r="H13" s="463" t="s">
        <v>186</v>
      </c>
      <c r="I13" s="46" t="s">
        <v>24</v>
      </c>
      <c r="J13" s="319" t="str">
        <f t="shared" si="3"/>
        <v>Não</v>
      </c>
      <c r="K13" s="474" t="s">
        <v>2599</v>
      </c>
      <c r="L13" s="456"/>
      <c r="M13" s="457" t="s">
        <v>47</v>
      </c>
      <c r="N13" s="467">
        <v>0.015</v>
      </c>
      <c r="O13" s="95" t="s">
        <v>24</v>
      </c>
      <c r="P13" s="168">
        <v>0.0</v>
      </c>
      <c r="Q13" s="436"/>
      <c r="R13" s="50"/>
      <c r="S13" s="45" t="s">
        <v>108</v>
      </c>
      <c r="T13" s="459" t="s">
        <v>3664</v>
      </c>
      <c r="U13" s="460" t="s">
        <v>29</v>
      </c>
      <c r="V13" s="447" t="str">
        <f t="shared" si="2"/>
        <v>Encerrado</v>
      </c>
      <c r="W13" s="45"/>
      <c r="X13" s="24" t="s">
        <v>119</v>
      </c>
      <c r="Y13" s="45"/>
      <c r="Z13" s="448">
        <v>0.0</v>
      </c>
      <c r="AA13" s="448">
        <v>0.0</v>
      </c>
      <c r="AB13" s="449">
        <v>0.0</v>
      </c>
      <c r="AC13" s="449">
        <v>0.0</v>
      </c>
      <c r="AD13" s="449">
        <v>0.0</v>
      </c>
      <c r="AE13" s="449">
        <v>0.0</v>
      </c>
      <c r="AF13" s="449">
        <v>0.0</v>
      </c>
      <c r="AG13" s="449">
        <v>0.0</v>
      </c>
      <c r="AH13" s="449">
        <v>0.0</v>
      </c>
      <c r="AI13" s="449">
        <v>0.0</v>
      </c>
      <c r="AJ13" s="449"/>
      <c r="AK13" s="449">
        <v>0.0</v>
      </c>
      <c r="AL13" s="449">
        <v>0.0</v>
      </c>
      <c r="AM13" s="449"/>
      <c r="AN13" s="449"/>
      <c r="AO13" s="449">
        <v>0.0</v>
      </c>
      <c r="AP13" s="449"/>
      <c r="AQ13" s="449"/>
      <c r="AR13" s="449"/>
      <c r="AS13" s="449"/>
      <c r="AT13" s="449">
        <v>0.0</v>
      </c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0.0</v>
      </c>
      <c r="BE13" s="449">
        <v>0.0</v>
      </c>
      <c r="BF13" s="449"/>
      <c r="BG13" s="449" t="s">
        <v>2566</v>
      </c>
      <c r="BH13" s="449"/>
      <c r="BI13" s="450"/>
      <c r="BJ13" s="450"/>
      <c r="BK13" s="450">
        <v>0.0</v>
      </c>
      <c r="BL13" s="450"/>
      <c r="BM13" s="450"/>
      <c r="BN13" s="450"/>
      <c r="BO13" s="450"/>
      <c r="BP13" s="450"/>
      <c r="BQ13" s="450"/>
      <c r="BR13" s="450"/>
      <c r="BS13" s="450"/>
      <c r="BT13" s="450"/>
      <c r="BU13" s="450"/>
      <c r="BV13" s="450"/>
      <c r="BW13" s="450"/>
      <c r="BX13" s="450"/>
      <c r="BY13" s="450"/>
      <c r="BZ13" s="451"/>
      <c r="CA13" s="451"/>
      <c r="CB13" s="451"/>
      <c r="CC13" s="451"/>
      <c r="CD13" s="451"/>
      <c r="CE13" s="451"/>
    </row>
    <row r="14" ht="15.75" customHeight="1">
      <c r="A14" s="436" t="s">
        <v>3632</v>
      </c>
      <c r="B14" s="472" t="s">
        <v>956</v>
      </c>
      <c r="C14" s="453" t="s">
        <v>3665</v>
      </c>
      <c r="D14" s="319" t="s">
        <v>18</v>
      </c>
      <c r="E14" s="93" t="s">
        <v>29</v>
      </c>
      <c r="F14" s="454" t="s">
        <v>3666</v>
      </c>
      <c r="G14" s="439" t="s">
        <v>3635</v>
      </c>
      <c r="H14" s="440" t="s">
        <v>147</v>
      </c>
      <c r="I14" s="46" t="s">
        <v>24</v>
      </c>
      <c r="J14" s="319" t="str">
        <f t="shared" si="3"/>
        <v>Sim</v>
      </c>
      <c r="K14" s="455">
        <v>45007.0</v>
      </c>
      <c r="L14" s="456"/>
      <c r="M14" s="457" t="s">
        <v>190</v>
      </c>
      <c r="N14" s="467">
        <v>0.023</v>
      </c>
      <c r="O14" s="95" t="s">
        <v>191</v>
      </c>
      <c r="P14" s="168">
        <v>0.2</v>
      </c>
      <c r="Q14" s="436" t="s">
        <v>3667</v>
      </c>
      <c r="R14" s="141" t="s">
        <v>3668</v>
      </c>
      <c r="S14" s="45" t="s">
        <v>108</v>
      </c>
      <c r="T14" s="459" t="s">
        <v>959</v>
      </c>
      <c r="U14" s="465" t="s">
        <v>152</v>
      </c>
      <c r="V14" s="447" t="str">
        <f t="shared" si="2"/>
        <v>Ativo</v>
      </c>
      <c r="W14" s="45"/>
      <c r="X14" s="24" t="s">
        <v>119</v>
      </c>
      <c r="Y14" s="45"/>
      <c r="Z14" s="448"/>
      <c r="AA14" s="448"/>
      <c r="AB14" s="449"/>
      <c r="AC14" s="449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>
        <v>1205260.4</v>
      </c>
      <c r="BQ14" s="450">
        <v>1179376.51</v>
      </c>
      <c r="BR14" s="450">
        <v>1205168.45</v>
      </c>
      <c r="BS14" s="450">
        <v>1226959.18</v>
      </c>
      <c r="BT14" s="450">
        <v>1226959.18</v>
      </c>
      <c r="BU14" s="450">
        <v>200884.45</v>
      </c>
      <c r="BV14" s="450">
        <v>84820.52</v>
      </c>
      <c r="BW14" s="450">
        <v>0.0</v>
      </c>
      <c r="BX14" s="450"/>
      <c r="BY14" s="450"/>
      <c r="BZ14" s="451"/>
      <c r="CA14" s="451"/>
      <c r="CB14" s="451"/>
      <c r="CC14" s="451"/>
      <c r="CD14" s="451"/>
      <c r="CE14" s="451"/>
    </row>
    <row r="15" ht="15.75" customHeight="1">
      <c r="A15" s="436" t="s">
        <v>3632</v>
      </c>
      <c r="B15" s="452" t="s">
        <v>3669</v>
      </c>
      <c r="C15" s="453" t="s">
        <v>3670</v>
      </c>
      <c r="D15" s="319" t="s">
        <v>2550</v>
      </c>
      <c r="E15" s="93" t="s">
        <v>29</v>
      </c>
      <c r="F15" s="454" t="s">
        <v>2550</v>
      </c>
      <c r="G15" s="439" t="s">
        <v>3635</v>
      </c>
      <c r="H15" s="440" t="s">
        <v>147</v>
      </c>
      <c r="I15" s="46" t="s">
        <v>24</v>
      </c>
      <c r="J15" s="319" t="str">
        <f t="shared" si="3"/>
        <v>Não</v>
      </c>
      <c r="K15" s="455">
        <v>44014.0</v>
      </c>
      <c r="L15" s="456"/>
      <c r="M15" s="457" t="s">
        <v>190</v>
      </c>
      <c r="N15" s="467">
        <v>0.025</v>
      </c>
      <c r="O15" s="95" t="s">
        <v>191</v>
      </c>
      <c r="P15" s="168">
        <v>0.2</v>
      </c>
      <c r="Q15" s="436"/>
      <c r="R15" s="475"/>
      <c r="S15" s="45" t="s">
        <v>108</v>
      </c>
      <c r="T15" s="459" t="s">
        <v>3671</v>
      </c>
      <c r="U15" s="460" t="s">
        <v>3672</v>
      </c>
      <c r="V15" s="447" t="str">
        <f t="shared" si="2"/>
        <v>Ativo</v>
      </c>
      <c r="W15" s="45"/>
      <c r="X15" s="24" t="s">
        <v>119</v>
      </c>
      <c r="Y15" s="45"/>
      <c r="Z15" s="448">
        <v>0.0</v>
      </c>
      <c r="AA15" s="448"/>
      <c r="AB15" s="449"/>
      <c r="AC15" s="449"/>
      <c r="AD15" s="449"/>
      <c r="AE15" s="449"/>
      <c r="AF15" s="449">
        <v>0.0</v>
      </c>
      <c r="AG15" s="449">
        <v>0.0</v>
      </c>
      <c r="AH15" s="449">
        <v>150000.0</v>
      </c>
      <c r="AI15" s="449">
        <v>154085.03</v>
      </c>
      <c r="AJ15" s="449">
        <v>147704.92</v>
      </c>
      <c r="AK15" s="449">
        <v>135094.55</v>
      </c>
      <c r="AL15" s="449">
        <v>133801.09</v>
      </c>
      <c r="AM15" s="449">
        <v>157134.19</v>
      </c>
      <c r="AN15" s="449">
        <v>164046.07</v>
      </c>
      <c r="AO15" s="449">
        <v>153189.97</v>
      </c>
      <c r="AP15" s="449">
        <v>143688.57</v>
      </c>
      <c r="AQ15" s="449">
        <v>142786.18</v>
      </c>
      <c r="AR15" s="450">
        <v>166210.28</v>
      </c>
      <c r="AS15" s="450">
        <v>153449.98</v>
      </c>
      <c r="AT15" s="450">
        <v>154013.12</v>
      </c>
      <c r="AU15" s="450">
        <v>159213.93</v>
      </c>
      <c r="AV15" s="450">
        <v>155185.38</v>
      </c>
      <c r="AW15" s="450">
        <v>151604.09</v>
      </c>
      <c r="AX15" s="450">
        <v>147449.72</v>
      </c>
      <c r="AY15" s="450">
        <v>138631.81</v>
      </c>
      <c r="AZ15" s="450">
        <v>130862.98</v>
      </c>
      <c r="BA15" s="450">
        <v>117364.76</v>
      </c>
      <c r="BB15" s="450">
        <v>115166.78</v>
      </c>
      <c r="BC15" s="450">
        <v>104163.54</v>
      </c>
      <c r="BD15" s="450">
        <v>107429.62</v>
      </c>
      <c r="BE15" s="450">
        <v>79074.94</v>
      </c>
      <c r="BF15" s="450">
        <v>78299.41</v>
      </c>
      <c r="BG15" s="450">
        <v>73645.94</v>
      </c>
      <c r="BH15" s="450">
        <v>77808.43</v>
      </c>
      <c r="BI15" s="450">
        <v>78780.62</v>
      </c>
      <c r="BJ15" s="450">
        <v>81729.71</v>
      </c>
      <c r="BK15" s="450">
        <v>88108.56</v>
      </c>
      <c r="BL15" s="450">
        <v>84233.05</v>
      </c>
      <c r="BM15" s="450">
        <v>85116.2</v>
      </c>
      <c r="BN15" s="450">
        <v>86683.24</v>
      </c>
      <c r="BO15" s="450">
        <v>17.83</v>
      </c>
      <c r="BP15" s="450"/>
      <c r="BQ15" s="450"/>
      <c r="BR15" s="450"/>
      <c r="BS15" s="450"/>
      <c r="BT15" s="450"/>
      <c r="BU15" s="450"/>
      <c r="BV15" s="450"/>
      <c r="BW15" s="450"/>
      <c r="BX15" s="450"/>
      <c r="BY15" s="450"/>
      <c r="BZ15" s="451"/>
      <c r="CA15" s="451"/>
      <c r="CB15" s="451"/>
      <c r="CC15" s="451"/>
      <c r="CD15" s="451"/>
      <c r="CE15" s="451"/>
    </row>
    <row r="16" ht="15.75" customHeight="1">
      <c r="A16" s="436" t="s">
        <v>3632</v>
      </c>
      <c r="B16" s="452" t="s">
        <v>3673</v>
      </c>
      <c r="C16" s="453" t="s">
        <v>3674</v>
      </c>
      <c r="D16" s="319" t="s">
        <v>18</v>
      </c>
      <c r="E16" s="93" t="s">
        <v>29</v>
      </c>
      <c r="F16" s="457" t="s">
        <v>60</v>
      </c>
      <c r="G16" s="439" t="s">
        <v>3635</v>
      </c>
      <c r="H16" s="463" t="s">
        <v>107</v>
      </c>
      <c r="I16" s="46" t="s">
        <v>24</v>
      </c>
      <c r="J16" s="319" t="str">
        <f t="shared" si="3"/>
        <v>Não</v>
      </c>
      <c r="K16" s="455">
        <v>45035.0</v>
      </c>
      <c r="L16" s="456"/>
      <c r="M16" s="443" t="s">
        <v>55</v>
      </c>
      <c r="N16" s="458">
        <v>0.01</v>
      </c>
      <c r="O16" s="95" t="s">
        <v>24</v>
      </c>
      <c r="P16" s="168">
        <v>0.0</v>
      </c>
      <c r="Q16" s="436"/>
      <c r="R16" s="475"/>
      <c r="S16" s="45" t="s">
        <v>108</v>
      </c>
      <c r="T16" s="459" t="s">
        <v>3675</v>
      </c>
      <c r="U16" s="460" t="s">
        <v>29</v>
      </c>
      <c r="V16" s="447" t="str">
        <f t="shared" si="2"/>
        <v>Ativo</v>
      </c>
      <c r="W16" s="45"/>
      <c r="X16" s="24" t="s">
        <v>119</v>
      </c>
      <c r="Y16" s="45"/>
      <c r="Z16" s="448"/>
      <c r="AA16" s="448"/>
      <c r="AB16" s="449"/>
      <c r="AC16" s="449"/>
      <c r="AD16" s="449"/>
      <c r="AE16" s="449"/>
      <c r="AF16" s="449"/>
      <c r="AG16" s="449"/>
      <c r="AH16" s="449"/>
      <c r="AI16" s="449"/>
      <c r="AJ16" s="449"/>
      <c r="AK16" s="449"/>
      <c r="AL16" s="449"/>
      <c r="AM16" s="449"/>
      <c r="AN16" s="449"/>
      <c r="AO16" s="449"/>
      <c r="AP16" s="449"/>
      <c r="AQ16" s="449"/>
      <c r="AR16" s="450"/>
      <c r="AS16" s="450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  <c r="BD16" s="450"/>
      <c r="BE16" s="450"/>
      <c r="BF16" s="450"/>
      <c r="BG16" s="450"/>
      <c r="BH16" s="450"/>
      <c r="BI16" s="450"/>
      <c r="BJ16" s="450"/>
      <c r="BK16" s="450"/>
      <c r="BL16" s="450"/>
      <c r="BM16" s="450"/>
      <c r="BN16" s="450"/>
      <c r="BO16" s="450"/>
      <c r="BP16" s="450"/>
      <c r="BQ16" s="450">
        <v>371768.51</v>
      </c>
      <c r="BR16" s="450">
        <v>379646.82</v>
      </c>
      <c r="BS16" s="450">
        <v>382813.53</v>
      </c>
      <c r="BT16" s="450">
        <v>382813.53</v>
      </c>
      <c r="BU16" s="450">
        <v>255436.9</v>
      </c>
      <c r="BV16" s="450">
        <v>394999.15</v>
      </c>
      <c r="BW16" s="450">
        <v>388198.78</v>
      </c>
      <c r="BX16" s="450">
        <v>387360.16</v>
      </c>
      <c r="BY16" s="451">
        <v>409108.56</v>
      </c>
      <c r="BZ16" s="451">
        <v>398920.33</v>
      </c>
      <c r="CA16" s="451">
        <v>402253.42</v>
      </c>
      <c r="CB16" s="451">
        <v>404282.86</v>
      </c>
      <c r="CC16" s="451">
        <v>403154.29</v>
      </c>
      <c r="CD16" s="451">
        <v>404274.79</v>
      </c>
      <c r="CE16" s="451">
        <v>407067.26</v>
      </c>
    </row>
    <row r="17" ht="15.75" customHeight="1">
      <c r="A17" s="436" t="s">
        <v>3632</v>
      </c>
      <c r="B17" s="452" t="s">
        <v>3676</v>
      </c>
      <c r="C17" s="453" t="s">
        <v>3677</v>
      </c>
      <c r="D17" s="319" t="s">
        <v>18</v>
      </c>
      <c r="E17" s="93" t="s">
        <v>29</v>
      </c>
      <c r="F17" s="457" t="s">
        <v>3678</v>
      </c>
      <c r="G17" s="439" t="s">
        <v>3635</v>
      </c>
      <c r="H17" s="463" t="s">
        <v>186</v>
      </c>
      <c r="I17" s="46" t="s">
        <v>24</v>
      </c>
      <c r="J17" s="319" t="str">
        <f t="shared" si="3"/>
        <v>Não</v>
      </c>
      <c r="K17" s="455">
        <v>43864.0</v>
      </c>
      <c r="L17" s="456">
        <v>44657.0</v>
      </c>
      <c r="M17" s="457" t="s">
        <v>47</v>
      </c>
      <c r="N17" s="458">
        <v>0.015</v>
      </c>
      <c r="O17" s="95" t="s">
        <v>24</v>
      </c>
      <c r="P17" s="168">
        <v>0.0</v>
      </c>
      <c r="Q17" s="436"/>
      <c r="R17" s="50"/>
      <c r="S17" s="45" t="s">
        <v>108</v>
      </c>
      <c r="T17" s="459" t="s">
        <v>3679</v>
      </c>
      <c r="U17" s="460" t="s">
        <v>29</v>
      </c>
      <c r="V17" s="447" t="str">
        <f t="shared" si="2"/>
        <v>Encerrado</v>
      </c>
      <c r="W17" s="45"/>
      <c r="X17" s="24" t="s">
        <v>119</v>
      </c>
      <c r="Y17" s="45"/>
      <c r="Z17" s="448">
        <v>0.0</v>
      </c>
      <c r="AA17" s="448">
        <v>0.0</v>
      </c>
      <c r="AB17" s="449">
        <v>0.0</v>
      </c>
      <c r="AC17" s="449">
        <v>0.0</v>
      </c>
      <c r="AD17" s="449">
        <v>104973.36</v>
      </c>
      <c r="AE17" s="449">
        <v>101864.78</v>
      </c>
      <c r="AF17" s="449">
        <v>127584.03</v>
      </c>
      <c r="AG17" s="449">
        <v>135425.65</v>
      </c>
      <c r="AH17" s="449">
        <v>136310.8</v>
      </c>
      <c r="AI17" s="449">
        <v>151459.68</v>
      </c>
      <c r="AJ17" s="449">
        <v>163953.77</v>
      </c>
      <c r="AK17" s="449">
        <v>161726.33</v>
      </c>
      <c r="AL17" s="449">
        <v>163166.59</v>
      </c>
      <c r="AM17" s="449">
        <v>182933.93</v>
      </c>
      <c r="AN17" s="449">
        <v>196792.23</v>
      </c>
      <c r="AO17" s="449">
        <v>192130.07</v>
      </c>
      <c r="AP17" s="449">
        <v>219192.57</v>
      </c>
      <c r="AQ17" s="449">
        <v>233942.68</v>
      </c>
      <c r="AR17" s="450">
        <v>251640.58</v>
      </c>
      <c r="AS17" s="450">
        <v>255338.79</v>
      </c>
      <c r="AT17" s="450">
        <v>255534.55</v>
      </c>
      <c r="AU17" s="450">
        <v>267655.2</v>
      </c>
      <c r="AV17" s="450">
        <v>271824.26</v>
      </c>
      <c r="AW17" s="450">
        <v>275531.76</v>
      </c>
      <c r="AX17" s="450">
        <v>287563.8</v>
      </c>
      <c r="AY17" s="450">
        <v>288866.79</v>
      </c>
      <c r="AZ17" s="450">
        <v>290267.07</v>
      </c>
      <c r="BA17" s="450">
        <v>282479.37</v>
      </c>
      <c r="BB17" s="450">
        <v>266283.29</v>
      </c>
      <c r="BC17" s="450">
        <v>344975.72</v>
      </c>
      <c r="BD17" s="450">
        <v>328438.9</v>
      </c>
      <c r="BE17" s="450">
        <v>0.0</v>
      </c>
      <c r="BF17" s="450"/>
      <c r="BG17" s="450" t="s">
        <v>2566</v>
      </c>
      <c r="BH17" s="450"/>
      <c r="BI17" s="450"/>
      <c r="BJ17" s="450"/>
      <c r="BK17" s="450">
        <v>0.0</v>
      </c>
      <c r="BL17" s="450"/>
      <c r="BM17" s="450"/>
      <c r="BN17" s="450"/>
      <c r="BO17" s="450"/>
      <c r="BP17" s="450"/>
      <c r="BQ17" s="450"/>
      <c r="BR17" s="450"/>
      <c r="BS17" s="450"/>
      <c r="BT17" s="450"/>
      <c r="BU17" s="450"/>
      <c r="BV17" s="450"/>
      <c r="BW17" s="450"/>
      <c r="BX17" s="450"/>
      <c r="BY17" s="466"/>
      <c r="BZ17" s="451"/>
      <c r="CA17" s="451"/>
      <c r="CB17" s="451"/>
      <c r="CC17" s="451"/>
      <c r="CD17" s="451"/>
      <c r="CE17" s="451"/>
    </row>
    <row r="18" ht="15.75" customHeight="1">
      <c r="A18" s="436" t="s">
        <v>3632</v>
      </c>
      <c r="B18" s="452" t="s">
        <v>1479</v>
      </c>
      <c r="C18" s="453" t="s">
        <v>3680</v>
      </c>
      <c r="D18" s="319" t="s">
        <v>18</v>
      </c>
      <c r="E18" s="93" t="s">
        <v>29</v>
      </c>
      <c r="F18" s="454" t="s">
        <v>704</v>
      </c>
      <c r="G18" s="439" t="s">
        <v>3635</v>
      </c>
      <c r="H18" s="440" t="s">
        <v>147</v>
      </c>
      <c r="I18" s="46" t="s">
        <v>24</v>
      </c>
      <c r="J18" s="319" t="str">
        <f>IF(R18=0,"Não","Sim")</f>
        <v>Sim</v>
      </c>
      <c r="K18" s="455">
        <v>43670.0</v>
      </c>
      <c r="L18" s="456"/>
      <c r="M18" s="443" t="s">
        <v>55</v>
      </c>
      <c r="N18" s="467">
        <v>0.012</v>
      </c>
      <c r="O18" s="95" t="s">
        <v>24</v>
      </c>
      <c r="P18" s="168">
        <v>0.0</v>
      </c>
      <c r="Q18" s="470"/>
      <c r="R18" s="436" t="s">
        <v>3681</v>
      </c>
      <c r="S18" s="45" t="s">
        <v>108</v>
      </c>
      <c r="T18" s="459" t="s">
        <v>1482</v>
      </c>
      <c r="U18" s="460" t="s">
        <v>29</v>
      </c>
      <c r="V18" s="447" t="str">
        <f t="shared" si="2"/>
        <v>Inativo</v>
      </c>
      <c r="W18" s="45"/>
      <c r="X18" s="24" t="s">
        <v>119</v>
      </c>
      <c r="Y18" s="45"/>
      <c r="Z18" s="448">
        <v>104261.62</v>
      </c>
      <c r="AA18" s="448">
        <v>105215.56</v>
      </c>
      <c r="AB18" s="449">
        <v>107060.43</v>
      </c>
      <c r="AC18" s="449">
        <v>107393.01</v>
      </c>
      <c r="AD18" s="449">
        <v>104961.39</v>
      </c>
      <c r="AE18" s="449">
        <v>97162.13</v>
      </c>
      <c r="AF18" s="449">
        <v>99951.48</v>
      </c>
      <c r="AG18" s="449">
        <v>100487.3</v>
      </c>
      <c r="AH18" s="449">
        <v>103517.1</v>
      </c>
      <c r="AI18" s="449">
        <v>108611.01</v>
      </c>
      <c r="AJ18" s="449">
        <v>107731.68</v>
      </c>
      <c r="AK18" s="449">
        <v>104602.16</v>
      </c>
      <c r="AL18" s="449">
        <v>106975.65</v>
      </c>
      <c r="AM18" s="449">
        <v>111126.9</v>
      </c>
      <c r="AN18" s="449">
        <v>113037.71</v>
      </c>
      <c r="AO18" s="449">
        <v>114392.79</v>
      </c>
      <c r="AP18" s="449">
        <v>111702.3</v>
      </c>
      <c r="AQ18" s="449">
        <v>112210.21</v>
      </c>
      <c r="AR18" s="450">
        <v>113748.22</v>
      </c>
      <c r="AS18" s="450">
        <v>112074.27</v>
      </c>
      <c r="AT18" s="450">
        <v>112272.18</v>
      </c>
      <c r="AU18" s="450">
        <v>114083.85</v>
      </c>
      <c r="AV18" s="450">
        <v>112878.17</v>
      </c>
      <c r="AW18" s="450">
        <v>111223.43</v>
      </c>
      <c r="AX18" s="450">
        <v>110180.15</v>
      </c>
      <c r="AY18" s="450">
        <v>41600.82</v>
      </c>
      <c r="AZ18" s="450">
        <v>39335.36</v>
      </c>
      <c r="BA18" s="450">
        <v>34960.37</v>
      </c>
      <c r="BB18" s="450">
        <v>36605.93</v>
      </c>
      <c r="BC18" s="450">
        <v>21204.8393</v>
      </c>
      <c r="BD18" s="450">
        <v>21578.95</v>
      </c>
      <c r="BE18" s="450">
        <v>1400.73</v>
      </c>
      <c r="BF18" s="450">
        <v>1786.42</v>
      </c>
      <c r="BG18" s="450">
        <v>1803.56</v>
      </c>
      <c r="BH18" s="450">
        <v>1866.18</v>
      </c>
      <c r="BI18" s="450">
        <v>1883.43</v>
      </c>
      <c r="BJ18" s="450">
        <v>1899.61</v>
      </c>
      <c r="BK18" s="450">
        <v>0.0</v>
      </c>
      <c r="BL18" s="450">
        <v>1916.15</v>
      </c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  <c r="BY18" s="450"/>
      <c r="BZ18" s="451"/>
      <c r="CA18" s="451"/>
      <c r="CB18" s="451"/>
      <c r="CC18" s="451">
        <v>2164.22</v>
      </c>
      <c r="CD18" s="451">
        <v>2165.76</v>
      </c>
      <c r="CE18" s="451">
        <v>2179.7</v>
      </c>
    </row>
    <row r="19" ht="15.75" customHeight="1">
      <c r="A19" s="436" t="s">
        <v>3632</v>
      </c>
      <c r="B19" s="452" t="s">
        <v>3682</v>
      </c>
      <c r="C19" s="453" t="s">
        <v>3683</v>
      </c>
      <c r="D19" s="319" t="s">
        <v>18</v>
      </c>
      <c r="E19" s="93" t="s">
        <v>29</v>
      </c>
      <c r="F19" s="457" t="s">
        <v>2213</v>
      </c>
      <c r="G19" s="439" t="s">
        <v>3635</v>
      </c>
      <c r="H19" s="463" t="s">
        <v>186</v>
      </c>
      <c r="I19" s="46" t="s">
        <v>24</v>
      </c>
      <c r="J19" s="319" t="str">
        <f t="shared" ref="J19:J23" si="4">IF(Q19=0,"Não","Sim")</f>
        <v>Não</v>
      </c>
      <c r="K19" s="455">
        <v>44027.0</v>
      </c>
      <c r="L19" s="456">
        <v>44726.0</v>
      </c>
      <c r="M19" s="457" t="s">
        <v>47</v>
      </c>
      <c r="N19" s="458">
        <v>0.015</v>
      </c>
      <c r="O19" s="95" t="s">
        <v>24</v>
      </c>
      <c r="P19" s="168">
        <v>0.0</v>
      </c>
      <c r="Q19" s="436"/>
      <c r="R19" s="50"/>
      <c r="S19" s="45" t="s">
        <v>108</v>
      </c>
      <c r="T19" s="459" t="s">
        <v>1493</v>
      </c>
      <c r="U19" s="460" t="s">
        <v>29</v>
      </c>
      <c r="V19" s="447" t="str">
        <f t="shared" si="2"/>
        <v>Encerrado</v>
      </c>
      <c r="W19" s="45"/>
      <c r="X19" s="24" t="s">
        <v>119</v>
      </c>
      <c r="Y19" s="45"/>
      <c r="Z19" s="448">
        <v>0.0</v>
      </c>
      <c r="AA19" s="448">
        <v>0.0</v>
      </c>
      <c r="AB19" s="448">
        <v>0.0</v>
      </c>
      <c r="AC19" s="448">
        <v>0.0</v>
      </c>
      <c r="AD19" s="448">
        <v>0.0</v>
      </c>
      <c r="AE19" s="448">
        <v>0.0</v>
      </c>
      <c r="AF19" s="448">
        <v>0.0</v>
      </c>
      <c r="AG19" s="448">
        <v>0.0</v>
      </c>
      <c r="AH19" s="448">
        <v>0.0</v>
      </c>
      <c r="AI19" s="448">
        <v>41914.07</v>
      </c>
      <c r="AJ19" s="448">
        <v>41455.39</v>
      </c>
      <c r="AK19" s="448">
        <v>39879.28</v>
      </c>
      <c r="AL19" s="448">
        <v>39588.55</v>
      </c>
      <c r="AM19" s="448">
        <v>42049.01</v>
      </c>
      <c r="AN19" s="448">
        <v>42841.95</v>
      </c>
      <c r="AO19" s="448">
        <v>41551.87</v>
      </c>
      <c r="AP19" s="448">
        <v>40363.57</v>
      </c>
      <c r="AQ19" s="448">
        <v>40508.92</v>
      </c>
      <c r="AR19" s="450">
        <v>41818.93</v>
      </c>
      <c r="AS19" s="450">
        <v>41644.65</v>
      </c>
      <c r="AT19" s="450">
        <v>41952.86</v>
      </c>
      <c r="AU19" s="450">
        <v>42017.63</v>
      </c>
      <c r="AV19" s="450">
        <v>41699.62</v>
      </c>
      <c r="AW19" s="450">
        <v>41630.12</v>
      </c>
      <c r="AX19" s="450">
        <v>41305.02</v>
      </c>
      <c r="AY19" s="450">
        <v>40684.72</v>
      </c>
      <c r="AZ19" s="450">
        <v>40164.19</v>
      </c>
      <c r="BA19" s="450">
        <v>38855.13</v>
      </c>
      <c r="BB19" s="449">
        <v>39385.49</v>
      </c>
      <c r="BC19" s="449">
        <v>41484.64</v>
      </c>
      <c r="BD19" s="449">
        <v>41919.0</v>
      </c>
      <c r="BE19" s="450">
        <v>41500.9</v>
      </c>
      <c r="BF19" s="450">
        <v>42223.46</v>
      </c>
      <c r="BG19" s="450">
        <v>42005.41</v>
      </c>
      <c r="BH19" s="450"/>
      <c r="BI19" s="450"/>
      <c r="BJ19" s="450"/>
      <c r="BK19" s="450">
        <v>0.0</v>
      </c>
      <c r="BL19" s="450"/>
      <c r="BM19" s="450"/>
      <c r="BN19" s="450"/>
      <c r="BO19" s="450"/>
      <c r="BP19" s="450"/>
      <c r="BQ19" s="450"/>
      <c r="BR19" s="450"/>
      <c r="BS19" s="450"/>
      <c r="BT19" s="450"/>
      <c r="BU19" s="450"/>
      <c r="BV19" s="450"/>
      <c r="BW19" s="450"/>
      <c r="BX19" s="450"/>
      <c r="BY19" s="466"/>
      <c r="BZ19" s="451"/>
      <c r="CA19" s="451"/>
      <c r="CB19" s="451"/>
      <c r="CC19" s="451"/>
      <c r="CD19" s="451"/>
      <c r="CE19" s="451"/>
    </row>
    <row r="20" ht="15.75" customHeight="1">
      <c r="A20" s="436" t="s">
        <v>3632</v>
      </c>
      <c r="B20" s="452" t="s">
        <v>3684</v>
      </c>
      <c r="C20" s="453" t="s">
        <v>3685</v>
      </c>
      <c r="D20" s="319" t="s">
        <v>18</v>
      </c>
      <c r="E20" s="93" t="s">
        <v>29</v>
      </c>
      <c r="F20" s="454" t="s">
        <v>3686</v>
      </c>
      <c r="G20" s="439" t="s">
        <v>3635</v>
      </c>
      <c r="H20" s="440" t="s">
        <v>147</v>
      </c>
      <c r="I20" s="46" t="s">
        <v>24</v>
      </c>
      <c r="J20" s="319" t="str">
        <f t="shared" si="4"/>
        <v>Não</v>
      </c>
      <c r="K20" s="455">
        <v>43718.0</v>
      </c>
      <c r="L20" s="456"/>
      <c r="M20" s="457" t="s">
        <v>79</v>
      </c>
      <c r="N20" s="467">
        <v>0.005</v>
      </c>
      <c r="O20" s="95" t="s">
        <v>24</v>
      </c>
      <c r="P20" s="168">
        <v>0.0</v>
      </c>
      <c r="Q20" s="436"/>
      <c r="R20" s="50"/>
      <c r="S20" s="45" t="s">
        <v>108</v>
      </c>
      <c r="T20" s="459" t="s">
        <v>3687</v>
      </c>
      <c r="U20" s="460" t="s">
        <v>19</v>
      </c>
      <c r="V20" s="447" t="str">
        <f t="shared" si="2"/>
        <v>Inativo</v>
      </c>
      <c r="W20" s="45"/>
      <c r="X20" s="24" t="s">
        <v>119</v>
      </c>
      <c r="Y20" s="45"/>
      <c r="Z20" s="448">
        <v>15459.45</v>
      </c>
      <c r="AA20" s="448">
        <v>16764.63</v>
      </c>
      <c r="AB20" s="449">
        <v>16826.83</v>
      </c>
      <c r="AC20" s="449">
        <v>16889.76</v>
      </c>
      <c r="AD20" s="449">
        <v>16937.59</v>
      </c>
      <c r="AE20" s="449">
        <v>16839.95</v>
      </c>
      <c r="AF20" s="449">
        <v>16905.31</v>
      </c>
      <c r="AG20" s="449">
        <v>16963.98</v>
      </c>
      <c r="AH20" s="449">
        <v>17030.9</v>
      </c>
      <c r="AI20" s="449">
        <v>17120.58</v>
      </c>
      <c r="AJ20" s="449">
        <v>17128.17</v>
      </c>
      <c r="AK20" s="449">
        <v>8948.79</v>
      </c>
      <c r="AL20" s="449">
        <v>8964.95</v>
      </c>
      <c r="AM20" s="449">
        <v>8977.47</v>
      </c>
      <c r="AN20" s="449">
        <v>8979.13</v>
      </c>
      <c r="AO20" s="449">
        <v>8994.55</v>
      </c>
      <c r="AP20" s="449">
        <v>9004.6</v>
      </c>
      <c r="AQ20" s="449">
        <v>9009.94</v>
      </c>
      <c r="AR20" s="450">
        <v>9022.78</v>
      </c>
      <c r="AS20" s="450">
        <v>8952.59</v>
      </c>
      <c r="AT20" s="450">
        <v>9041.14</v>
      </c>
      <c r="AU20" s="450">
        <v>8977.55</v>
      </c>
      <c r="AV20" s="450">
        <v>9071.26</v>
      </c>
      <c r="AW20" s="450">
        <v>9103.61</v>
      </c>
      <c r="AX20" s="450">
        <v>9135.27</v>
      </c>
      <c r="AY20" s="450">
        <v>9179.26</v>
      </c>
      <c r="AZ20" s="450">
        <v>9213.2</v>
      </c>
      <c r="BA20" s="450">
        <v>9220.38</v>
      </c>
      <c r="BB20" s="450">
        <v>9304.57</v>
      </c>
      <c r="BC20" s="450"/>
      <c r="BD20" s="450">
        <v>0.0</v>
      </c>
      <c r="BE20" s="450">
        <v>0.0</v>
      </c>
      <c r="BF20" s="450"/>
      <c r="BG20" s="450" t="s">
        <v>2566</v>
      </c>
      <c r="BH20" s="450"/>
      <c r="BI20" s="450"/>
      <c r="BJ20" s="450"/>
      <c r="BK20" s="450">
        <v>0.0</v>
      </c>
      <c r="BL20" s="450"/>
      <c r="BM20" s="450"/>
      <c r="BN20" s="450"/>
      <c r="BO20" s="450"/>
      <c r="BP20" s="450"/>
      <c r="BQ20" s="450"/>
      <c r="BR20" s="450"/>
      <c r="BS20" s="450"/>
      <c r="BT20" s="450"/>
      <c r="BU20" s="450"/>
      <c r="BV20" s="450"/>
      <c r="BW20" s="450"/>
      <c r="BX20" s="450"/>
      <c r="BY20" s="450"/>
      <c r="BZ20" s="451"/>
      <c r="CA20" s="451"/>
      <c r="CB20" s="451"/>
      <c r="CC20" s="451"/>
      <c r="CD20" s="451"/>
      <c r="CE20" s="451"/>
    </row>
    <row r="21" ht="15.75" customHeight="1">
      <c r="A21" s="436" t="s">
        <v>3632</v>
      </c>
      <c r="B21" s="452" t="s">
        <v>3688</v>
      </c>
      <c r="C21" s="453" t="s">
        <v>3689</v>
      </c>
      <c r="D21" s="319" t="s">
        <v>18</v>
      </c>
      <c r="E21" s="93" t="s">
        <v>29</v>
      </c>
      <c r="F21" s="457" t="s">
        <v>704</v>
      </c>
      <c r="G21" s="439" t="s">
        <v>3635</v>
      </c>
      <c r="H21" s="463" t="s">
        <v>186</v>
      </c>
      <c r="I21" s="46" t="s">
        <v>24</v>
      </c>
      <c r="J21" s="319" t="str">
        <f t="shared" si="4"/>
        <v>Não</v>
      </c>
      <c r="K21" s="455">
        <v>43637.0</v>
      </c>
      <c r="L21" s="456"/>
      <c r="M21" s="457" t="s">
        <v>269</v>
      </c>
      <c r="N21" s="458">
        <v>0.015</v>
      </c>
      <c r="O21" s="95" t="s">
        <v>48</v>
      </c>
      <c r="P21" s="168">
        <v>0.2</v>
      </c>
      <c r="Q21" s="471"/>
      <c r="R21" s="106"/>
      <c r="S21" s="45" t="s">
        <v>108</v>
      </c>
      <c r="T21" s="459" t="s">
        <v>3690</v>
      </c>
      <c r="U21" s="460" t="s">
        <v>29</v>
      </c>
      <c r="V21" s="447" t="str">
        <f t="shared" si="2"/>
        <v>Encerrado</v>
      </c>
      <c r="W21" s="45"/>
      <c r="X21" s="24" t="s">
        <v>119</v>
      </c>
      <c r="Y21" s="45"/>
      <c r="Z21" s="448">
        <v>44939.07</v>
      </c>
      <c r="AA21" s="448">
        <v>44491.05</v>
      </c>
      <c r="AB21" s="449">
        <v>45210.27</v>
      </c>
      <c r="AC21" s="449">
        <v>44582.99</v>
      </c>
      <c r="AD21" s="449">
        <v>43026.97</v>
      </c>
      <c r="AE21" s="449">
        <v>39406.51</v>
      </c>
      <c r="AF21" s="449">
        <v>40449.49</v>
      </c>
      <c r="AG21" s="449">
        <v>40760.15</v>
      </c>
      <c r="AH21" s="449">
        <v>33110.23</v>
      </c>
      <c r="AI21" s="449">
        <v>42627.71</v>
      </c>
      <c r="AJ21" s="449">
        <v>50.0</v>
      </c>
      <c r="AK21" s="449">
        <v>0.0</v>
      </c>
      <c r="AL21" s="449">
        <v>0.0</v>
      </c>
      <c r="AM21" s="449">
        <v>0.0</v>
      </c>
      <c r="AN21" s="449">
        <v>0.0</v>
      </c>
      <c r="AO21" s="449"/>
      <c r="AP21" s="449"/>
      <c r="AQ21" s="449"/>
      <c r="AR21" s="449"/>
      <c r="AS21" s="449"/>
      <c r="AT21" s="449"/>
      <c r="AU21" s="449"/>
      <c r="AV21" s="449"/>
      <c r="AW21" s="449"/>
      <c r="AX21" s="449"/>
      <c r="AY21" s="449"/>
      <c r="AZ21" s="449"/>
      <c r="BA21" s="449"/>
      <c r="BB21" s="449"/>
      <c r="BC21" s="449"/>
      <c r="BD21" s="449"/>
      <c r="BE21" s="449">
        <v>0.0</v>
      </c>
      <c r="BF21" s="449"/>
      <c r="BG21" s="449" t="s">
        <v>2566</v>
      </c>
      <c r="BH21" s="449"/>
      <c r="BI21" s="450"/>
      <c r="BJ21" s="450"/>
      <c r="BK21" s="450">
        <v>0.0</v>
      </c>
      <c r="BL21" s="450"/>
      <c r="BM21" s="450"/>
      <c r="BN21" s="450"/>
      <c r="BO21" s="450"/>
      <c r="BP21" s="450"/>
      <c r="BQ21" s="450"/>
      <c r="BR21" s="450"/>
      <c r="BS21" s="450"/>
      <c r="BT21" s="450"/>
      <c r="BU21" s="450"/>
      <c r="BV21" s="450"/>
      <c r="BW21" s="450"/>
      <c r="BX21" s="450"/>
      <c r="BY21" s="466"/>
      <c r="BZ21" s="451"/>
      <c r="CA21" s="451"/>
      <c r="CB21" s="451"/>
      <c r="CC21" s="451"/>
      <c r="CD21" s="451"/>
      <c r="CE21" s="451"/>
    </row>
    <row r="22" ht="15.75" customHeight="1">
      <c r="A22" s="436" t="s">
        <v>3632</v>
      </c>
      <c r="B22" s="452" t="s">
        <v>3691</v>
      </c>
      <c r="C22" s="453" t="s">
        <v>3692</v>
      </c>
      <c r="D22" s="319" t="s">
        <v>18</v>
      </c>
      <c r="E22" s="93" t="s">
        <v>29</v>
      </c>
      <c r="F22" s="454" t="s">
        <v>704</v>
      </c>
      <c r="G22" s="439" t="s">
        <v>3635</v>
      </c>
      <c r="H22" s="440" t="s">
        <v>147</v>
      </c>
      <c r="I22" s="46" t="s">
        <v>24</v>
      </c>
      <c r="J22" s="319" t="str">
        <f t="shared" si="4"/>
        <v>Não</v>
      </c>
      <c r="K22" s="455">
        <v>43773.0</v>
      </c>
      <c r="L22" s="456"/>
      <c r="M22" s="457" t="s">
        <v>269</v>
      </c>
      <c r="N22" s="458">
        <v>0.02</v>
      </c>
      <c r="O22" s="95" t="s">
        <v>48</v>
      </c>
      <c r="P22" s="168">
        <v>0.2</v>
      </c>
      <c r="Q22" s="436"/>
      <c r="R22" s="50"/>
      <c r="S22" s="45" t="s">
        <v>108</v>
      </c>
      <c r="T22" s="459" t="s">
        <v>3693</v>
      </c>
      <c r="U22" s="460" t="s">
        <v>19</v>
      </c>
      <c r="V22" s="447" t="str">
        <f t="shared" si="2"/>
        <v>Ativo</v>
      </c>
      <c r="W22" s="45"/>
      <c r="X22" s="24" t="s">
        <v>119</v>
      </c>
      <c r="Y22" s="45"/>
      <c r="Z22" s="448">
        <v>113429.14</v>
      </c>
      <c r="AA22" s="448">
        <v>114183.64</v>
      </c>
      <c r="AB22" s="449">
        <v>116025.4</v>
      </c>
      <c r="AC22" s="449">
        <v>120449.44</v>
      </c>
      <c r="AD22" s="449">
        <v>118215.01</v>
      </c>
      <c r="AE22" s="449">
        <v>110918.46</v>
      </c>
      <c r="AF22" s="449">
        <v>112836.59</v>
      </c>
      <c r="AG22" s="449">
        <v>113344.23</v>
      </c>
      <c r="AH22" s="449">
        <v>114851.9</v>
      </c>
      <c r="AI22" s="449">
        <v>116332.45</v>
      </c>
      <c r="AJ22" s="449">
        <v>115083.02</v>
      </c>
      <c r="AK22" s="449">
        <v>111436.03</v>
      </c>
      <c r="AL22" s="449">
        <v>111487.89</v>
      </c>
      <c r="AM22" s="449">
        <v>117878.87</v>
      </c>
      <c r="AN22" s="449">
        <v>120028.19</v>
      </c>
      <c r="AO22" s="449">
        <v>117399.7</v>
      </c>
      <c r="AP22" s="449">
        <v>114686.01</v>
      </c>
      <c r="AQ22" s="449">
        <v>114911.14</v>
      </c>
      <c r="AR22" s="450">
        <v>119113.19</v>
      </c>
      <c r="AS22" s="450">
        <v>117414.43</v>
      </c>
      <c r="AT22" s="450">
        <v>117587.57</v>
      </c>
      <c r="AU22" s="450">
        <v>118989.72</v>
      </c>
      <c r="AV22" s="450">
        <v>15658.02</v>
      </c>
      <c r="AW22" s="450">
        <v>15299.08</v>
      </c>
      <c r="AX22" s="450">
        <v>15155.73</v>
      </c>
      <c r="AY22" s="450">
        <v>15062.54</v>
      </c>
      <c r="AZ22" s="450">
        <v>14965.88</v>
      </c>
      <c r="BA22" s="450">
        <v>14889.51</v>
      </c>
      <c r="BB22" s="450">
        <v>14785.25</v>
      </c>
      <c r="BC22" s="450">
        <v>15774.74</v>
      </c>
      <c r="BD22" s="450">
        <v>15972.0</v>
      </c>
      <c r="BE22" s="449">
        <v>15571.3</v>
      </c>
      <c r="BF22" s="449">
        <v>16038.1</v>
      </c>
      <c r="BG22" s="449">
        <v>15512.52</v>
      </c>
      <c r="BH22" s="449">
        <v>16269.78</v>
      </c>
      <c r="BI22" s="450">
        <v>16522.15</v>
      </c>
      <c r="BJ22" s="450">
        <v>16808.72</v>
      </c>
      <c r="BK22" s="450">
        <v>17115.54</v>
      </c>
      <c r="BL22" s="450">
        <v>16819.46</v>
      </c>
      <c r="BM22" s="450">
        <v>16740.76</v>
      </c>
      <c r="BN22" s="450">
        <v>17199.86</v>
      </c>
      <c r="BO22" s="450">
        <v>17031.63</v>
      </c>
      <c r="BP22" s="450"/>
      <c r="BQ22" s="450"/>
      <c r="BR22" s="450"/>
      <c r="BS22" s="450"/>
      <c r="BT22" s="450"/>
      <c r="BU22" s="450"/>
      <c r="BV22" s="450"/>
      <c r="BW22" s="450"/>
      <c r="BX22" s="450"/>
      <c r="BY22" s="450"/>
      <c r="BZ22" s="451"/>
      <c r="CA22" s="451"/>
      <c r="CB22" s="451"/>
      <c r="CC22" s="451">
        <v>12051.21</v>
      </c>
      <c r="CD22" s="451">
        <v>11886.05</v>
      </c>
      <c r="CE22" s="451">
        <v>11967.45</v>
      </c>
    </row>
    <row r="23" ht="15.75" customHeight="1">
      <c r="A23" s="436" t="s">
        <v>3632</v>
      </c>
      <c r="B23" s="452" t="s">
        <v>3694</v>
      </c>
      <c r="C23" s="453" t="s">
        <v>3695</v>
      </c>
      <c r="D23" s="319" t="s">
        <v>18</v>
      </c>
      <c r="E23" s="93" t="s">
        <v>29</v>
      </c>
      <c r="F23" s="454" t="s">
        <v>60</v>
      </c>
      <c r="G23" s="439" t="s">
        <v>3635</v>
      </c>
      <c r="H23" s="440" t="s">
        <v>147</v>
      </c>
      <c r="I23" s="46" t="s">
        <v>24</v>
      </c>
      <c r="J23" s="319" t="str">
        <f t="shared" si="4"/>
        <v>Não</v>
      </c>
      <c r="K23" s="455">
        <v>43893.0</v>
      </c>
      <c r="L23" s="456"/>
      <c r="M23" s="457" t="s">
        <v>269</v>
      </c>
      <c r="N23" s="458">
        <v>0.02</v>
      </c>
      <c r="O23" s="95" t="s">
        <v>48</v>
      </c>
      <c r="P23" s="168">
        <v>0.2</v>
      </c>
      <c r="Q23" s="436"/>
      <c r="R23" s="50"/>
      <c r="S23" s="45" t="s">
        <v>108</v>
      </c>
      <c r="T23" s="459" t="s">
        <v>3696</v>
      </c>
      <c r="U23" s="460" t="s">
        <v>29</v>
      </c>
      <c r="V23" s="447" t="str">
        <f t="shared" si="2"/>
        <v>Inativo</v>
      </c>
      <c r="W23" s="45"/>
      <c r="X23" s="24" t="s">
        <v>119</v>
      </c>
      <c r="Y23" s="45"/>
      <c r="Z23" s="448">
        <v>0.0</v>
      </c>
      <c r="AA23" s="448">
        <v>0.0</v>
      </c>
      <c r="AB23" s="449">
        <v>0.0</v>
      </c>
      <c r="AC23" s="449">
        <v>0.0</v>
      </c>
      <c r="AD23" s="449">
        <v>0.0</v>
      </c>
      <c r="AE23" s="449">
        <v>0.0</v>
      </c>
      <c r="AF23" s="449">
        <v>207950.31</v>
      </c>
      <c r="AG23" s="449">
        <v>267868.62</v>
      </c>
      <c r="AH23" s="449">
        <v>4076.83</v>
      </c>
      <c r="AI23" s="449">
        <v>4123.78</v>
      </c>
      <c r="AJ23" s="449">
        <v>4062.74</v>
      </c>
      <c r="AK23" s="449">
        <v>3898.11</v>
      </c>
      <c r="AL23" s="449">
        <v>3891.69</v>
      </c>
      <c r="AM23" s="449">
        <v>50.04</v>
      </c>
      <c r="AN23" s="449">
        <v>29.74</v>
      </c>
      <c r="AO23" s="449">
        <v>29.74</v>
      </c>
      <c r="AP23" s="449"/>
      <c r="AQ23" s="449">
        <v>29.74</v>
      </c>
      <c r="AR23" s="449"/>
      <c r="AS23" s="449"/>
      <c r="AT23" s="449">
        <v>0.0</v>
      </c>
      <c r="AU23" s="449"/>
      <c r="AV23" s="449"/>
      <c r="AW23" s="449"/>
      <c r="AX23" s="449"/>
      <c r="AY23" s="449"/>
      <c r="AZ23" s="449"/>
      <c r="BA23" s="449"/>
      <c r="BB23" s="449"/>
      <c r="BC23" s="449"/>
      <c r="BD23" s="449">
        <v>-10.26</v>
      </c>
      <c r="BE23" s="449">
        <v>0.0</v>
      </c>
      <c r="BF23" s="449"/>
      <c r="BG23" s="449" t="s">
        <v>2566</v>
      </c>
      <c r="BH23" s="449"/>
      <c r="BI23" s="450"/>
      <c r="BJ23" s="450"/>
      <c r="BK23" s="450">
        <v>0.0</v>
      </c>
      <c r="BL23" s="450"/>
      <c r="BM23" s="450"/>
      <c r="BN23" s="450"/>
      <c r="BO23" s="450"/>
      <c r="BP23" s="450"/>
      <c r="BQ23" s="450"/>
      <c r="BR23" s="450"/>
      <c r="BS23" s="450"/>
      <c r="BT23" s="450"/>
      <c r="BU23" s="450"/>
      <c r="BV23" s="450"/>
      <c r="BW23" s="450"/>
      <c r="BX23" s="450"/>
      <c r="BY23" s="450"/>
      <c r="BZ23" s="451"/>
      <c r="CA23" s="451"/>
      <c r="CB23" s="451"/>
      <c r="CC23" s="451"/>
      <c r="CD23" s="451"/>
      <c r="CE23" s="451"/>
    </row>
    <row r="24" ht="15.75" customHeight="1">
      <c r="A24" s="436" t="s">
        <v>3632</v>
      </c>
      <c r="B24" s="452" t="s">
        <v>3697</v>
      </c>
      <c r="C24" s="453" t="s">
        <v>3698</v>
      </c>
      <c r="D24" s="319" t="s">
        <v>18</v>
      </c>
      <c r="E24" s="93" t="s">
        <v>29</v>
      </c>
      <c r="F24" s="454" t="s">
        <v>2605</v>
      </c>
      <c r="G24" s="439" t="s">
        <v>3635</v>
      </c>
      <c r="H24" s="440" t="s">
        <v>147</v>
      </c>
      <c r="I24" s="46" t="s">
        <v>24</v>
      </c>
      <c r="J24" s="319" t="str">
        <f>IF(R24=0,"Não","Sim")</f>
        <v>Sim</v>
      </c>
      <c r="K24" s="455">
        <v>43900.0</v>
      </c>
      <c r="L24" s="456"/>
      <c r="M24" s="457" t="s">
        <v>190</v>
      </c>
      <c r="N24" s="458">
        <v>0.0</v>
      </c>
      <c r="O24" s="95" t="s">
        <v>24</v>
      </c>
      <c r="P24" s="168">
        <v>0.0</v>
      </c>
      <c r="Q24" s="470"/>
      <c r="R24" s="436" t="s">
        <v>3699</v>
      </c>
      <c r="S24" s="45" t="s">
        <v>108</v>
      </c>
      <c r="T24" s="459" t="s">
        <v>3700</v>
      </c>
      <c r="U24" s="460" t="s">
        <v>791</v>
      </c>
      <c r="V24" s="447" t="str">
        <f t="shared" si="2"/>
        <v>Inativo</v>
      </c>
      <c r="W24" s="45"/>
      <c r="X24" s="24" t="s">
        <v>119</v>
      </c>
      <c r="Y24" s="45"/>
      <c r="Z24" s="448">
        <v>0.0</v>
      </c>
      <c r="AA24" s="448">
        <v>0.0</v>
      </c>
      <c r="AB24" s="449">
        <v>0.0</v>
      </c>
      <c r="AC24" s="449">
        <v>0.0</v>
      </c>
      <c r="AD24" s="449">
        <v>0.0</v>
      </c>
      <c r="AE24" s="449">
        <v>31383.3</v>
      </c>
      <c r="AF24" s="449">
        <v>42017.12</v>
      </c>
      <c r="AG24" s="449">
        <v>44135.62</v>
      </c>
      <c r="AH24" s="449">
        <v>47393.72</v>
      </c>
      <c r="AI24" s="449">
        <v>50959.21</v>
      </c>
      <c r="AJ24" s="449">
        <v>50178.36</v>
      </c>
      <c r="AK24" s="449">
        <v>47326.2</v>
      </c>
      <c r="AL24" s="449">
        <v>48131.05</v>
      </c>
      <c r="AM24" s="449">
        <v>52903.02</v>
      </c>
      <c r="AN24" s="449">
        <v>55231.82</v>
      </c>
      <c r="AO24" s="449">
        <v>55324.96</v>
      </c>
      <c r="AP24" s="449">
        <v>52414.78</v>
      </c>
      <c r="AQ24" s="449">
        <v>52130.09</v>
      </c>
      <c r="AR24" s="450">
        <v>55067.69</v>
      </c>
      <c r="AS24" s="450">
        <v>53236.84</v>
      </c>
      <c r="AT24" s="450">
        <v>53716.48</v>
      </c>
      <c r="AU24" s="450">
        <v>54645.64</v>
      </c>
      <c r="AV24" s="450">
        <v>54568.14</v>
      </c>
      <c r="AW24" s="450">
        <v>54470.73</v>
      </c>
      <c r="AX24" s="450"/>
      <c r="AY24" s="450"/>
      <c r="AZ24" s="450"/>
      <c r="BA24" s="450"/>
      <c r="BB24" s="450"/>
      <c r="BC24" s="450"/>
      <c r="BD24" s="450">
        <v>312.45</v>
      </c>
      <c r="BE24" s="449">
        <v>0.0</v>
      </c>
      <c r="BF24" s="449"/>
      <c r="BG24" s="449">
        <v>317.13</v>
      </c>
      <c r="BH24" s="449"/>
      <c r="BI24" s="450"/>
      <c r="BJ24" s="450"/>
      <c r="BK24" s="450">
        <v>0.0</v>
      </c>
      <c r="BL24" s="450"/>
      <c r="BM24" s="450"/>
      <c r="BN24" s="450"/>
      <c r="BO24" s="450"/>
      <c r="BP24" s="450"/>
      <c r="BQ24" s="450"/>
      <c r="BR24" s="450"/>
      <c r="BS24" s="450"/>
      <c r="BT24" s="450"/>
      <c r="BU24" s="450"/>
      <c r="BV24" s="450"/>
      <c r="BW24" s="450"/>
      <c r="BX24" s="450"/>
      <c r="BY24" s="450"/>
      <c r="BZ24" s="451"/>
      <c r="CA24" s="451"/>
      <c r="CB24" s="451"/>
      <c r="CC24" s="451"/>
      <c r="CD24" s="451"/>
      <c r="CE24" s="451"/>
    </row>
    <row r="25" ht="15.75" customHeight="1">
      <c r="A25" s="436" t="s">
        <v>3632</v>
      </c>
      <c r="B25" s="452" t="s">
        <v>3701</v>
      </c>
      <c r="C25" s="453" t="s">
        <v>3702</v>
      </c>
      <c r="D25" s="319" t="s">
        <v>18</v>
      </c>
      <c r="E25" s="93" t="s">
        <v>29</v>
      </c>
      <c r="F25" s="457" t="s">
        <v>3703</v>
      </c>
      <c r="G25" s="439" t="s">
        <v>3635</v>
      </c>
      <c r="H25" s="463" t="s">
        <v>186</v>
      </c>
      <c r="I25" s="46" t="s">
        <v>24</v>
      </c>
      <c r="J25" s="319" t="str">
        <f t="shared" ref="J25:J26" si="5">IF(Q25=0,"Não","Sim")</f>
        <v>Sim</v>
      </c>
      <c r="K25" s="455">
        <v>43742.0</v>
      </c>
      <c r="L25" s="456"/>
      <c r="M25" s="457" t="s">
        <v>47</v>
      </c>
      <c r="N25" s="458">
        <v>0.015</v>
      </c>
      <c r="O25" s="95" t="s">
        <v>24</v>
      </c>
      <c r="P25" s="168">
        <v>0.0</v>
      </c>
      <c r="Q25" s="471" t="s">
        <v>2589</v>
      </c>
      <c r="R25" s="141" t="s">
        <v>3704</v>
      </c>
      <c r="S25" s="45" t="s">
        <v>108</v>
      </c>
      <c r="T25" s="459" t="s">
        <v>3705</v>
      </c>
      <c r="U25" s="460" t="s">
        <v>19</v>
      </c>
      <c r="V25" s="447" t="str">
        <f t="shared" si="2"/>
        <v>Encerrado</v>
      </c>
      <c r="W25" s="45"/>
      <c r="X25" s="24" t="s">
        <v>119</v>
      </c>
      <c r="Y25" s="45"/>
      <c r="Z25" s="448">
        <v>101162.49</v>
      </c>
      <c r="AA25" s="448">
        <v>100737.25</v>
      </c>
      <c r="AB25" s="449">
        <v>100538.63</v>
      </c>
      <c r="AC25" s="449">
        <v>100839.65</v>
      </c>
      <c r="AD25" s="449">
        <v>99736.59</v>
      </c>
      <c r="AE25" s="449">
        <v>97840.9</v>
      </c>
      <c r="AF25" s="449">
        <v>98166.8</v>
      </c>
      <c r="AG25" s="449">
        <v>98501.93</v>
      </c>
      <c r="AH25" s="449">
        <v>99138.48</v>
      </c>
      <c r="AI25" s="449">
        <v>100134.27</v>
      </c>
      <c r="AJ25" s="449">
        <v>99539.9</v>
      </c>
      <c r="AK25" s="449">
        <v>96820.12</v>
      </c>
      <c r="AL25" s="449">
        <v>0.0</v>
      </c>
      <c r="AM25" s="449"/>
      <c r="AN25" s="449">
        <v>262.09</v>
      </c>
      <c r="AO25" s="449"/>
      <c r="AP25" s="449"/>
      <c r="AQ25" s="449"/>
      <c r="AR25" s="450">
        <v>262.09</v>
      </c>
      <c r="AS25" s="450"/>
      <c r="AT25" s="450">
        <v>262.09</v>
      </c>
      <c r="AU25" s="450"/>
      <c r="AV25" s="450"/>
      <c r="AW25" s="450"/>
      <c r="AX25" s="450"/>
      <c r="AY25" s="450"/>
      <c r="AZ25" s="450"/>
      <c r="BA25" s="450"/>
      <c r="BB25" s="450"/>
      <c r="BC25" s="450"/>
      <c r="BD25" s="450">
        <v>365.0</v>
      </c>
      <c r="BE25" s="449">
        <v>0.0</v>
      </c>
      <c r="BF25" s="449"/>
      <c r="BG25" s="449" t="s">
        <v>2566</v>
      </c>
      <c r="BH25" s="449"/>
      <c r="BI25" s="450"/>
      <c r="BJ25" s="450"/>
      <c r="BK25" s="450">
        <v>0.0</v>
      </c>
      <c r="BL25" s="450"/>
      <c r="BM25" s="450"/>
      <c r="BN25" s="450"/>
      <c r="BO25" s="450"/>
      <c r="BP25" s="450"/>
      <c r="BQ25" s="450"/>
      <c r="BR25" s="450"/>
      <c r="BS25" s="450"/>
      <c r="BT25" s="450"/>
      <c r="BU25" s="450"/>
      <c r="BV25" s="450"/>
      <c r="BW25" s="450"/>
      <c r="BX25" s="450"/>
      <c r="BY25" s="466"/>
      <c r="BZ25" s="451"/>
      <c r="CA25" s="451"/>
      <c r="CB25" s="451"/>
      <c r="CC25" s="451"/>
      <c r="CD25" s="451"/>
      <c r="CE25" s="451"/>
    </row>
    <row r="26" ht="15.75" customHeight="1">
      <c r="A26" s="436" t="s">
        <v>3632</v>
      </c>
      <c r="B26" s="452" t="s">
        <v>3706</v>
      </c>
      <c r="C26" s="453" t="s">
        <v>3707</v>
      </c>
      <c r="D26" s="319" t="s">
        <v>18</v>
      </c>
      <c r="E26" s="93" t="s">
        <v>29</v>
      </c>
      <c r="F26" s="454" t="s">
        <v>3708</v>
      </c>
      <c r="G26" s="439" t="s">
        <v>3635</v>
      </c>
      <c r="H26" s="463" t="s">
        <v>107</v>
      </c>
      <c r="I26" s="46" t="s">
        <v>24</v>
      </c>
      <c r="J26" s="319" t="str">
        <f t="shared" si="5"/>
        <v>Sim</v>
      </c>
      <c r="K26" s="455">
        <v>44403.0</v>
      </c>
      <c r="L26" s="456"/>
      <c r="M26" s="457" t="s">
        <v>194</v>
      </c>
      <c r="N26" s="458">
        <v>0.008</v>
      </c>
      <c r="O26" s="95" t="s">
        <v>195</v>
      </c>
      <c r="P26" s="168">
        <v>0.1</v>
      </c>
      <c r="Q26" s="471" t="s">
        <v>3709</v>
      </c>
      <c r="R26" s="50"/>
      <c r="S26" s="45" t="s">
        <v>108</v>
      </c>
      <c r="T26" s="459" t="s">
        <v>3710</v>
      </c>
      <c r="U26" s="460" t="s">
        <v>791</v>
      </c>
      <c r="V26" s="447" t="str">
        <f t="shared" si="2"/>
        <v>Ativo</v>
      </c>
      <c r="W26" s="45"/>
      <c r="X26" s="24" t="s">
        <v>119</v>
      </c>
      <c r="Y26" s="45"/>
      <c r="Z26" s="448"/>
      <c r="AA26" s="448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50"/>
      <c r="AS26" s="450"/>
      <c r="AT26" s="450"/>
      <c r="AU26" s="450"/>
      <c r="AV26" s="450"/>
      <c r="AW26" s="450"/>
      <c r="AX26" s="450">
        <v>241450.73</v>
      </c>
      <c r="AY26" s="450">
        <v>239523.47</v>
      </c>
      <c r="AZ26" s="450">
        <v>238510.47</v>
      </c>
      <c r="BA26" s="450">
        <v>221067.28</v>
      </c>
      <c r="BB26" s="450">
        <v>235937.85</v>
      </c>
      <c r="BC26" s="450">
        <v>238524.66</v>
      </c>
      <c r="BD26" s="450">
        <v>223994.0</v>
      </c>
      <c r="BE26" s="449">
        <v>230718.46</v>
      </c>
      <c r="BF26" s="449">
        <v>234078.03</v>
      </c>
      <c r="BG26" s="449">
        <v>242403.89</v>
      </c>
      <c r="BH26" s="449">
        <v>244380.73</v>
      </c>
      <c r="BI26" s="450">
        <v>249269.28</v>
      </c>
      <c r="BJ26" s="450">
        <v>248994.47</v>
      </c>
      <c r="BK26" s="450">
        <v>248286.69</v>
      </c>
      <c r="BL26" s="450">
        <v>239927.81</v>
      </c>
      <c r="BM26" s="450">
        <v>239353.39</v>
      </c>
      <c r="BN26" s="450">
        <v>236623.85</v>
      </c>
      <c r="BO26" s="450">
        <v>232136.66</v>
      </c>
      <c r="BP26" s="450">
        <v>229021.07</v>
      </c>
      <c r="BQ26" s="450">
        <v>233010.98</v>
      </c>
      <c r="BR26" s="450">
        <v>243489.95</v>
      </c>
      <c r="BS26" s="450">
        <v>249177.92</v>
      </c>
      <c r="BT26" s="450">
        <v>249177.92</v>
      </c>
      <c r="BU26" s="450">
        <v>372804.91</v>
      </c>
      <c r="BV26" s="450">
        <v>256210.25</v>
      </c>
      <c r="BW26" s="450">
        <v>390582.22</v>
      </c>
      <c r="BX26" s="450">
        <v>395069.66</v>
      </c>
      <c r="BY26" s="451">
        <v>254423.36</v>
      </c>
      <c r="BZ26" s="451">
        <v>366248.07</v>
      </c>
      <c r="CA26" s="451">
        <v>260724.64</v>
      </c>
      <c r="CB26" s="451">
        <v>252262.65</v>
      </c>
      <c r="CC26" s="451">
        <v>246714.92</v>
      </c>
      <c r="CD26" s="451">
        <v>243888.0</v>
      </c>
      <c r="CE26" s="451">
        <v>241602.09</v>
      </c>
    </row>
    <row r="27" ht="15.75" customHeight="1">
      <c r="A27" s="436" t="s">
        <v>3632</v>
      </c>
      <c r="B27" s="452" t="s">
        <v>3711</v>
      </c>
      <c r="C27" s="453" t="s">
        <v>3712</v>
      </c>
      <c r="D27" s="319" t="s">
        <v>18</v>
      </c>
      <c r="E27" s="93" t="s">
        <v>29</v>
      </c>
      <c r="F27" s="457" t="s">
        <v>3678</v>
      </c>
      <c r="G27" s="439" t="s">
        <v>3635</v>
      </c>
      <c r="H27" s="463" t="s">
        <v>186</v>
      </c>
      <c r="I27" s="46" t="s">
        <v>24</v>
      </c>
      <c r="J27" s="319" t="str">
        <f>IF(R27=0,"Não","Sim")</f>
        <v>Sim</v>
      </c>
      <c r="K27" s="455">
        <v>43731.0</v>
      </c>
      <c r="L27" s="456"/>
      <c r="M27" s="457" t="s">
        <v>269</v>
      </c>
      <c r="N27" s="458">
        <v>0.02</v>
      </c>
      <c r="O27" s="95" t="s">
        <v>48</v>
      </c>
      <c r="P27" s="168">
        <v>0.2</v>
      </c>
      <c r="Q27" s="470"/>
      <c r="R27" s="471" t="s">
        <v>3713</v>
      </c>
      <c r="S27" s="45" t="s">
        <v>108</v>
      </c>
      <c r="T27" s="459" t="s">
        <v>3714</v>
      </c>
      <c r="U27" s="460" t="s">
        <v>29</v>
      </c>
      <c r="V27" s="447" t="str">
        <f t="shared" si="2"/>
        <v>Encerrado</v>
      </c>
      <c r="W27" s="45"/>
      <c r="X27" s="24" t="s">
        <v>119</v>
      </c>
      <c r="Y27" s="45"/>
      <c r="Z27" s="448">
        <v>69669.84</v>
      </c>
      <c r="AA27" s="448">
        <v>96201.29</v>
      </c>
      <c r="AB27" s="449">
        <v>105318.45</v>
      </c>
      <c r="AC27" s="449">
        <v>108463.67</v>
      </c>
      <c r="AD27" s="449">
        <v>103479.24</v>
      </c>
      <c r="AE27" s="449">
        <v>91238.3</v>
      </c>
      <c r="AF27" s="449">
        <v>93658.33</v>
      </c>
      <c r="AG27" s="449">
        <v>94605.88</v>
      </c>
      <c r="AH27" s="449">
        <v>112707.37</v>
      </c>
      <c r="AI27" s="449">
        <v>115300.04</v>
      </c>
      <c r="AJ27" s="449">
        <v>113727.17</v>
      </c>
      <c r="AK27" s="449">
        <v>108346.96</v>
      </c>
      <c r="AL27" s="449">
        <v>108601.63</v>
      </c>
      <c r="AM27" s="449">
        <v>116918.15</v>
      </c>
      <c r="AN27" s="449">
        <v>164715.22</v>
      </c>
      <c r="AO27" s="449">
        <v>160189.2</v>
      </c>
      <c r="AP27" s="449">
        <v>153940.85</v>
      </c>
      <c r="AQ27" s="449">
        <v>153702.82</v>
      </c>
      <c r="AR27" s="450">
        <v>165206.89</v>
      </c>
      <c r="AS27" s="450">
        <v>161072.32</v>
      </c>
      <c r="AT27" s="450">
        <v>161261.3</v>
      </c>
      <c r="AU27" s="450">
        <v>164513.87</v>
      </c>
      <c r="AV27" s="450">
        <v>162488.56</v>
      </c>
      <c r="AW27" s="450">
        <v>160906.44</v>
      </c>
      <c r="AX27" s="450">
        <v>157189.65</v>
      </c>
      <c r="AY27" s="450">
        <v>152202.82</v>
      </c>
      <c r="AZ27" s="450">
        <v>147785.53</v>
      </c>
      <c r="BA27" s="450">
        <v>140059.07</v>
      </c>
      <c r="BB27" s="450">
        <v>144165.25</v>
      </c>
      <c r="BC27" s="450"/>
      <c r="BD27" s="450">
        <v>48906.76</v>
      </c>
      <c r="BE27" s="450">
        <v>0.0</v>
      </c>
      <c r="BF27" s="450"/>
      <c r="BG27" s="450" t="s">
        <v>2566</v>
      </c>
      <c r="BH27" s="450"/>
      <c r="BI27" s="450"/>
      <c r="BJ27" s="450"/>
      <c r="BK27" s="450">
        <v>0.0</v>
      </c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  <c r="BY27" s="466"/>
      <c r="BZ27" s="451"/>
      <c r="CA27" s="451"/>
      <c r="CB27" s="451"/>
      <c r="CC27" s="451"/>
      <c r="CD27" s="451"/>
      <c r="CE27" s="451"/>
    </row>
    <row r="28" ht="15.75" customHeight="1">
      <c r="A28" s="436" t="s">
        <v>3632</v>
      </c>
      <c r="B28" s="452" t="s">
        <v>3715</v>
      </c>
      <c r="C28" s="453" t="s">
        <v>3716</v>
      </c>
      <c r="D28" s="319" t="s">
        <v>18</v>
      </c>
      <c r="E28" s="93" t="s">
        <v>29</v>
      </c>
      <c r="F28" s="454" t="s">
        <v>60</v>
      </c>
      <c r="G28" s="439" t="s">
        <v>3635</v>
      </c>
      <c r="H28" s="440" t="s">
        <v>147</v>
      </c>
      <c r="I28" s="46" t="s">
        <v>24</v>
      </c>
      <c r="J28" s="319" t="str">
        <f t="shared" ref="J28:J31" si="6">IF(Q28=0,"Não","Sim")</f>
        <v>Sim</v>
      </c>
      <c r="K28" s="455">
        <v>43635.0</v>
      </c>
      <c r="L28" s="456"/>
      <c r="M28" s="457" t="s">
        <v>47</v>
      </c>
      <c r="N28" s="467">
        <v>0.01</v>
      </c>
      <c r="O28" s="95" t="s">
        <v>24</v>
      </c>
      <c r="P28" s="168">
        <v>0.0</v>
      </c>
      <c r="Q28" s="50" t="s">
        <v>2589</v>
      </c>
      <c r="R28" s="50"/>
      <c r="S28" s="45" t="s">
        <v>108</v>
      </c>
      <c r="T28" s="459" t="s">
        <v>3717</v>
      </c>
      <c r="U28" s="460" t="s">
        <v>29</v>
      </c>
      <c r="V28" s="447" t="str">
        <f t="shared" si="2"/>
        <v>Inativo</v>
      </c>
      <c r="W28" s="45"/>
      <c r="X28" s="24" t="s">
        <v>119</v>
      </c>
      <c r="Y28" s="45"/>
      <c r="Z28" s="448">
        <v>80465.69</v>
      </c>
      <c r="AA28" s="448">
        <v>71421.48</v>
      </c>
      <c r="AB28" s="449">
        <v>65049.8</v>
      </c>
      <c r="AC28" s="449">
        <v>57572.88</v>
      </c>
      <c r="AD28" s="449">
        <v>56933.94</v>
      </c>
      <c r="AE28" s="449">
        <v>46610.54</v>
      </c>
      <c r="AF28" s="449">
        <v>41821.65</v>
      </c>
      <c r="AG28" s="449">
        <v>41754.17</v>
      </c>
      <c r="AH28" s="449">
        <v>31105.93</v>
      </c>
      <c r="AI28" s="449">
        <v>31138.37</v>
      </c>
      <c r="AJ28" s="449">
        <v>27421.23</v>
      </c>
      <c r="AK28" s="449">
        <v>17165.36</v>
      </c>
      <c r="AL28" s="449">
        <v>9253.91</v>
      </c>
      <c r="AM28" s="449">
        <v>3172.23</v>
      </c>
      <c r="AN28" s="449">
        <v>3411.62</v>
      </c>
      <c r="AO28" s="449">
        <v>3253.62</v>
      </c>
      <c r="AP28" s="449">
        <v>2308.62</v>
      </c>
      <c r="AQ28" s="449">
        <v>2243.62</v>
      </c>
      <c r="AR28" s="450">
        <v>2494.62</v>
      </c>
      <c r="AS28" s="450">
        <v>2310.0</v>
      </c>
      <c r="AT28" s="450">
        <v>2525.78</v>
      </c>
      <c r="AU28" s="450">
        <v>2609.0</v>
      </c>
      <c r="AV28" s="450">
        <v>3056.96</v>
      </c>
      <c r="AW28" s="450">
        <v>2981.35</v>
      </c>
      <c r="AX28" s="450">
        <v>158.81</v>
      </c>
      <c r="AY28" s="450"/>
      <c r="AZ28" s="450"/>
      <c r="BA28" s="450"/>
      <c r="BB28" s="450"/>
      <c r="BC28" s="450"/>
      <c r="BD28" s="450">
        <v>157.06</v>
      </c>
      <c r="BE28" s="450">
        <v>0.0</v>
      </c>
      <c r="BF28" s="450"/>
      <c r="BG28" s="450" t="s">
        <v>2566</v>
      </c>
      <c r="BH28" s="450"/>
      <c r="BI28" s="450"/>
      <c r="BJ28" s="450"/>
      <c r="BK28" s="450">
        <v>0.0</v>
      </c>
      <c r="BL28" s="450"/>
      <c r="BM28" s="450"/>
      <c r="BN28" s="450"/>
      <c r="BO28" s="450"/>
      <c r="BP28" s="450"/>
      <c r="BQ28" s="450"/>
      <c r="BR28" s="450"/>
      <c r="BS28" s="450"/>
      <c r="BT28" s="450"/>
      <c r="BU28" s="450"/>
      <c r="BV28" s="450"/>
      <c r="BW28" s="450"/>
      <c r="BX28" s="450"/>
      <c r="BY28" s="450"/>
      <c r="BZ28" s="451"/>
      <c r="CA28" s="451"/>
      <c r="CB28" s="451"/>
      <c r="CC28" s="451"/>
      <c r="CD28" s="451"/>
      <c r="CE28" s="451"/>
    </row>
    <row r="29" ht="15.75" customHeight="1">
      <c r="A29" s="436" t="s">
        <v>3632</v>
      </c>
      <c r="B29" s="452" t="s">
        <v>3718</v>
      </c>
      <c r="C29" s="453" t="s">
        <v>3719</v>
      </c>
      <c r="D29" s="319" t="s">
        <v>18</v>
      </c>
      <c r="E29" s="93" t="s">
        <v>29</v>
      </c>
      <c r="F29" s="457" t="s">
        <v>2213</v>
      </c>
      <c r="G29" s="439" t="s">
        <v>3635</v>
      </c>
      <c r="H29" s="463" t="s">
        <v>186</v>
      </c>
      <c r="I29" s="46" t="s">
        <v>24</v>
      </c>
      <c r="J29" s="319" t="str">
        <f t="shared" si="6"/>
        <v>Não</v>
      </c>
      <c r="K29" s="455">
        <v>44028.0</v>
      </c>
      <c r="L29" s="456">
        <v>44726.0</v>
      </c>
      <c r="M29" s="457" t="s">
        <v>47</v>
      </c>
      <c r="N29" s="458">
        <v>0.015</v>
      </c>
      <c r="O29" s="95" t="s">
        <v>24</v>
      </c>
      <c r="P29" s="168">
        <v>0.0</v>
      </c>
      <c r="Q29" s="436"/>
      <c r="R29" s="50"/>
      <c r="S29" s="45" t="s">
        <v>108</v>
      </c>
      <c r="T29" s="459" t="s">
        <v>2200</v>
      </c>
      <c r="U29" s="460" t="s">
        <v>29</v>
      </c>
      <c r="V29" s="447" t="str">
        <f t="shared" si="2"/>
        <v>Encerrado</v>
      </c>
      <c r="W29" s="45"/>
      <c r="X29" s="24" t="s">
        <v>119</v>
      </c>
      <c r="Y29" s="45"/>
      <c r="Z29" s="448">
        <v>0.0</v>
      </c>
      <c r="AA29" s="448">
        <v>0.0</v>
      </c>
      <c r="AB29" s="448">
        <v>0.0</v>
      </c>
      <c r="AC29" s="448">
        <v>0.0</v>
      </c>
      <c r="AD29" s="448">
        <v>0.0</v>
      </c>
      <c r="AE29" s="448">
        <v>0.0</v>
      </c>
      <c r="AF29" s="448">
        <v>0.0</v>
      </c>
      <c r="AG29" s="448">
        <v>0.0</v>
      </c>
      <c r="AH29" s="448">
        <v>0.0</v>
      </c>
      <c r="AI29" s="448">
        <v>41912.09</v>
      </c>
      <c r="AJ29" s="448">
        <v>41954.05</v>
      </c>
      <c r="AK29" s="448">
        <v>40446.59</v>
      </c>
      <c r="AL29" s="448">
        <v>40170.84</v>
      </c>
      <c r="AM29" s="448">
        <v>42653.31</v>
      </c>
      <c r="AN29" s="448">
        <v>43372.73</v>
      </c>
      <c r="AO29" s="448">
        <v>42092.12</v>
      </c>
      <c r="AP29" s="448">
        <v>40898.93</v>
      </c>
      <c r="AQ29" s="448">
        <v>41058.28</v>
      </c>
      <c r="AR29" s="450">
        <v>42366.04</v>
      </c>
      <c r="AS29" s="450">
        <v>42235.19</v>
      </c>
      <c r="AT29" s="450">
        <v>42541.9</v>
      </c>
      <c r="AU29" s="450">
        <v>42590.95</v>
      </c>
      <c r="AV29" s="450">
        <v>42533.66</v>
      </c>
      <c r="AW29" s="450">
        <v>42484.25</v>
      </c>
      <c r="AX29" s="450">
        <v>41863.14</v>
      </c>
      <c r="AY29" s="450">
        <v>41239.37</v>
      </c>
      <c r="AZ29" s="450">
        <v>40671.12</v>
      </c>
      <c r="BA29" s="450">
        <v>39401.79</v>
      </c>
      <c r="BB29" s="450">
        <v>28410.77</v>
      </c>
      <c r="BC29" s="450">
        <v>41892.01</v>
      </c>
      <c r="BD29" s="450">
        <v>42311.54</v>
      </c>
      <c r="BE29" s="450">
        <v>42256.28</v>
      </c>
      <c r="BF29" s="450">
        <v>42951.59</v>
      </c>
      <c r="BG29" s="450">
        <v>13439.98</v>
      </c>
      <c r="BH29" s="450"/>
      <c r="BI29" s="450"/>
      <c r="BJ29" s="450"/>
      <c r="BK29" s="450">
        <v>0.0</v>
      </c>
      <c r="BL29" s="450"/>
      <c r="BM29" s="450"/>
      <c r="BN29" s="450"/>
      <c r="BO29" s="450"/>
      <c r="BP29" s="450"/>
      <c r="BQ29" s="450"/>
      <c r="BR29" s="450"/>
      <c r="BS29" s="450"/>
      <c r="BT29" s="450"/>
      <c r="BU29" s="450"/>
      <c r="BV29" s="450"/>
      <c r="BW29" s="450"/>
      <c r="BX29" s="450"/>
      <c r="BY29" s="450"/>
      <c r="BZ29" s="451"/>
      <c r="CA29" s="451"/>
      <c r="CB29" s="451"/>
      <c r="CC29" s="451"/>
      <c r="CD29" s="451"/>
      <c r="CE29" s="451"/>
    </row>
    <row r="30" ht="15.75" customHeight="1">
      <c r="A30" s="436" t="s">
        <v>3632</v>
      </c>
      <c r="B30" s="452" t="s">
        <v>3720</v>
      </c>
      <c r="C30" s="453" t="s">
        <v>3721</v>
      </c>
      <c r="D30" s="319" t="s">
        <v>18</v>
      </c>
      <c r="E30" s="93" t="s">
        <v>29</v>
      </c>
      <c r="F30" s="457" t="s">
        <v>2213</v>
      </c>
      <c r="G30" s="439" t="s">
        <v>3635</v>
      </c>
      <c r="H30" s="463" t="s">
        <v>186</v>
      </c>
      <c r="I30" s="46" t="s">
        <v>24</v>
      </c>
      <c r="J30" s="319" t="str">
        <f t="shared" si="6"/>
        <v>Não</v>
      </c>
      <c r="K30" s="455">
        <v>43797.0</v>
      </c>
      <c r="L30" s="456"/>
      <c r="M30" s="457" t="s">
        <v>79</v>
      </c>
      <c r="N30" s="458">
        <v>0.006</v>
      </c>
      <c r="O30" s="95" t="s">
        <v>24</v>
      </c>
      <c r="P30" s="168">
        <v>0.0</v>
      </c>
      <c r="Q30" s="436"/>
      <c r="R30" s="50"/>
      <c r="S30" s="45" t="s">
        <v>108</v>
      </c>
      <c r="T30" s="459" t="s">
        <v>3722</v>
      </c>
      <c r="U30" s="460" t="s">
        <v>29</v>
      </c>
      <c r="V30" s="447" t="str">
        <f t="shared" si="2"/>
        <v>Encerrado</v>
      </c>
      <c r="W30" s="45"/>
      <c r="X30" s="24" t="s">
        <v>119</v>
      </c>
      <c r="Y30" s="45"/>
      <c r="Z30" s="448">
        <v>149934.86</v>
      </c>
      <c r="AA30" s="448">
        <v>150629.56</v>
      </c>
      <c r="AB30" s="449">
        <v>152614.46</v>
      </c>
      <c r="AC30" s="449">
        <v>238180.83</v>
      </c>
      <c r="AD30" s="449">
        <v>236324.33</v>
      </c>
      <c r="AE30" s="449">
        <v>201975.91</v>
      </c>
      <c r="AF30" s="449">
        <v>177311.37</v>
      </c>
      <c r="AG30" s="449">
        <v>168144.3</v>
      </c>
      <c r="AH30" s="449">
        <v>166471.03</v>
      </c>
      <c r="AI30" s="449">
        <v>158319.57</v>
      </c>
      <c r="AJ30" s="449">
        <v>160166.56</v>
      </c>
      <c r="AK30" s="449">
        <v>155961.49</v>
      </c>
      <c r="AL30" s="449">
        <v>155166.89</v>
      </c>
      <c r="AM30" s="449">
        <v>156877.55</v>
      </c>
      <c r="AN30" s="449">
        <v>58059.9</v>
      </c>
      <c r="AO30" s="449">
        <v>36233.5</v>
      </c>
      <c r="AP30" s="449">
        <v>21477.13</v>
      </c>
      <c r="AQ30" s="449">
        <v>15.24</v>
      </c>
      <c r="AR30" s="450">
        <v>36.07</v>
      </c>
      <c r="AS30" s="450">
        <v>38.07</v>
      </c>
      <c r="AT30" s="450">
        <v>38.07</v>
      </c>
      <c r="AU30" s="450"/>
      <c r="AV30" s="450"/>
      <c r="AW30" s="450"/>
      <c r="AX30" s="450"/>
      <c r="AY30" s="450"/>
      <c r="AZ30" s="450"/>
      <c r="BA30" s="450"/>
      <c r="BB30" s="450"/>
      <c r="BC30" s="450"/>
      <c r="BD30" s="450">
        <v>254.0</v>
      </c>
      <c r="BE30" s="450">
        <v>0.0</v>
      </c>
      <c r="BF30" s="450"/>
      <c r="BG30" s="450" t="s">
        <v>2566</v>
      </c>
      <c r="BH30" s="450"/>
      <c r="BI30" s="450"/>
      <c r="BJ30" s="450"/>
      <c r="BK30" s="450">
        <v>0.0</v>
      </c>
      <c r="BL30" s="450"/>
      <c r="BM30" s="450"/>
      <c r="BN30" s="450"/>
      <c r="BO30" s="450"/>
      <c r="BP30" s="450"/>
      <c r="BQ30" s="450"/>
      <c r="BR30" s="450"/>
      <c r="BS30" s="450"/>
      <c r="BT30" s="450"/>
      <c r="BU30" s="450"/>
      <c r="BV30" s="450"/>
      <c r="BW30" s="450"/>
      <c r="BX30" s="450"/>
      <c r="BY30" s="450"/>
      <c r="BZ30" s="451"/>
      <c r="CA30" s="451"/>
      <c r="CB30" s="451"/>
      <c r="CC30" s="451"/>
      <c r="CD30" s="451"/>
      <c r="CE30" s="451"/>
    </row>
    <row r="31" ht="15.75" customHeight="1">
      <c r="A31" s="436" t="s">
        <v>3632</v>
      </c>
      <c r="B31" s="452" t="s">
        <v>3723</v>
      </c>
      <c r="C31" s="453" t="s">
        <v>3724</v>
      </c>
      <c r="D31" s="319" t="s">
        <v>18</v>
      </c>
      <c r="E31" s="93" t="s">
        <v>29</v>
      </c>
      <c r="F31" s="457" t="s">
        <v>2803</v>
      </c>
      <c r="G31" s="439" t="s">
        <v>3635</v>
      </c>
      <c r="H31" s="463" t="s">
        <v>186</v>
      </c>
      <c r="I31" s="46" t="s">
        <v>24</v>
      </c>
      <c r="J31" s="319" t="str">
        <f t="shared" si="6"/>
        <v>Sim</v>
      </c>
      <c r="K31" s="455">
        <v>43873.0</v>
      </c>
      <c r="L31" s="456"/>
      <c r="M31" s="457" t="s">
        <v>269</v>
      </c>
      <c r="N31" s="458">
        <v>0.02</v>
      </c>
      <c r="O31" s="95" t="s">
        <v>48</v>
      </c>
      <c r="P31" s="168">
        <v>0.2</v>
      </c>
      <c r="Q31" s="436" t="s">
        <v>3725</v>
      </c>
      <c r="R31" s="50"/>
      <c r="S31" s="45" t="s">
        <v>108</v>
      </c>
      <c r="T31" s="459" t="s">
        <v>3726</v>
      </c>
      <c r="U31" s="460" t="s">
        <v>29</v>
      </c>
      <c r="V31" s="447" t="str">
        <f t="shared" si="2"/>
        <v>Encerrado</v>
      </c>
      <c r="W31" s="45"/>
      <c r="X31" s="24" t="s">
        <v>119</v>
      </c>
      <c r="Y31" s="45"/>
      <c r="Z31" s="449">
        <v>0.0</v>
      </c>
      <c r="AA31" s="449">
        <v>0.0</v>
      </c>
      <c r="AB31" s="449">
        <v>0.0</v>
      </c>
      <c r="AC31" s="449">
        <v>0.0</v>
      </c>
      <c r="AD31" s="449">
        <v>59919.62</v>
      </c>
      <c r="AE31" s="449">
        <v>109434.3</v>
      </c>
      <c r="AF31" s="449">
        <v>116074.11</v>
      </c>
      <c r="AG31" s="449">
        <v>119974.57</v>
      </c>
      <c r="AH31" s="449">
        <v>124954.96</v>
      </c>
      <c r="AI31" s="449">
        <v>128929.13</v>
      </c>
      <c r="AJ31" s="449">
        <v>124146.77</v>
      </c>
      <c r="AK31" s="449">
        <v>114212.47</v>
      </c>
      <c r="AL31" s="449">
        <v>114147.96</v>
      </c>
      <c r="AM31" s="449">
        <v>132377.53</v>
      </c>
      <c r="AN31" s="449">
        <v>178208.97</v>
      </c>
      <c r="AO31" s="449">
        <v>170733.59</v>
      </c>
      <c r="AP31" s="449">
        <v>159792.62</v>
      </c>
      <c r="AQ31" s="449">
        <v>159488.48</v>
      </c>
      <c r="AR31" s="450">
        <v>177919.62</v>
      </c>
      <c r="AS31" s="450">
        <v>172715.47</v>
      </c>
      <c r="AT31" s="450">
        <v>172747.92</v>
      </c>
      <c r="AU31" s="450">
        <v>178256.34</v>
      </c>
      <c r="AV31" s="450">
        <v>174498.47</v>
      </c>
      <c r="AW31" s="450">
        <v>173155.47</v>
      </c>
      <c r="AX31" s="450">
        <v>164718.4</v>
      </c>
      <c r="AY31" s="450">
        <v>155602.57</v>
      </c>
      <c r="AZ31" s="450">
        <v>147526.63</v>
      </c>
      <c r="BA31" s="450">
        <v>133318.86</v>
      </c>
      <c r="BB31" s="450">
        <v>143880.47</v>
      </c>
      <c r="BC31" s="450"/>
      <c r="BD31" s="450">
        <v>0.0</v>
      </c>
      <c r="BE31" s="450">
        <v>0.0</v>
      </c>
      <c r="BF31" s="450"/>
      <c r="BG31" s="450" t="s">
        <v>2566</v>
      </c>
      <c r="BH31" s="450"/>
      <c r="BI31" s="450"/>
      <c r="BJ31" s="450"/>
      <c r="BK31" s="450">
        <v>0.0</v>
      </c>
      <c r="BL31" s="450"/>
      <c r="BM31" s="450"/>
      <c r="BN31" s="450"/>
      <c r="BO31" s="450"/>
      <c r="BP31" s="450"/>
      <c r="BQ31" s="450"/>
      <c r="BR31" s="450"/>
      <c r="BS31" s="450"/>
      <c r="BT31" s="450"/>
      <c r="BU31" s="450"/>
      <c r="BV31" s="450"/>
      <c r="BW31" s="450"/>
      <c r="BX31" s="450"/>
      <c r="BY31" s="450"/>
      <c r="BZ31" s="451"/>
      <c r="CA31" s="451"/>
      <c r="CB31" s="451"/>
      <c r="CC31" s="451"/>
      <c r="CD31" s="451"/>
      <c r="CE31" s="451"/>
    </row>
    <row r="32" ht="15.75" customHeight="1">
      <c r="A32" s="476"/>
      <c r="B32" s="476"/>
      <c r="C32" s="477"/>
      <c r="D32" s="478"/>
      <c r="E32" s="478"/>
      <c r="F32" s="478"/>
      <c r="G32" s="478"/>
      <c r="H32" s="478"/>
      <c r="I32" s="478"/>
      <c r="J32" s="478"/>
      <c r="K32" s="479"/>
      <c r="L32" s="479"/>
      <c r="M32" s="478"/>
      <c r="N32" s="480"/>
      <c r="O32" s="480"/>
      <c r="P32" s="481"/>
      <c r="Q32" s="482"/>
      <c r="R32" s="482"/>
      <c r="S32" s="478"/>
      <c r="T32" s="483"/>
      <c r="U32" s="478"/>
      <c r="V32" s="484"/>
      <c r="W32" s="479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5"/>
      <c r="B33" s="486" t="s">
        <v>2533</v>
      </c>
      <c r="C33" s="487">
        <f>COUNTIF(H:H,"Ativo")</f>
        <v>3</v>
      </c>
      <c r="D33" s="488"/>
      <c r="E33" s="488"/>
      <c r="F33" s="489"/>
      <c r="G33" s="490"/>
      <c r="H33" s="490"/>
      <c r="I33" s="490"/>
      <c r="J33" s="490"/>
      <c r="K33" s="491"/>
      <c r="L33" s="492"/>
      <c r="M33" s="490"/>
      <c r="N33" s="480"/>
      <c r="O33" s="480"/>
      <c r="P33" s="481"/>
      <c r="Q33" s="482"/>
      <c r="R33" s="482"/>
      <c r="S33" s="478"/>
      <c r="T33" s="493"/>
      <c r="V33" s="484"/>
      <c r="W33" s="494"/>
      <c r="X33" s="492"/>
      <c r="Y33" s="492"/>
      <c r="Z33" s="478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478"/>
      <c r="AL33" s="478"/>
      <c r="AM33" s="478"/>
      <c r="AN33" s="478"/>
      <c r="AO33" s="478"/>
      <c r="AP33" s="478"/>
      <c r="AQ33" s="478"/>
      <c r="AR33" s="478"/>
      <c r="AS33" s="478"/>
      <c r="AT33" s="478"/>
      <c r="AU33" s="495"/>
      <c r="AV33" s="495"/>
      <c r="AW33" s="281"/>
      <c r="AX33" s="281"/>
      <c r="AY33" s="281"/>
      <c r="AZ33" s="281"/>
      <c r="BA33" s="281"/>
      <c r="BB33" s="281"/>
      <c r="BC33" s="281"/>
      <c r="BD33" s="496"/>
      <c r="BE33" s="496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7"/>
      <c r="B34" s="498" t="s">
        <v>2534</v>
      </c>
      <c r="C34" s="499">
        <f>COUNTIF(H:H,"Inativo")</f>
        <v>14</v>
      </c>
      <c r="D34" s="488"/>
      <c r="E34" s="488"/>
      <c r="F34" s="489"/>
      <c r="G34" s="490"/>
      <c r="H34" s="490"/>
      <c r="I34" s="490"/>
      <c r="J34" s="490"/>
      <c r="K34" s="491"/>
      <c r="L34" s="492"/>
      <c r="M34" s="490"/>
      <c r="N34" s="480"/>
      <c r="O34" s="480"/>
      <c r="P34" s="481"/>
      <c r="Q34" s="482"/>
      <c r="R34" s="482"/>
      <c r="S34" s="478"/>
      <c r="T34" s="493"/>
      <c r="V34" s="484"/>
      <c r="W34" s="494"/>
      <c r="X34" s="492"/>
      <c r="Y34" s="492"/>
      <c r="Z34" s="500">
        <f t="shared" ref="Z34:AI34" si="7">SUM(Z6:Z32)</f>
        <v>684310.12</v>
      </c>
      <c r="AA34" s="500">
        <f t="shared" si="7"/>
        <v>704683.98</v>
      </c>
      <c r="AB34" s="500">
        <f t="shared" si="7"/>
        <v>713798.16</v>
      </c>
      <c r="AC34" s="500">
        <f t="shared" si="7"/>
        <v>799508.4</v>
      </c>
      <c r="AD34" s="500">
        <f t="shared" si="7"/>
        <v>1206943.15</v>
      </c>
      <c r="AE34" s="500">
        <f t="shared" si="7"/>
        <v>1197314.59</v>
      </c>
      <c r="AF34" s="500">
        <f t="shared" si="7"/>
        <v>1635003.3</v>
      </c>
      <c r="AG34" s="501">
        <f t="shared" si="7"/>
        <v>1708592.61</v>
      </c>
      <c r="AH34" s="501">
        <f t="shared" si="7"/>
        <v>1616298.4</v>
      </c>
      <c r="AI34" s="501">
        <f t="shared" si="7"/>
        <v>1752251.19</v>
      </c>
      <c r="AJ34" s="501">
        <f t="shared" ref="AJ34:BC34" si="8">SUM(AJ3:AJ32)</f>
        <v>1973509.87</v>
      </c>
      <c r="AK34" s="501">
        <f t="shared" si="8"/>
        <v>1873769.54</v>
      </c>
      <c r="AL34" s="501">
        <f t="shared" si="8"/>
        <v>1763142.42</v>
      </c>
      <c r="AM34" s="501">
        <f t="shared" si="8"/>
        <v>1912914.44</v>
      </c>
      <c r="AN34" s="501">
        <f t="shared" si="8"/>
        <v>1965248.37</v>
      </c>
      <c r="AO34" s="501">
        <f t="shared" si="8"/>
        <v>1888700.94</v>
      </c>
      <c r="AP34" s="501">
        <f t="shared" si="8"/>
        <v>1851704.42</v>
      </c>
      <c r="AQ34" s="501">
        <f t="shared" si="8"/>
        <v>1842038.96</v>
      </c>
      <c r="AR34" s="501">
        <f t="shared" si="8"/>
        <v>1924082.75</v>
      </c>
      <c r="AS34" s="501">
        <f t="shared" si="8"/>
        <v>2012078.31</v>
      </c>
      <c r="AT34" s="501">
        <f t="shared" si="8"/>
        <v>2016327.48</v>
      </c>
      <c r="AU34" s="501">
        <f t="shared" si="8"/>
        <v>2089769.08</v>
      </c>
      <c r="AV34" s="501">
        <f t="shared" si="8"/>
        <v>1979132.18</v>
      </c>
      <c r="AW34" s="501">
        <f t="shared" si="8"/>
        <v>1943541.76</v>
      </c>
      <c r="AX34" s="501">
        <f t="shared" si="8"/>
        <v>2119767.72</v>
      </c>
      <c r="AY34" s="501">
        <f t="shared" si="8"/>
        <v>1948027.17</v>
      </c>
      <c r="AZ34" s="501">
        <f t="shared" si="8"/>
        <v>1871002.12</v>
      </c>
      <c r="BA34" s="501">
        <f t="shared" si="8"/>
        <v>1753260.68</v>
      </c>
      <c r="BB34" s="501">
        <f t="shared" si="8"/>
        <v>1757931.03</v>
      </c>
      <c r="BC34" s="501">
        <f t="shared" si="8"/>
        <v>1603626.199</v>
      </c>
      <c r="BD34" s="500">
        <f>SUM(BD7:BD33)</f>
        <v>1347924.37</v>
      </c>
      <c r="BE34" s="500">
        <f t="shared" ref="BE34:CE34" si="9">SUM(BE3:BE33)</f>
        <v>1126755.06</v>
      </c>
      <c r="BF34" s="500">
        <f t="shared" si="9"/>
        <v>1615935.78</v>
      </c>
      <c r="BG34" s="500">
        <f t="shared" si="9"/>
        <v>1462956.63</v>
      </c>
      <c r="BH34" s="500">
        <f t="shared" si="9"/>
        <v>1307291.03</v>
      </c>
      <c r="BI34" s="500">
        <f t="shared" si="9"/>
        <v>1320516.22</v>
      </c>
      <c r="BJ34" s="500">
        <f t="shared" si="9"/>
        <v>2362748.2</v>
      </c>
      <c r="BK34" s="500">
        <f t="shared" si="9"/>
        <v>2431536.74</v>
      </c>
      <c r="BL34" s="500">
        <f t="shared" si="9"/>
        <v>2401947.46</v>
      </c>
      <c r="BM34" s="500">
        <f t="shared" si="9"/>
        <v>2430960.63</v>
      </c>
      <c r="BN34" s="500">
        <f t="shared" si="9"/>
        <v>1305497.29</v>
      </c>
      <c r="BO34" s="500">
        <f t="shared" si="9"/>
        <v>1222171.89</v>
      </c>
      <c r="BP34" s="500">
        <f t="shared" si="9"/>
        <v>2421812.08</v>
      </c>
      <c r="BQ34" s="500">
        <f t="shared" si="9"/>
        <v>2792854.51</v>
      </c>
      <c r="BR34" s="500">
        <f t="shared" si="9"/>
        <v>2855094.53</v>
      </c>
      <c r="BS34" s="500">
        <f t="shared" si="9"/>
        <v>3007639.93</v>
      </c>
      <c r="BT34" s="500">
        <f t="shared" si="9"/>
        <v>3007639.93</v>
      </c>
      <c r="BU34" s="500">
        <f t="shared" si="9"/>
        <v>1994313.07</v>
      </c>
      <c r="BV34" s="500">
        <f t="shared" si="9"/>
        <v>1896026.83</v>
      </c>
      <c r="BW34" s="500">
        <f t="shared" si="9"/>
        <v>1932900</v>
      </c>
      <c r="BX34" s="500">
        <f t="shared" si="9"/>
        <v>1960612.38</v>
      </c>
      <c r="BY34" s="500">
        <f t="shared" si="9"/>
        <v>1880858.77</v>
      </c>
      <c r="BZ34" s="500">
        <f t="shared" si="9"/>
        <v>1124357.34</v>
      </c>
      <c r="CA34" s="500">
        <f t="shared" si="9"/>
        <v>1059951.47</v>
      </c>
      <c r="CB34" s="500">
        <f t="shared" si="9"/>
        <v>1001755.77</v>
      </c>
      <c r="CC34" s="500">
        <f t="shared" si="9"/>
        <v>794172.05</v>
      </c>
      <c r="CD34" s="500">
        <f t="shared" si="9"/>
        <v>791657.06</v>
      </c>
      <c r="CE34" s="500">
        <f t="shared" si="9"/>
        <v>793253.12</v>
      </c>
    </row>
    <row r="35" ht="15.75" customHeight="1">
      <c r="A35" s="497"/>
      <c r="B35" s="498" t="s">
        <v>2535</v>
      </c>
      <c r="C35" s="499">
        <f>COUNTIF(H:H,"Encerrado")</f>
        <v>12</v>
      </c>
      <c r="D35" s="488"/>
      <c r="E35" s="488"/>
      <c r="F35" s="489"/>
      <c r="G35" s="490"/>
      <c r="H35" s="490"/>
      <c r="I35" s="490"/>
      <c r="J35" s="490"/>
      <c r="K35" s="491"/>
      <c r="L35" s="492"/>
      <c r="M35" s="490"/>
      <c r="N35" s="480"/>
      <c r="O35" s="480"/>
      <c r="P35" s="481"/>
      <c r="Q35" s="482"/>
      <c r="R35" s="482"/>
      <c r="S35" s="478"/>
      <c r="T35" s="493"/>
      <c r="V35" s="484"/>
      <c r="W35" s="494"/>
      <c r="X35" s="492"/>
      <c r="Y35" s="492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8"/>
      <c r="AL35" s="478"/>
      <c r="AM35" s="478"/>
      <c r="AN35" s="478"/>
      <c r="AO35" s="478"/>
      <c r="AP35" s="478"/>
      <c r="AQ35" s="478"/>
      <c r="AR35" s="495"/>
      <c r="AS35" s="495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2"/>
      <c r="B36" s="503" t="s">
        <v>2536</v>
      </c>
      <c r="C36" s="504">
        <f>COUNTIF(H:H,"Pode Operar")</f>
        <v>0</v>
      </c>
      <c r="D36" s="488"/>
      <c r="E36" s="488"/>
      <c r="F36" s="505"/>
      <c r="G36" s="490"/>
      <c r="H36" s="490"/>
      <c r="I36" s="490"/>
      <c r="J36" s="490"/>
      <c r="K36" s="491"/>
      <c r="L36" s="479"/>
      <c r="M36" s="478"/>
      <c r="N36" s="480"/>
      <c r="O36" s="480"/>
      <c r="P36" s="481"/>
      <c r="Q36" s="482"/>
      <c r="R36" s="482"/>
      <c r="S36" s="478"/>
      <c r="T36" s="493"/>
      <c r="V36" s="484"/>
      <c r="W36" s="479"/>
      <c r="X36" s="479"/>
      <c r="Y36" s="479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8"/>
      <c r="AL36" s="478"/>
      <c r="AM36" s="478"/>
      <c r="AN36" s="478"/>
      <c r="AO36" s="478"/>
      <c r="AP36" s="478"/>
      <c r="AQ36" s="478"/>
      <c r="AR36" s="495"/>
      <c r="AS36" s="495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6"/>
      <c r="C37" s="507"/>
      <c r="D37" s="488"/>
      <c r="E37" s="488"/>
      <c r="F37" s="489"/>
      <c r="G37" s="490"/>
      <c r="H37" s="490"/>
      <c r="I37" s="490"/>
      <c r="J37" s="490"/>
      <c r="K37" s="491"/>
      <c r="L37" s="479"/>
      <c r="M37" s="478"/>
      <c r="N37" s="480"/>
      <c r="O37" s="480"/>
      <c r="P37" s="481"/>
      <c r="Q37" s="482"/>
      <c r="R37" s="482"/>
      <c r="S37" s="478"/>
      <c r="T37" s="478"/>
      <c r="U37" s="478"/>
      <c r="V37" s="484"/>
      <c r="W37" s="479"/>
      <c r="X37" s="479"/>
      <c r="Y37" s="479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8"/>
      <c r="AL37" s="478"/>
      <c r="AM37" s="478"/>
      <c r="AN37" s="478"/>
      <c r="AO37" s="478"/>
      <c r="AP37" s="478"/>
      <c r="AQ37" s="478"/>
      <c r="AR37" s="495"/>
      <c r="AS37" s="495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8"/>
      <c r="C38" s="507"/>
      <c r="D38" s="488"/>
      <c r="E38" s="488"/>
      <c r="F38" s="489"/>
      <c r="G38" s="490"/>
      <c r="H38" s="490"/>
      <c r="I38" s="490"/>
      <c r="J38" s="490"/>
      <c r="K38" s="491"/>
      <c r="L38" s="492"/>
      <c r="M38" s="490"/>
      <c r="N38" s="480"/>
      <c r="O38" s="480"/>
      <c r="P38" s="481"/>
      <c r="Q38" s="482"/>
      <c r="R38" s="482"/>
      <c r="S38" s="478"/>
      <c r="T38" s="509"/>
      <c r="U38" s="478"/>
      <c r="V38" s="484"/>
      <c r="W38" s="492"/>
      <c r="X38" s="492"/>
      <c r="Y38" s="492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8"/>
      <c r="AL38" s="478"/>
      <c r="AM38" s="478"/>
      <c r="AN38" s="478"/>
      <c r="AO38" s="478"/>
      <c r="AP38" s="478"/>
      <c r="AQ38" s="478"/>
      <c r="AR38" s="495"/>
      <c r="AS38" s="495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8"/>
      <c r="C39" s="507"/>
      <c r="D39" s="488"/>
      <c r="E39" s="488"/>
      <c r="F39" s="489"/>
      <c r="G39" s="490"/>
      <c r="H39" s="490"/>
      <c r="I39" s="490"/>
      <c r="J39" s="490"/>
      <c r="K39" s="491"/>
      <c r="L39" s="479"/>
      <c r="M39" s="478"/>
      <c r="N39" s="480"/>
      <c r="O39" s="480"/>
      <c r="P39" s="481"/>
      <c r="Q39" s="482"/>
      <c r="R39" s="482"/>
      <c r="S39" s="478"/>
      <c r="T39" s="509"/>
      <c r="U39" s="478"/>
      <c r="V39" s="484"/>
      <c r="W39" s="479"/>
      <c r="X39" s="479"/>
      <c r="Y39" s="479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8"/>
      <c r="AL39" s="478"/>
      <c r="AM39" s="478"/>
      <c r="AN39" s="478"/>
      <c r="AO39" s="478"/>
      <c r="AP39" s="478"/>
      <c r="AQ39" s="478"/>
      <c r="AR39" s="495"/>
      <c r="AS39" s="495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8"/>
      <c r="C40" s="507"/>
      <c r="D40" s="488"/>
      <c r="E40" s="488"/>
      <c r="F40" s="489"/>
      <c r="G40" s="490"/>
      <c r="H40" s="490"/>
      <c r="I40" s="490"/>
      <c r="J40" s="490"/>
      <c r="K40" s="491"/>
      <c r="L40" s="492"/>
      <c r="M40" s="490"/>
      <c r="N40" s="480"/>
      <c r="O40" s="480"/>
      <c r="P40" s="481"/>
      <c r="Q40" s="482"/>
      <c r="R40" s="482"/>
      <c r="S40" s="478"/>
      <c r="T40" s="509"/>
      <c r="U40" s="478"/>
      <c r="V40" s="484"/>
      <c r="W40" s="492"/>
      <c r="X40" s="492"/>
      <c r="Y40" s="492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8"/>
      <c r="AL40" s="478"/>
      <c r="AM40" s="478"/>
      <c r="AN40" s="478"/>
      <c r="AO40" s="478"/>
      <c r="AP40" s="478"/>
      <c r="AQ40" s="478"/>
      <c r="AR40" s="495"/>
      <c r="AS40" s="495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CF9BBF74-3EB1-4F1E-8AB9-3B8870336168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0C64D1DF-F9E6-41EC-A890-6C4BDAEAA33D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0" t="s">
        <v>82</v>
      </c>
      <c r="G1" s="28" t="s">
        <v>83</v>
      </c>
      <c r="H1" s="28" t="s">
        <v>84</v>
      </c>
      <c r="J1" s="26" t="s">
        <v>82</v>
      </c>
      <c r="Q1" s="428" t="s">
        <v>2538</v>
      </c>
      <c r="R1" s="429" t="s">
        <v>2537</v>
      </c>
      <c r="S1" s="30" t="s">
        <v>85</v>
      </c>
      <c r="Y1" s="30"/>
      <c r="Z1" s="31" t="s">
        <v>86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87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88</v>
      </c>
      <c r="H2" s="2" t="s">
        <v>89</v>
      </c>
      <c r="I2" s="1" t="s">
        <v>90</v>
      </c>
      <c r="J2" s="2" t="s">
        <v>91</v>
      </c>
      <c r="K2" s="34" t="s">
        <v>92</v>
      </c>
      <c r="L2" s="34" t="s">
        <v>93</v>
      </c>
      <c r="M2" s="34" t="s">
        <v>9</v>
      </c>
      <c r="N2" s="36" t="s">
        <v>94</v>
      </c>
      <c r="O2" s="3" t="s">
        <v>95</v>
      </c>
      <c r="P2" s="37" t="s">
        <v>12</v>
      </c>
      <c r="Q2" s="4" t="s">
        <v>96</v>
      </c>
      <c r="R2" s="4" t="s">
        <v>97</v>
      </c>
      <c r="S2" s="2" t="s">
        <v>98</v>
      </c>
      <c r="T2" s="313" t="s">
        <v>38</v>
      </c>
      <c r="U2" s="34" t="s">
        <v>39</v>
      </c>
      <c r="V2" s="1" t="s">
        <v>99</v>
      </c>
      <c r="W2" s="3" t="s">
        <v>40</v>
      </c>
      <c r="X2" s="3" t="s">
        <v>100</v>
      </c>
      <c r="Y2" s="1" t="s">
        <v>101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3" t="s">
        <v>3727</v>
      </c>
      <c r="B3" s="183" t="s">
        <v>3728</v>
      </c>
      <c r="C3" s="511">
        <v>1.100556E7</v>
      </c>
      <c r="D3" s="319" t="s">
        <v>18</v>
      </c>
      <c r="E3" s="93" t="s">
        <v>29</v>
      </c>
      <c r="F3" s="512" t="s">
        <v>60</v>
      </c>
      <c r="G3" s="513" t="s">
        <v>3635</v>
      </c>
      <c r="H3" s="46" t="s">
        <v>107</v>
      </c>
      <c r="I3" s="46" t="s">
        <v>24</v>
      </c>
      <c r="J3" s="319" t="str">
        <f t="shared" ref="J3:J15" si="1">IF(Q3=0,"Não","Sim")</f>
        <v>Não</v>
      </c>
      <c r="K3" s="441">
        <v>45007.0</v>
      </c>
      <c r="L3" s="45"/>
      <c r="M3" s="443" t="s">
        <v>55</v>
      </c>
      <c r="N3" s="444">
        <v>0.012</v>
      </c>
      <c r="O3" s="95" t="s">
        <v>24</v>
      </c>
      <c r="P3" s="168">
        <v>0.0</v>
      </c>
      <c r="Q3" s="224"/>
      <c r="R3" s="50"/>
      <c r="S3" s="45" t="s">
        <v>108</v>
      </c>
      <c r="T3" s="514" t="s">
        <v>3729</v>
      </c>
      <c r="U3" s="13" t="s">
        <v>29</v>
      </c>
      <c r="V3" s="515" t="str">
        <f t="shared" ref="V3:V15" si="2">IFS(H:H="Encerrado","Encerrado",SUM(Z3:AJ3)&lt;=0,"Inativo",SUM(Z3:AJ3)&gt;0,"Ativo")</f>
        <v>Ativo</v>
      </c>
      <c r="W3" s="45"/>
      <c r="X3" s="24" t="s">
        <v>119</v>
      </c>
      <c r="Y3" s="45"/>
      <c r="Z3" s="171">
        <v>868190.39</v>
      </c>
      <c r="AA3" s="171">
        <v>3483945.75</v>
      </c>
      <c r="AB3" s="171">
        <v>1906831.93</v>
      </c>
      <c r="AC3" s="496">
        <v>1908117.71</v>
      </c>
      <c r="AD3" s="496">
        <v>1935545.71</v>
      </c>
      <c r="AE3" s="171">
        <v>1960342.01</v>
      </c>
      <c r="AF3" s="171">
        <v>1960342.01</v>
      </c>
      <c r="AG3" s="171">
        <v>2176208.41</v>
      </c>
      <c r="AH3" s="171">
        <v>2192264.86</v>
      </c>
      <c r="AI3" s="171">
        <v>2199647.56</v>
      </c>
      <c r="AJ3" s="516">
        <v>2414145.46</v>
      </c>
      <c r="AK3" s="516">
        <v>2430373.97</v>
      </c>
      <c r="AL3" s="516">
        <v>2451622.0</v>
      </c>
      <c r="AM3" s="516">
        <v>2433506.32</v>
      </c>
      <c r="AN3" s="516">
        <v>2455318.98</v>
      </c>
      <c r="AO3" s="516">
        <v>2996978.63</v>
      </c>
    </row>
    <row r="4">
      <c r="A4" s="183" t="s">
        <v>3727</v>
      </c>
      <c r="B4" s="517" t="s">
        <v>3730</v>
      </c>
      <c r="C4" s="518">
        <v>1.094059E7</v>
      </c>
      <c r="D4" s="512" t="s">
        <v>18</v>
      </c>
      <c r="E4" s="519" t="s">
        <v>29</v>
      </c>
      <c r="F4" s="512" t="s">
        <v>373</v>
      </c>
      <c r="G4" s="513" t="s">
        <v>3635</v>
      </c>
      <c r="H4" s="520" t="s">
        <v>107</v>
      </c>
      <c r="I4" s="46" t="s">
        <v>24</v>
      </c>
      <c r="J4" s="512" t="str">
        <f t="shared" si="1"/>
        <v>Sim</v>
      </c>
      <c r="K4" s="455">
        <v>45034.0</v>
      </c>
      <c r="L4" s="521"/>
      <c r="M4" s="457" t="s">
        <v>269</v>
      </c>
      <c r="N4" s="458">
        <v>0.02</v>
      </c>
      <c r="O4" s="522" t="s">
        <v>48</v>
      </c>
      <c r="P4" s="523">
        <v>0.2</v>
      </c>
      <c r="Q4" s="524" t="s">
        <v>3731</v>
      </c>
      <c r="R4" s="50"/>
      <c r="S4" s="45" t="s">
        <v>108</v>
      </c>
      <c r="T4" s="525" t="s">
        <v>2719</v>
      </c>
      <c r="U4" s="13" t="s">
        <v>29</v>
      </c>
      <c r="V4" s="515" t="str">
        <f t="shared" si="2"/>
        <v>Ativo</v>
      </c>
      <c r="W4" s="45"/>
      <c r="X4" s="24" t="s">
        <v>119</v>
      </c>
      <c r="Y4" s="45"/>
      <c r="Z4" s="171">
        <v>0.0</v>
      </c>
      <c r="AA4" s="171">
        <v>546727.25</v>
      </c>
      <c r="AB4" s="171">
        <v>599473.92</v>
      </c>
      <c r="AC4" s="496">
        <v>607825.55</v>
      </c>
      <c r="AD4" s="496">
        <v>789504.54</v>
      </c>
      <c r="AE4" s="171">
        <v>738358.46</v>
      </c>
      <c r="AF4" s="171">
        <v>738358.46</v>
      </c>
      <c r="AG4" s="171">
        <v>799452.14</v>
      </c>
      <c r="AH4" s="171">
        <v>863626.59</v>
      </c>
      <c r="AI4" s="171">
        <v>947228.39</v>
      </c>
      <c r="AJ4" s="516">
        <v>898539.27</v>
      </c>
      <c r="AK4" s="516">
        <v>761428.71</v>
      </c>
      <c r="AL4" s="516">
        <v>648324.12</v>
      </c>
      <c r="AM4" s="516">
        <v>874068.82</v>
      </c>
      <c r="AN4" s="516">
        <v>696492.77</v>
      </c>
      <c r="AO4" s="516">
        <v>779342.44</v>
      </c>
    </row>
    <row r="5" ht="15.75" customHeight="1">
      <c r="A5" s="183" t="s">
        <v>3727</v>
      </c>
      <c r="B5" s="526" t="s">
        <v>3732</v>
      </c>
      <c r="C5" s="527" t="s">
        <v>3733</v>
      </c>
      <c r="D5" s="319" t="s">
        <v>18</v>
      </c>
      <c r="E5" s="93" t="s">
        <v>29</v>
      </c>
      <c r="F5" s="511" t="s">
        <v>18</v>
      </c>
      <c r="G5" s="513" t="s">
        <v>3635</v>
      </c>
      <c r="H5" s="46" t="s">
        <v>107</v>
      </c>
      <c r="I5" s="46" t="s">
        <v>24</v>
      </c>
      <c r="J5" s="319" t="str">
        <f t="shared" si="1"/>
        <v>Não</v>
      </c>
      <c r="K5" s="528">
        <v>44992.0</v>
      </c>
      <c r="L5" s="45"/>
      <c r="M5" s="457" t="s">
        <v>47</v>
      </c>
      <c r="N5" s="458">
        <v>0.015</v>
      </c>
      <c r="O5" s="95" t="s">
        <v>48</v>
      </c>
      <c r="P5" s="168">
        <v>0.1</v>
      </c>
      <c r="Q5" s="224"/>
      <c r="R5" s="50"/>
      <c r="S5" s="45" t="s">
        <v>369</v>
      </c>
      <c r="T5" s="529" t="s">
        <v>3734</v>
      </c>
      <c r="U5" s="13" t="s">
        <v>29</v>
      </c>
      <c r="V5" s="515" t="str">
        <f t="shared" si="2"/>
        <v>Inativo</v>
      </c>
      <c r="W5" s="45"/>
      <c r="X5" s="24" t="s">
        <v>119</v>
      </c>
      <c r="Y5" s="45"/>
      <c r="Z5" s="171">
        <v>0.0</v>
      </c>
      <c r="AA5" s="171">
        <v>0.0</v>
      </c>
      <c r="AB5" s="171">
        <v>0.0</v>
      </c>
      <c r="AC5" s="496">
        <v>0.0</v>
      </c>
      <c r="AD5" s="496">
        <v>0.0</v>
      </c>
      <c r="AE5" s="171">
        <v>0.0</v>
      </c>
      <c r="AF5" s="171">
        <v>0.0</v>
      </c>
      <c r="AG5" s="171">
        <v>0.0</v>
      </c>
      <c r="AH5" s="171">
        <v>0.0</v>
      </c>
      <c r="AI5" s="516">
        <v>0.0</v>
      </c>
      <c r="AJ5" s="171"/>
      <c r="AK5" s="516">
        <v>0.0</v>
      </c>
      <c r="AL5" s="516">
        <v>0.0</v>
      </c>
      <c r="AM5" s="516"/>
      <c r="AN5" s="516">
        <v>0.0</v>
      </c>
      <c r="AO5" s="516">
        <v>108786.93</v>
      </c>
    </row>
    <row r="6" ht="15.75" customHeight="1">
      <c r="A6" s="183" t="s">
        <v>3727</v>
      </c>
      <c r="B6" s="183" t="s">
        <v>3735</v>
      </c>
      <c r="C6" s="511">
        <v>1.0982276E7</v>
      </c>
      <c r="D6" s="319" t="s">
        <v>18</v>
      </c>
      <c r="E6" s="93" t="s">
        <v>29</v>
      </c>
      <c r="F6" s="512" t="s">
        <v>3736</v>
      </c>
      <c r="G6" s="513" t="s">
        <v>3635</v>
      </c>
      <c r="H6" s="51" t="s">
        <v>147</v>
      </c>
      <c r="I6" s="51" t="s">
        <v>219</v>
      </c>
      <c r="J6" s="319" t="str">
        <f t="shared" si="1"/>
        <v>Não</v>
      </c>
      <c r="K6" s="455">
        <v>45019.0</v>
      </c>
      <c r="L6" s="45"/>
      <c r="M6" s="443" t="s">
        <v>55</v>
      </c>
      <c r="N6" s="458">
        <v>0.012</v>
      </c>
      <c r="O6" s="95" t="s">
        <v>24</v>
      </c>
      <c r="P6" s="168">
        <v>0.0</v>
      </c>
      <c r="Q6" s="224"/>
      <c r="R6" s="60"/>
      <c r="S6" s="45" t="s">
        <v>369</v>
      </c>
      <c r="T6" s="11" t="s">
        <v>1248</v>
      </c>
      <c r="U6" s="13" t="s">
        <v>152</v>
      </c>
      <c r="V6" s="515" t="str">
        <f t="shared" si="2"/>
        <v>Ativo</v>
      </c>
      <c r="W6" s="45"/>
      <c r="X6" s="24" t="s">
        <v>119</v>
      </c>
      <c r="Y6" s="45"/>
      <c r="Z6" s="171">
        <v>0.0</v>
      </c>
      <c r="AA6" s="171">
        <v>1.127523116E7</v>
      </c>
      <c r="AB6" s="171">
        <v>1.13163512E7</v>
      </c>
      <c r="AC6" s="496">
        <v>1.118464174E7</v>
      </c>
      <c r="AD6" s="496">
        <v>1.118731418E7</v>
      </c>
      <c r="AE6" s="171">
        <v>1.129222602E7</v>
      </c>
      <c r="AF6" s="171">
        <v>1.129222602E7</v>
      </c>
      <c r="AG6" s="171">
        <v>1.063954287E7</v>
      </c>
      <c r="AH6" s="171">
        <v>9894525.59</v>
      </c>
      <c r="AI6" s="171">
        <v>9838685.46</v>
      </c>
      <c r="AJ6" s="516">
        <v>9590204.74</v>
      </c>
      <c r="AK6" s="516">
        <v>0.0</v>
      </c>
      <c r="AL6" s="516">
        <v>0.0</v>
      </c>
      <c r="AM6" s="516"/>
      <c r="AN6" s="516">
        <v>0.0</v>
      </c>
      <c r="AO6" s="516">
        <v>0.0</v>
      </c>
    </row>
    <row r="7" ht="15.75" customHeight="1">
      <c r="A7" s="183" t="s">
        <v>3727</v>
      </c>
      <c r="B7" s="156" t="s">
        <v>3132</v>
      </c>
      <c r="C7" s="101" t="s">
        <v>3737</v>
      </c>
      <c r="D7" s="324" t="s">
        <v>18</v>
      </c>
      <c r="E7" s="11" t="s">
        <v>29</v>
      </c>
      <c r="F7" s="512" t="s">
        <v>373</v>
      </c>
      <c r="G7" s="513" t="s">
        <v>3635</v>
      </c>
      <c r="H7" s="51" t="s">
        <v>107</v>
      </c>
      <c r="I7" s="46" t="s">
        <v>24</v>
      </c>
      <c r="J7" s="319" t="str">
        <f t="shared" si="1"/>
        <v>Não</v>
      </c>
      <c r="K7" s="528">
        <v>45337.0</v>
      </c>
      <c r="L7" s="45"/>
      <c r="M7" s="459" t="s">
        <v>55</v>
      </c>
      <c r="N7" s="530">
        <v>0.012</v>
      </c>
      <c r="O7" s="13" t="s">
        <v>24</v>
      </c>
      <c r="P7" s="531">
        <v>0.0</v>
      </c>
      <c r="Q7" s="224"/>
      <c r="R7" s="60"/>
      <c r="S7" s="24" t="s">
        <v>108</v>
      </c>
      <c r="T7" s="5" t="s">
        <v>3134</v>
      </c>
      <c r="U7" s="13" t="s">
        <v>152</v>
      </c>
      <c r="V7" s="515" t="str">
        <f t="shared" si="2"/>
        <v>Inativo</v>
      </c>
      <c r="W7" s="45"/>
      <c r="X7" s="24" t="s">
        <v>110</v>
      </c>
      <c r="Y7" s="45"/>
      <c r="Z7" s="171"/>
      <c r="AA7" s="171"/>
      <c r="AB7" s="171"/>
      <c r="AC7" s="496"/>
      <c r="AD7" s="496"/>
      <c r="AE7" s="171"/>
      <c r="AF7" s="171"/>
      <c r="AG7" s="171"/>
      <c r="AH7" s="171"/>
      <c r="AI7" s="171"/>
      <c r="AJ7" s="516"/>
      <c r="AK7" s="516">
        <v>9485015.54</v>
      </c>
      <c r="AL7" s="516">
        <v>9409147.74</v>
      </c>
      <c r="AM7" s="516">
        <v>9357271.27</v>
      </c>
      <c r="AN7" s="516">
        <v>9353741.94</v>
      </c>
      <c r="AO7" s="516">
        <v>9436856.23</v>
      </c>
    </row>
    <row r="8" ht="15.75" customHeight="1">
      <c r="A8" s="183" t="s">
        <v>3727</v>
      </c>
      <c r="B8" s="526" t="s">
        <v>3738</v>
      </c>
      <c r="C8" s="164">
        <v>3844136.0</v>
      </c>
      <c r="D8" s="319" t="s">
        <v>18</v>
      </c>
      <c r="E8" s="93" t="s">
        <v>34</v>
      </c>
      <c r="F8" s="522" t="s">
        <v>574</v>
      </c>
      <c r="G8" s="513" t="s">
        <v>3635</v>
      </c>
      <c r="H8" s="46" t="s">
        <v>107</v>
      </c>
      <c r="I8" s="46" t="s">
        <v>24</v>
      </c>
      <c r="J8" s="319" t="str">
        <f t="shared" si="1"/>
        <v>Sim</v>
      </c>
      <c r="K8" s="455">
        <v>45022.0</v>
      </c>
      <c r="L8" s="45"/>
      <c r="M8" s="457" t="s">
        <v>47</v>
      </c>
      <c r="N8" s="458">
        <v>0.015</v>
      </c>
      <c r="O8" s="95" t="s">
        <v>48</v>
      </c>
      <c r="P8" s="168">
        <v>0.1</v>
      </c>
      <c r="Q8" s="532" t="s">
        <v>3739</v>
      </c>
      <c r="R8" s="60"/>
      <c r="S8" s="45" t="s">
        <v>108</v>
      </c>
      <c r="T8" s="529" t="s">
        <v>3740</v>
      </c>
      <c r="U8" s="13" t="s">
        <v>34</v>
      </c>
      <c r="V8" s="515" t="str">
        <f t="shared" si="2"/>
        <v>Ativo</v>
      </c>
      <c r="W8" s="45"/>
      <c r="X8" s="24" t="s">
        <v>119</v>
      </c>
      <c r="Y8" s="45"/>
      <c r="Z8" s="171">
        <v>0.0</v>
      </c>
      <c r="AA8" s="171">
        <v>49186.72</v>
      </c>
      <c r="AB8" s="171">
        <v>49605.11</v>
      </c>
      <c r="AC8" s="496">
        <v>48654.91</v>
      </c>
      <c r="AD8" s="496">
        <v>49282.48</v>
      </c>
      <c r="AE8" s="171">
        <v>49637.43</v>
      </c>
      <c r="AF8" s="171">
        <v>49637.43</v>
      </c>
      <c r="AG8" s="171">
        <v>52206.93</v>
      </c>
      <c r="AH8" s="171">
        <v>53285.75</v>
      </c>
      <c r="AI8" s="171">
        <v>54409.29</v>
      </c>
      <c r="AJ8" s="516">
        <v>53031.71</v>
      </c>
      <c r="AK8" s="516">
        <v>53591.9</v>
      </c>
      <c r="AL8" s="516">
        <v>51530.6</v>
      </c>
      <c r="AM8" s="516">
        <v>53104.57</v>
      </c>
      <c r="AN8" s="516">
        <v>51314.81</v>
      </c>
      <c r="AO8" s="516">
        <v>54108.37</v>
      </c>
    </row>
    <row r="9" ht="15.75" customHeight="1">
      <c r="A9" s="183" t="s">
        <v>3727</v>
      </c>
      <c r="B9" s="183" t="s">
        <v>1654</v>
      </c>
      <c r="C9" s="511">
        <v>1.093663E7</v>
      </c>
      <c r="D9" s="319" t="s">
        <v>18</v>
      </c>
      <c r="E9" s="93" t="s">
        <v>29</v>
      </c>
      <c r="F9" s="512" t="s">
        <v>704</v>
      </c>
      <c r="G9" s="513" t="s">
        <v>3635</v>
      </c>
      <c r="H9" s="51" t="s">
        <v>147</v>
      </c>
      <c r="I9" s="51" t="s">
        <v>219</v>
      </c>
      <c r="J9" s="319" t="str">
        <f t="shared" si="1"/>
        <v>Não</v>
      </c>
      <c r="K9" s="455">
        <v>45034.0</v>
      </c>
      <c r="L9" s="45"/>
      <c r="M9" s="443" t="s">
        <v>55</v>
      </c>
      <c r="N9" s="458">
        <v>0.007</v>
      </c>
      <c r="O9" s="95" t="s">
        <v>24</v>
      </c>
      <c r="P9" s="168">
        <v>0.0</v>
      </c>
      <c r="Q9" s="224"/>
      <c r="R9" s="50"/>
      <c r="S9" s="45" t="s">
        <v>108</v>
      </c>
      <c r="T9" s="514" t="s">
        <v>1656</v>
      </c>
      <c r="U9" s="13" t="s">
        <v>29</v>
      </c>
      <c r="V9" s="515" t="str">
        <f t="shared" si="2"/>
        <v>Ativo</v>
      </c>
      <c r="W9" s="45"/>
      <c r="X9" s="24" t="s">
        <v>119</v>
      </c>
      <c r="Y9" s="45"/>
      <c r="Z9" s="171">
        <v>0.0</v>
      </c>
      <c r="AA9" s="171">
        <v>0.0</v>
      </c>
      <c r="AB9" s="171">
        <v>644965.12</v>
      </c>
      <c r="AC9" s="496">
        <v>652129.16</v>
      </c>
      <c r="AD9" s="496">
        <v>658117.34</v>
      </c>
      <c r="AE9" s="171">
        <v>664387.5</v>
      </c>
      <c r="AF9" s="171">
        <v>664387.5</v>
      </c>
      <c r="AG9" s="171">
        <v>0.0</v>
      </c>
      <c r="AH9" s="171">
        <v>0.0</v>
      </c>
      <c r="AI9" s="516">
        <v>0.0</v>
      </c>
      <c r="AJ9" s="171"/>
      <c r="AK9" s="516">
        <v>0.0</v>
      </c>
      <c r="AL9" s="516">
        <v>0.0</v>
      </c>
      <c r="AM9" s="516"/>
      <c r="AN9" s="516">
        <v>0.0</v>
      </c>
      <c r="AO9" s="516">
        <v>0.0</v>
      </c>
    </row>
    <row r="10" ht="15.75" customHeight="1">
      <c r="A10" s="183" t="s">
        <v>3727</v>
      </c>
      <c r="B10" s="183" t="s">
        <v>1654</v>
      </c>
      <c r="C10" s="511">
        <v>1.0944986E7</v>
      </c>
      <c r="D10" s="319" t="s">
        <v>18</v>
      </c>
      <c r="E10" s="93" t="s">
        <v>29</v>
      </c>
      <c r="F10" s="512" t="s">
        <v>704</v>
      </c>
      <c r="G10" s="513" t="s">
        <v>3635</v>
      </c>
      <c r="H10" s="51" t="s">
        <v>147</v>
      </c>
      <c r="I10" s="51" t="s">
        <v>219</v>
      </c>
      <c r="J10" s="319" t="str">
        <f t="shared" si="1"/>
        <v>Não</v>
      </c>
      <c r="K10" s="455">
        <v>45000.0</v>
      </c>
      <c r="L10" s="45"/>
      <c r="M10" s="457" t="s">
        <v>190</v>
      </c>
      <c r="N10" s="458">
        <v>0.015</v>
      </c>
      <c r="O10" s="95" t="s">
        <v>24</v>
      </c>
      <c r="P10" s="168">
        <v>0.0</v>
      </c>
      <c r="Q10" s="224"/>
      <c r="R10" s="109" t="s">
        <v>3741</v>
      </c>
      <c r="S10" s="45" t="s">
        <v>108</v>
      </c>
      <c r="T10" s="514" t="s">
        <v>1656</v>
      </c>
      <c r="U10" s="13" t="s">
        <v>29</v>
      </c>
      <c r="V10" s="515" t="str">
        <f t="shared" si="2"/>
        <v>Ativo</v>
      </c>
      <c r="W10" s="45"/>
      <c r="X10" s="24" t="s">
        <v>119</v>
      </c>
      <c r="Y10" s="45"/>
      <c r="Z10" s="171">
        <v>1461495.56</v>
      </c>
      <c r="AA10" s="171">
        <v>4576147.96</v>
      </c>
      <c r="AB10" s="171">
        <v>5238742.95</v>
      </c>
      <c r="AC10" s="496">
        <v>6535939.62</v>
      </c>
      <c r="AD10" s="496">
        <v>6374183.58</v>
      </c>
      <c r="AE10" s="171">
        <v>6619418.11</v>
      </c>
      <c r="AF10" s="171">
        <v>6619418.11</v>
      </c>
      <c r="AG10" s="171">
        <v>5546929.13</v>
      </c>
      <c r="AH10" s="171">
        <v>6012373.24</v>
      </c>
      <c r="AI10" s="171">
        <v>6324709.05</v>
      </c>
      <c r="AJ10" s="516">
        <v>5894011.05</v>
      </c>
      <c r="AK10" s="516">
        <v>0.0</v>
      </c>
      <c r="AL10" s="516">
        <v>0.0</v>
      </c>
      <c r="AM10" s="516"/>
      <c r="AN10" s="516">
        <v>0.0</v>
      </c>
      <c r="AO10" s="516">
        <v>0.0</v>
      </c>
    </row>
    <row r="11" ht="15.75" customHeight="1">
      <c r="A11" s="183" t="s">
        <v>3727</v>
      </c>
      <c r="B11" s="183" t="s">
        <v>3252</v>
      </c>
      <c r="C11" s="511">
        <v>1.1071318E7</v>
      </c>
      <c r="D11" s="319" t="s">
        <v>18</v>
      </c>
      <c r="E11" s="93" t="s">
        <v>29</v>
      </c>
      <c r="F11" s="512" t="s">
        <v>60</v>
      </c>
      <c r="G11" s="513" t="s">
        <v>3635</v>
      </c>
      <c r="H11" s="46" t="s">
        <v>107</v>
      </c>
      <c r="I11" s="46" t="s">
        <v>24</v>
      </c>
      <c r="J11" s="319" t="str">
        <f t="shared" si="1"/>
        <v>Não</v>
      </c>
      <c r="K11" s="455">
        <v>45218.0</v>
      </c>
      <c r="L11" s="45"/>
      <c r="M11" s="457" t="s">
        <v>79</v>
      </c>
      <c r="N11" s="458">
        <v>0.012</v>
      </c>
      <c r="O11" s="95" t="s">
        <v>24</v>
      </c>
      <c r="P11" s="168">
        <v>0.0</v>
      </c>
      <c r="Q11" s="224"/>
      <c r="R11" s="111"/>
      <c r="S11" s="45" t="s">
        <v>108</v>
      </c>
      <c r="T11" s="514" t="s">
        <v>3254</v>
      </c>
      <c r="U11" s="13" t="s">
        <v>29</v>
      </c>
      <c r="V11" s="515" t="str">
        <f t="shared" si="2"/>
        <v>Ativo</v>
      </c>
      <c r="W11" s="45"/>
      <c r="X11" s="24" t="s">
        <v>119</v>
      </c>
      <c r="Y11" s="45"/>
      <c r="Z11" s="171">
        <v>0.0</v>
      </c>
      <c r="AA11" s="171">
        <v>0.0</v>
      </c>
      <c r="AB11" s="171">
        <v>0.0</v>
      </c>
      <c r="AC11" s="496">
        <v>0.0</v>
      </c>
      <c r="AD11" s="496">
        <v>0.0</v>
      </c>
      <c r="AE11" s="171">
        <v>0.0</v>
      </c>
      <c r="AF11" s="171">
        <v>0.0</v>
      </c>
      <c r="AG11" s="171">
        <v>199581.68</v>
      </c>
      <c r="AH11" s="171">
        <v>286308.63</v>
      </c>
      <c r="AI11" s="171">
        <v>341173.07</v>
      </c>
      <c r="AJ11" s="516">
        <v>339524.4</v>
      </c>
      <c r="AK11" s="516">
        <v>351764.39</v>
      </c>
      <c r="AL11" s="516">
        <v>354294.16</v>
      </c>
      <c r="AM11" s="516">
        <v>352174.69</v>
      </c>
      <c r="AN11" s="516">
        <v>344753.74</v>
      </c>
      <c r="AO11" s="516">
        <v>353876.67</v>
      </c>
    </row>
    <row r="12" ht="15.75" customHeight="1">
      <c r="A12" s="183" t="s">
        <v>3727</v>
      </c>
      <c r="B12" s="183" t="s">
        <v>1678</v>
      </c>
      <c r="C12" s="511" t="s">
        <v>3742</v>
      </c>
      <c r="D12" s="319" t="s">
        <v>18</v>
      </c>
      <c r="E12" s="93" t="s">
        <v>29</v>
      </c>
      <c r="F12" s="512" t="s">
        <v>168</v>
      </c>
      <c r="G12" s="513" t="s">
        <v>3635</v>
      </c>
      <c r="H12" s="46" t="s">
        <v>147</v>
      </c>
      <c r="I12" s="46" t="s">
        <v>24</v>
      </c>
      <c r="J12" s="319" t="str">
        <f t="shared" si="1"/>
        <v>Sim</v>
      </c>
      <c r="K12" s="528">
        <v>44994.0</v>
      </c>
      <c r="L12" s="45"/>
      <c r="M12" s="443" t="s">
        <v>55</v>
      </c>
      <c r="N12" s="458">
        <v>0.012</v>
      </c>
      <c r="O12" s="95" t="s">
        <v>24</v>
      </c>
      <c r="P12" s="168">
        <v>0.0</v>
      </c>
      <c r="Q12" s="224" t="s">
        <v>3743</v>
      </c>
      <c r="R12" s="50"/>
      <c r="S12" s="45" t="s">
        <v>108</v>
      </c>
      <c r="T12" s="514" t="s">
        <v>1681</v>
      </c>
      <c r="U12" s="13" t="s">
        <v>29</v>
      </c>
      <c r="V12" s="515" t="str">
        <f t="shared" si="2"/>
        <v>Ativo</v>
      </c>
      <c r="W12" s="45"/>
      <c r="X12" s="24" t="s">
        <v>119</v>
      </c>
      <c r="Y12" s="45"/>
      <c r="Z12" s="171">
        <v>0.0</v>
      </c>
      <c r="AA12" s="171">
        <v>89034.5</v>
      </c>
      <c r="AB12" s="171">
        <v>63466.98</v>
      </c>
      <c r="AC12" s="496">
        <v>64106.84</v>
      </c>
      <c r="AD12" s="496">
        <v>117004.67</v>
      </c>
      <c r="AE12" s="171">
        <v>0.0</v>
      </c>
      <c r="AF12" s="171">
        <v>0.0</v>
      </c>
      <c r="AG12" s="171">
        <v>0.0</v>
      </c>
      <c r="AH12" s="171">
        <v>0.0</v>
      </c>
      <c r="AI12" s="516">
        <v>0.0</v>
      </c>
      <c r="AJ12" s="516">
        <v>0.0</v>
      </c>
      <c r="AK12" s="516">
        <v>0.0</v>
      </c>
      <c r="AL12" s="516">
        <v>0.0</v>
      </c>
      <c r="AM12" s="516"/>
      <c r="AN12" s="516">
        <v>0.0</v>
      </c>
      <c r="AO12" s="516">
        <v>0.0</v>
      </c>
    </row>
    <row r="13" ht="15.75" customHeight="1">
      <c r="A13" s="183" t="s">
        <v>3727</v>
      </c>
      <c r="B13" s="183" t="s">
        <v>3357</v>
      </c>
      <c r="C13" s="511">
        <v>1.1026371E7</v>
      </c>
      <c r="D13" s="319" t="s">
        <v>18</v>
      </c>
      <c r="E13" s="93" t="s">
        <v>29</v>
      </c>
      <c r="F13" s="512" t="s">
        <v>704</v>
      </c>
      <c r="G13" s="513" t="s">
        <v>3635</v>
      </c>
      <c r="H13" s="46" t="s">
        <v>107</v>
      </c>
      <c r="I13" s="46" t="s">
        <v>24</v>
      </c>
      <c r="J13" s="319" t="str">
        <f t="shared" si="1"/>
        <v>Sim</v>
      </c>
      <c r="K13" s="455">
        <v>45034.0</v>
      </c>
      <c r="L13" s="62"/>
      <c r="M13" s="457" t="s">
        <v>47</v>
      </c>
      <c r="N13" s="458">
        <v>0.015</v>
      </c>
      <c r="O13" s="95" t="s">
        <v>48</v>
      </c>
      <c r="P13" s="168">
        <v>0.1</v>
      </c>
      <c r="Q13" s="532" t="s">
        <v>3744</v>
      </c>
      <c r="R13" s="473"/>
      <c r="S13" s="45" t="s">
        <v>108</v>
      </c>
      <c r="T13" s="514" t="s">
        <v>3360</v>
      </c>
      <c r="U13" s="13" t="s">
        <v>19</v>
      </c>
      <c r="V13" s="515" t="str">
        <f t="shared" si="2"/>
        <v>Ativo</v>
      </c>
      <c r="W13" s="45"/>
      <c r="X13" s="24" t="s">
        <v>119</v>
      </c>
      <c r="Y13" s="45"/>
      <c r="Z13" s="171">
        <v>0.0</v>
      </c>
      <c r="AA13" s="171">
        <v>615914.71</v>
      </c>
      <c r="AB13" s="171">
        <v>889929.82</v>
      </c>
      <c r="AC13" s="496">
        <v>1101862.14</v>
      </c>
      <c r="AD13" s="496">
        <v>1321354.89</v>
      </c>
      <c r="AE13" s="171">
        <v>1513218.96</v>
      </c>
      <c r="AF13" s="171">
        <v>1513218.96</v>
      </c>
      <c r="AG13" s="171">
        <v>1663065.8</v>
      </c>
      <c r="AH13" s="171">
        <v>1729871.97</v>
      </c>
      <c r="AI13" s="171">
        <v>1801117.42</v>
      </c>
      <c r="AJ13" s="516">
        <v>1820821.24</v>
      </c>
      <c r="AK13" s="516">
        <v>1920257.67</v>
      </c>
      <c r="AL13" s="516">
        <v>1953987.43</v>
      </c>
      <c r="AM13" s="516">
        <v>1966087.2</v>
      </c>
      <c r="AN13" s="516">
        <v>1963578.27</v>
      </c>
      <c r="AO13" s="516">
        <v>2054426.64</v>
      </c>
    </row>
    <row r="14" ht="15.75" customHeight="1">
      <c r="A14" s="183" t="s">
        <v>3727</v>
      </c>
      <c r="B14" s="526" t="s">
        <v>3745</v>
      </c>
      <c r="C14" s="140" t="s">
        <v>3746</v>
      </c>
      <c r="D14" s="319" t="s">
        <v>18</v>
      </c>
      <c r="E14" s="93" t="s">
        <v>29</v>
      </c>
      <c r="F14" s="512" t="s">
        <v>373</v>
      </c>
      <c r="G14" s="513" t="s">
        <v>3635</v>
      </c>
      <c r="H14" s="46" t="s">
        <v>107</v>
      </c>
      <c r="I14" s="46" t="s">
        <v>24</v>
      </c>
      <c r="J14" s="319" t="str">
        <f t="shared" si="1"/>
        <v>Não</v>
      </c>
      <c r="K14" s="455">
        <v>45140.0</v>
      </c>
      <c r="L14" s="72"/>
      <c r="M14" s="457" t="s">
        <v>47</v>
      </c>
      <c r="N14" s="458">
        <v>0.0075</v>
      </c>
      <c r="O14" s="95" t="s">
        <v>48</v>
      </c>
      <c r="P14" s="168">
        <v>0.1</v>
      </c>
      <c r="Q14" s="224"/>
      <c r="R14" s="50"/>
      <c r="S14" s="45" t="s">
        <v>108</v>
      </c>
      <c r="T14" s="529" t="s">
        <v>3747</v>
      </c>
      <c r="U14" s="13" t="s">
        <v>29</v>
      </c>
      <c r="V14" s="515" t="str">
        <f t="shared" si="2"/>
        <v>Ativo</v>
      </c>
      <c r="W14" s="45"/>
      <c r="X14" s="24" t="s">
        <v>119</v>
      </c>
      <c r="Y14" s="45"/>
      <c r="Z14" s="171">
        <v>0.0</v>
      </c>
      <c r="AA14" s="171">
        <v>0.0</v>
      </c>
      <c r="AB14" s="171">
        <v>0.0</v>
      </c>
      <c r="AC14" s="496">
        <v>0.0</v>
      </c>
      <c r="AD14" s="496">
        <v>0.0</v>
      </c>
      <c r="AE14" s="171">
        <v>263655.83</v>
      </c>
      <c r="AF14" s="171">
        <v>263655.83</v>
      </c>
      <c r="AG14" s="171">
        <v>267440.57</v>
      </c>
      <c r="AH14" s="171">
        <v>268433.12</v>
      </c>
      <c r="AI14" s="171">
        <v>244659.18</v>
      </c>
      <c r="AJ14" s="516">
        <v>694886.38</v>
      </c>
      <c r="AK14" s="516">
        <v>587497.11</v>
      </c>
      <c r="AL14" s="516">
        <v>590314.88</v>
      </c>
      <c r="AM14" s="516">
        <v>585690.14</v>
      </c>
      <c r="AN14" s="516">
        <v>580238.8</v>
      </c>
      <c r="AO14" s="516">
        <v>483957.19</v>
      </c>
    </row>
    <row r="15" ht="15.75" customHeight="1">
      <c r="A15" s="183" t="s">
        <v>3727</v>
      </c>
      <c r="B15" s="183" t="s">
        <v>3748</v>
      </c>
      <c r="C15" s="533" t="s">
        <v>3749</v>
      </c>
      <c r="D15" s="319" t="s">
        <v>18</v>
      </c>
      <c r="E15" s="93" t="s">
        <v>29</v>
      </c>
      <c r="F15" s="512" t="s">
        <v>2605</v>
      </c>
      <c r="G15" s="513" t="s">
        <v>3635</v>
      </c>
      <c r="H15" s="46" t="s">
        <v>107</v>
      </c>
      <c r="I15" s="46" t="s">
        <v>24</v>
      </c>
      <c r="J15" s="319" t="str">
        <f t="shared" si="1"/>
        <v>Sim</v>
      </c>
      <c r="K15" s="455">
        <v>45034.0</v>
      </c>
      <c r="L15" s="45"/>
      <c r="M15" s="457" t="s">
        <v>190</v>
      </c>
      <c r="N15" s="458">
        <v>0.025</v>
      </c>
      <c r="O15" s="95" t="s">
        <v>191</v>
      </c>
      <c r="P15" s="168">
        <v>0.2</v>
      </c>
      <c r="Q15" s="60" t="s">
        <v>3750</v>
      </c>
      <c r="R15" s="50"/>
      <c r="S15" s="45" t="s">
        <v>108</v>
      </c>
      <c r="T15" s="514" t="s">
        <v>3751</v>
      </c>
      <c r="U15" s="13" t="s">
        <v>791</v>
      </c>
      <c r="V15" s="515" t="str">
        <f t="shared" si="2"/>
        <v>Ativo</v>
      </c>
      <c r="W15" s="45"/>
      <c r="X15" s="24" t="s">
        <v>119</v>
      </c>
      <c r="Y15" s="45"/>
      <c r="Z15" s="171">
        <v>0.0</v>
      </c>
      <c r="AA15" s="171">
        <v>99252.84</v>
      </c>
      <c r="AB15" s="171">
        <v>100131.37</v>
      </c>
      <c r="AC15" s="496">
        <v>62123.55</v>
      </c>
      <c r="AD15" s="496">
        <v>101584.21</v>
      </c>
      <c r="AE15" s="171">
        <v>119103.4</v>
      </c>
      <c r="AF15" s="171">
        <v>119103.4</v>
      </c>
      <c r="AG15" s="171">
        <v>116763.74</v>
      </c>
      <c r="AH15" s="171">
        <v>114838.65</v>
      </c>
      <c r="AI15" s="171">
        <v>121019.09</v>
      </c>
      <c r="AJ15" s="516">
        <v>112512.3</v>
      </c>
      <c r="AK15" s="516">
        <v>114201.06</v>
      </c>
      <c r="AL15" s="516">
        <v>113840.62</v>
      </c>
      <c r="AM15" s="516">
        <v>82997.16</v>
      </c>
      <c r="AN15" s="516">
        <v>54734.54</v>
      </c>
      <c r="AO15" s="516">
        <v>40836.21</v>
      </c>
    </row>
    <row r="16" ht="15.75" customHeight="1">
      <c r="A16" s="506"/>
      <c r="B16" s="506"/>
      <c r="C16" s="534"/>
      <c r="D16" s="490"/>
      <c r="E16" s="490"/>
      <c r="F16" s="478"/>
      <c r="G16" s="478"/>
      <c r="H16" s="275"/>
      <c r="I16" s="275"/>
      <c r="J16" s="275"/>
      <c r="K16" s="479"/>
      <c r="L16" s="479"/>
      <c r="M16" s="478"/>
      <c r="N16" s="480"/>
      <c r="O16" s="480"/>
      <c r="P16" s="481"/>
      <c r="Q16" s="482"/>
      <c r="R16" s="482"/>
      <c r="S16" s="478"/>
      <c r="T16" s="506"/>
      <c r="U16" s="478"/>
      <c r="V16" s="478"/>
      <c r="W16" s="479"/>
      <c r="X16" s="479"/>
      <c r="Y16" s="479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5"/>
      <c r="B17" s="536" t="s">
        <v>2533</v>
      </c>
      <c r="C17" s="537">
        <f>COUNTIF(H:H,"Ativo")</f>
        <v>9</v>
      </c>
      <c r="D17" s="478"/>
      <c r="E17" s="478"/>
      <c r="F17" s="478"/>
      <c r="G17" s="478"/>
      <c r="H17" s="478"/>
      <c r="I17" s="478"/>
      <c r="J17" s="478"/>
      <c r="K17" s="479"/>
      <c r="L17" s="479"/>
      <c r="M17" s="478"/>
      <c r="N17" s="480"/>
      <c r="O17" s="480"/>
      <c r="P17" s="481"/>
      <c r="Q17" s="482"/>
      <c r="R17" s="482"/>
      <c r="S17" s="478"/>
      <c r="T17" s="538"/>
      <c r="U17" s="478"/>
      <c r="V17" s="478"/>
      <c r="W17" s="479"/>
      <c r="X17" s="479"/>
      <c r="Y17" s="479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9"/>
      <c r="B18" s="540" t="s">
        <v>2534</v>
      </c>
      <c r="C18" s="541">
        <f>COUNTIF(H:H,"Inativo")</f>
        <v>4</v>
      </c>
      <c r="D18" s="488"/>
      <c r="E18" s="488"/>
      <c r="F18" s="489"/>
      <c r="G18" s="489"/>
      <c r="H18" s="490"/>
      <c r="I18" s="490"/>
      <c r="J18" s="490"/>
      <c r="K18" s="491"/>
      <c r="L18" s="492"/>
      <c r="M18" s="490"/>
      <c r="N18" s="480"/>
      <c r="O18" s="480"/>
      <c r="P18" s="481"/>
      <c r="Q18" s="482"/>
      <c r="R18" s="482"/>
      <c r="S18" s="478"/>
      <c r="T18" s="538"/>
      <c r="U18" s="478"/>
      <c r="V18" s="478"/>
      <c r="W18" s="492"/>
      <c r="X18" s="492"/>
      <c r="Y18" s="49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9"/>
      <c r="B19" s="540" t="s">
        <v>2535</v>
      </c>
      <c r="C19" s="541">
        <f>COUNTIF(H:H,"Encerrado")</f>
        <v>0</v>
      </c>
      <c r="D19" s="488"/>
      <c r="E19" s="488"/>
      <c r="F19" s="489"/>
      <c r="G19" s="489"/>
      <c r="H19" s="490"/>
      <c r="I19" s="490"/>
      <c r="J19" s="490"/>
      <c r="K19" s="542"/>
      <c r="L19" s="492"/>
      <c r="M19" s="490"/>
      <c r="N19" s="480"/>
      <c r="O19" s="480"/>
      <c r="P19" s="481"/>
      <c r="Q19" s="482"/>
      <c r="R19" s="482"/>
      <c r="S19" s="478"/>
      <c r="T19" s="538"/>
      <c r="U19" s="478"/>
      <c r="V19" s="478"/>
      <c r="W19" s="492"/>
      <c r="X19" s="492"/>
      <c r="Y19" s="49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3"/>
      <c r="B20" s="544" t="s">
        <v>2536</v>
      </c>
      <c r="C20" s="545">
        <f>COUNTIF(H:H,"Pode Operar")</f>
        <v>0</v>
      </c>
      <c r="D20" s="488"/>
      <c r="E20" s="488"/>
      <c r="F20" s="489"/>
      <c r="G20" s="489"/>
      <c r="H20" s="490"/>
      <c r="I20" s="490"/>
      <c r="J20" s="490"/>
      <c r="K20" s="491"/>
      <c r="L20" s="492"/>
      <c r="M20" s="490"/>
      <c r="N20" s="480"/>
      <c r="O20" s="480"/>
      <c r="P20" s="481"/>
      <c r="Q20" s="482"/>
      <c r="R20" s="482"/>
      <c r="S20" s="478"/>
      <c r="T20" s="538"/>
      <c r="U20" s="478"/>
      <c r="V20" s="478"/>
      <c r="W20" s="492"/>
      <c r="X20" s="492"/>
      <c r="Y20" s="492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8"/>
      <c r="B21" s="508"/>
      <c r="C21" s="507"/>
      <c r="D21" s="488"/>
      <c r="E21" s="488"/>
      <c r="F21" s="505"/>
      <c r="G21" s="505"/>
      <c r="H21" s="490"/>
      <c r="I21" s="490"/>
      <c r="J21" s="490"/>
      <c r="K21" s="491"/>
      <c r="L21" s="479"/>
      <c r="M21" s="478"/>
      <c r="N21" s="480"/>
      <c r="O21" s="480"/>
      <c r="P21" s="481"/>
      <c r="Q21" s="482"/>
      <c r="R21" s="482"/>
      <c r="S21" s="478"/>
      <c r="T21" s="508"/>
      <c r="U21" s="478"/>
      <c r="V21" s="478"/>
      <c r="W21" s="479"/>
      <c r="X21" s="479"/>
      <c r="Y21" s="479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6"/>
      <c r="B22" s="506"/>
      <c r="C22" s="507"/>
      <c r="D22" s="488"/>
      <c r="E22" s="488"/>
      <c r="F22" s="489"/>
      <c r="G22" s="489"/>
      <c r="H22" s="490"/>
      <c r="I22" s="490"/>
      <c r="J22" s="490"/>
      <c r="K22" s="491"/>
      <c r="L22" s="479"/>
      <c r="M22" s="478"/>
      <c r="N22" s="480"/>
      <c r="O22" s="480"/>
      <c r="P22" s="481"/>
      <c r="Q22" s="482"/>
      <c r="R22" s="482"/>
      <c r="S22" s="478"/>
      <c r="T22" s="506"/>
      <c r="U22" s="478"/>
      <c r="V22" s="478"/>
      <c r="W22" s="479"/>
      <c r="X22" s="479"/>
      <c r="Y22" s="479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8"/>
      <c r="B23" s="508"/>
      <c r="C23" s="507"/>
      <c r="D23" s="488"/>
      <c r="E23" s="488"/>
      <c r="F23" s="489"/>
      <c r="G23" s="489"/>
      <c r="H23" s="490"/>
      <c r="I23" s="490"/>
      <c r="J23" s="490"/>
      <c r="K23" s="491"/>
      <c r="L23" s="492"/>
      <c r="M23" s="490"/>
      <c r="N23" s="480"/>
      <c r="O23" s="480"/>
      <c r="P23" s="481"/>
      <c r="Q23" s="482"/>
      <c r="R23" s="482"/>
      <c r="S23" s="478"/>
      <c r="T23" s="508"/>
      <c r="U23" s="478"/>
      <c r="V23" s="478"/>
      <c r="W23" s="492"/>
      <c r="X23" s="492"/>
      <c r="Y23" s="492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8"/>
      <c r="B24" s="508"/>
      <c r="C24" s="507"/>
      <c r="D24" s="488"/>
      <c r="E24" s="488"/>
      <c r="F24" s="489"/>
      <c r="G24" s="489"/>
      <c r="H24" s="490"/>
      <c r="I24" s="490"/>
      <c r="J24" s="490"/>
      <c r="K24" s="491"/>
      <c r="L24" s="479"/>
      <c r="M24" s="478"/>
      <c r="N24" s="480"/>
      <c r="O24" s="480"/>
      <c r="P24" s="481"/>
      <c r="Q24" s="482"/>
      <c r="R24" s="482"/>
      <c r="S24" s="478"/>
      <c r="T24" s="508"/>
      <c r="U24" s="478"/>
      <c r="V24" s="478"/>
      <c r="W24" s="479"/>
      <c r="X24" s="479"/>
      <c r="Y24" s="479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8"/>
      <c r="B25" s="508"/>
      <c r="C25" s="507"/>
      <c r="D25" s="488"/>
      <c r="E25" s="488"/>
      <c r="F25" s="489"/>
      <c r="G25" s="489"/>
      <c r="H25" s="490"/>
      <c r="I25" s="490"/>
      <c r="J25" s="490"/>
      <c r="K25" s="491"/>
      <c r="L25" s="492"/>
      <c r="M25" s="490"/>
      <c r="N25" s="480"/>
      <c r="O25" s="480"/>
      <c r="P25" s="481"/>
      <c r="Q25" s="482"/>
      <c r="R25" s="482"/>
      <c r="S25" s="478"/>
      <c r="T25" s="508"/>
      <c r="U25" s="478"/>
      <c r="V25" s="478"/>
      <c r="W25" s="492"/>
      <c r="X25" s="492"/>
      <c r="Y25" s="492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8"/>
      <c r="B26" s="508"/>
      <c r="C26" s="507"/>
      <c r="D26" s="488"/>
      <c r="E26" s="488"/>
      <c r="F26" s="489"/>
      <c r="G26" s="489"/>
      <c r="H26" s="490"/>
      <c r="I26" s="490"/>
      <c r="J26" s="490"/>
      <c r="K26" s="491"/>
      <c r="L26" s="479"/>
      <c r="M26" s="478"/>
      <c r="N26" s="480"/>
      <c r="O26" s="480"/>
      <c r="P26" s="481"/>
      <c r="Q26" s="482"/>
      <c r="R26" s="482"/>
      <c r="S26" s="478"/>
      <c r="T26" s="508"/>
      <c r="U26" s="478"/>
      <c r="V26" s="478"/>
      <c r="W26" s="479"/>
      <c r="X26" s="479"/>
      <c r="Y26" s="479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8"/>
      <c r="B27" s="508"/>
      <c r="C27" s="507"/>
      <c r="D27" s="488"/>
      <c r="E27" s="488"/>
      <c r="F27" s="489"/>
      <c r="G27" s="489"/>
      <c r="H27" s="490"/>
      <c r="I27" s="490"/>
      <c r="J27" s="490"/>
      <c r="K27" s="492"/>
      <c r="L27" s="492"/>
      <c r="M27" s="490"/>
      <c r="N27" s="480"/>
      <c r="O27" s="480"/>
      <c r="P27" s="481"/>
      <c r="Q27" s="482"/>
      <c r="R27" s="482"/>
      <c r="S27" s="478"/>
      <c r="T27" s="508"/>
      <c r="U27" s="478"/>
      <c r="V27" s="478"/>
      <c r="W27" s="492"/>
      <c r="X27" s="492"/>
      <c r="Y27" s="492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8"/>
      <c r="B28" s="508"/>
      <c r="C28" s="507"/>
      <c r="D28" s="488"/>
      <c r="E28" s="488"/>
      <c r="F28" s="489"/>
      <c r="G28" s="489"/>
      <c r="H28" s="490"/>
      <c r="I28" s="490"/>
      <c r="J28" s="490"/>
      <c r="K28" s="491"/>
      <c r="L28" s="492"/>
      <c r="M28" s="490"/>
      <c r="N28" s="480"/>
      <c r="O28" s="480"/>
      <c r="P28" s="481"/>
      <c r="Q28" s="482"/>
      <c r="R28" s="482"/>
      <c r="S28" s="478"/>
      <c r="T28" s="508"/>
      <c r="U28" s="478"/>
      <c r="V28" s="478"/>
      <c r="W28" s="492"/>
      <c r="X28" s="492"/>
      <c r="Y28" s="492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08D8628B-0391-401E-8541-E619E5D1C521}" filter="1" showAutoFilter="1">
      <autoFilter ref="$D$2:$F$28"/>
    </customSheetView>
    <customSheetView guid="{2C570B30-E496-48AB-880D-A8BFB9D9CC25}" filter="1" showAutoFilter="1">
      <autoFilter ref="$B$2:$AD$28"/>
    </customSheetView>
    <customSheetView guid="{B8A853D5-7798-4D28-8F1A-12FAA0502223}" filter="1" showAutoFilter="1">
      <autoFilter ref="$D$2:$AC$28"/>
    </customSheetView>
    <customSheetView guid="{368E1FB8-A388-41E2-8745-99814610ED1D}" filter="1" showAutoFilter="1">
      <autoFilter ref="$D$2:$F$28"/>
    </customSheetView>
    <customSheetView guid="{93649D97-0246-4A99-85BE-DDB9B45A1123}" filter="1" showAutoFilter="1">
      <autoFilter ref="$D$2:$AC$28"/>
    </customSheetView>
    <customSheetView guid="{8596839A-D596-42C2-9694-EB0B4B1E00CA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DD7C9E2-2292-4CA9-9D54-6DB837E5D79F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0DE29AA8-A065-4C1F-96D4-EA94F5C88C6F}" filter="1" showAutoFilter="1">
      <autoFilter ref="$E$2:$F$28"/>
    </customSheetView>
    <customSheetView guid="{7696A896-DA7B-4BCF-8F35-60E2EA48F19A}" filter="1" showAutoFilter="1">
      <autoFilter ref="$AD$2:$AD$28"/>
    </customSheetView>
    <customSheetView guid="{CCAA395F-B7AE-40E3-9A48-35D53FA4C242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203CFD03-B588-4CE1-B45A-B66FC78144D3}" filter="1" showAutoFilter="1">
      <autoFilter ref="$F$2:$F$28"/>
    </customSheetView>
    <customSheetView guid="{7116B13B-1593-49E0-8822-D288A8A506B5}" filter="1" showAutoFilter="1">
      <autoFilter ref="$B$2:$AA$16"/>
    </customSheetView>
    <customSheetView guid="{424A57B6-17E1-4DCA-AE69-B7F6B870FE48}" filter="1" showAutoFilter="1">
      <autoFilter ref="$B$2:$AD$15"/>
    </customSheetView>
    <customSheetView guid="{527816A2-4B9B-45A3-8053-6B2C2E9D6D5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8AE4EC0-D8EA-4FC9-B21B-43589401B177}" filter="1" showAutoFilter="1">
      <autoFilter ref="$B$2:$AD$15"/>
    </customSheetView>
    <customSheetView guid="{7072D128-9EA6-4728-A634-81E48BE183B9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0630ED3-C60B-4E90-B253-7BB4E3CEC8F1}" filter="1" showAutoFilter="1">
      <autoFilter ref="$B$2:$AD$15"/>
    </customSheetView>
    <customSheetView guid="{D994380C-DC42-4D10-B92D-DD6A46C0BCE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7C9AAB0-0B99-46F9-8089-D57269F3B169}" filter="1" showAutoFilter="1">
      <autoFilter ref="$B$2:$AD$15"/>
    </customSheetView>
    <customSheetView guid="{5D55A992-373B-4D0F-A016-4436D4DC168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DF567FA-14CE-4DE8-B839-12BA79204493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EBE105E8-56E8-4505-B28E-67C2CC303C0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C64D1DF-F9E6-41EC-A890-6C4BDAEAA33D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806863C-61C7-4C39-A9C0-4CEDC4F750D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81DB2FB-8DBF-4E3A-B758-305FD7FEA09C}" filter="1" showAutoFilter="1">
      <autoFilter ref="$B$2:$AC$28"/>
    </customSheetView>
    <customSheetView guid="{D4668A8E-9B32-4C23-98AE-F6C439C33CD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5C80CFB-B622-4464-936A-672870383AD5}" filter="1" showAutoFilter="1">
      <autoFilter ref="$B$2:$AA$16"/>
    </customSheetView>
    <customSheetView guid="{4F918789-E6EC-4FDC-A4F2-F77B8A664208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1B2EE39D-5AF7-4367-B877-1CE29A8BF146}" filter="1" showAutoFilter="1">
      <autoFilter ref="$B$2:$AC$16"/>
    </customSheetView>
    <customSheetView guid="{D46EE40F-F813-42C1-BCBB-7E3CE76BEF6A}" filter="1" showAutoFilter="1">
      <autoFilter ref="$D$2:$F$28"/>
    </customSheetView>
    <customSheetView guid="{E13C4A8D-7CD6-4E07-A1F1-DA6D79223014}" filter="1" showAutoFilter="1">
      <autoFilter ref="$B$2:$AC$16">
        <sortState ref="B2:AC16">
          <sortCondition ref="B2:B16"/>
        </sortState>
      </autoFilter>
    </customSheetView>
    <customSheetView guid="{B8D7389D-EA13-45B6-A864-F4E0128C606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47B45DE-C83F-4A7C-8B39-135BE9D9DA5A}" filter="1" showAutoFilter="1">
      <autoFilter ref="$B$2:$AA$16"/>
    </customSheetView>
    <customSheetView guid="{E4D65EE7-8307-4FA6-802F-84511C17C5BA}" filter="1" showAutoFilter="1">
      <autoFilter ref="$K$2:$K$28"/>
    </customSheetView>
    <customSheetView guid="{B37ED8BD-A081-4587-B9D7-F0165E145E89}" filter="1" showAutoFilter="1">
      <autoFilter ref="$AD$2:$AD$28"/>
    </customSheetView>
    <customSheetView guid="{9DD7283C-19A8-4365-853C-187FE31A095B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F8A4E44-D465-4B96-B6A0-15E8BA187261}" filter="1" showAutoFilter="1">
      <autoFilter ref="$M$2:$M$28">
        <filterColumn colId="0">
          <filters>
            <filter val="CON"/>
          </filters>
        </filterColumn>
      </autoFilter>
    </customSheetView>
    <customSheetView guid="{6BD601B2-B813-4770-9558-9A9BF894111C}" filter="1" showAutoFilter="1">
      <autoFilter ref="$D$2:$F$28"/>
    </customSheetView>
    <customSheetView guid="{0A28620A-A772-4E99-864E-56FAB5CC1494}" filter="1" showAutoFilter="1">
      <autoFilter ref="$M$2:$O$28"/>
    </customSheetView>
    <customSheetView guid="{8EF56468-1A36-43B5-A416-398A33762E5C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8FD0294-0BF4-44EE-8184-397C77AA4C4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54D44DF-3139-400C-8D16-F0861529D2A4}" filter="1" showAutoFilter="1">
      <autoFilter ref="$B$2:$AC$16"/>
    </customSheetView>
    <customSheetView guid="{195AA3C8-95D2-4D35-B94E-2D77426CB4B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FEA9777-B900-416B-87B5-6A916F50D15D}" filter="1" showAutoFilter="1">
      <autoFilter ref="$AB$2:$AB$28"/>
    </customSheetView>
    <customSheetView guid="{80591A99-46B9-4F94-B0C2-B94E874E67D6}" filter="1" showAutoFilter="1">
      <autoFilter ref="$B$2:$AD$15"/>
    </customSheetView>
    <customSheetView guid="{13C62020-787E-4841-8A7B-CE905996EBE9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807BCDEA-6B95-434C-81E7-0B3CE4ECB2DF}" filter="1" showAutoFilter="1">
      <autoFilter ref="$B$2:$AC$16"/>
    </customSheetView>
    <customSheetView guid="{F5088339-4517-40AA-8AA0-9770E7964E8D}" filter="1" showAutoFilter="1">
      <autoFilter ref="$B$2:$AD$15"/>
    </customSheetView>
    <customSheetView guid="{6733F935-C852-47D5-98BD-8140433034FA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894E2DB-6D88-41B9-B0FD-BB12B1149442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249DC8AA-ACA6-4B9C-A07F-AB9BD6C0EE3A}" filter="1" showAutoFilter="1">
      <autoFilter ref="$B$2:$AA$16"/>
    </customSheetView>
    <customSheetView guid="{B1A2AC4A-C64C-414F-87A6-C08D5FF9589C}" filter="1" showAutoFilter="1">
      <autoFilter ref="$B$2:$AA$16"/>
    </customSheetView>
    <customSheetView guid="{9A44EB57-E979-44EC-97BB-83D26FF83971}" filter="1" showAutoFilter="1">
      <autoFilter ref="$B$2:$AD$15"/>
    </customSheetView>
    <customSheetView guid="{A740F4B9-955A-48E7-803D-91BAA0B9B916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EE1FF9EE-17F4-4E10-A930-20801D66BC0D}" filter="1" showAutoFilter="1">
      <autoFilter ref="$B$2:$AA$16"/>
    </customSheetView>
    <customSheetView guid="{C4A2D276-8F5F-4095-B7C9-226D4DB300B0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47EEB22-2913-4543-9148-09809BEE786D}" filter="1" showAutoFilter="1">
      <autoFilter ref="$B$2:$AC$16"/>
    </customSheetView>
    <customSheetView guid="{50A705E5-6084-4A14-9446-A8F5C19216DC}" filter="1" showAutoFilter="1">
      <autoFilter ref="$B$2:$Q$15">
        <filterColumn colId="13">
          <filters/>
        </filterColumn>
      </autoFilter>
    </customSheetView>
    <customSheetView guid="{6B781031-E317-408B-AA3E-BBA15CAB4E3F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90D1CE9-2DD8-4EF7-AB3F-AA9D15B4852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F9BBF74-3EB1-4F1E-8AB9-3B8870336168}" filter="1" showAutoFilter="1">
      <autoFilter ref="$B$2:$AE$15">
        <filterColumn colId="2">
          <filters/>
        </filterColumn>
      </autoFilter>
    </customSheetView>
    <customSheetView guid="{0BAC67E8-67C6-4D67-9245-65AC284F29C8}" filter="1" showAutoFilter="1">
      <autoFilter ref="$K$2:$K$28"/>
    </customSheetView>
    <customSheetView guid="{9C06E5C7-F415-4312-B81A-EAA4F6A09DCB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82</v>
      </c>
      <c r="C1" s="26"/>
      <c r="D1" s="26"/>
      <c r="E1" s="26"/>
      <c r="F1" s="26"/>
      <c r="G1" s="28" t="s">
        <v>83</v>
      </c>
      <c r="H1" s="28" t="s">
        <v>84</v>
      </c>
      <c r="J1" s="26" t="s">
        <v>82</v>
      </c>
      <c r="Q1" s="428" t="s">
        <v>2538</v>
      </c>
      <c r="R1" s="429" t="s">
        <v>2537</v>
      </c>
      <c r="S1" s="30" t="s">
        <v>85</v>
      </c>
      <c r="Y1" s="30"/>
      <c r="Z1" s="31" t="s">
        <v>86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87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88</v>
      </c>
      <c r="H2" s="2" t="s">
        <v>89</v>
      </c>
      <c r="I2" s="1" t="s">
        <v>90</v>
      </c>
      <c r="J2" s="2" t="s">
        <v>91</v>
      </c>
      <c r="K2" s="34" t="s">
        <v>92</v>
      </c>
      <c r="L2" s="34" t="s">
        <v>93</v>
      </c>
      <c r="M2" s="34" t="s">
        <v>9</v>
      </c>
      <c r="N2" s="36" t="s">
        <v>94</v>
      </c>
      <c r="O2" s="3" t="s">
        <v>95</v>
      </c>
      <c r="P2" s="37" t="s">
        <v>12</v>
      </c>
      <c r="Q2" s="4" t="s">
        <v>96</v>
      </c>
      <c r="R2" s="4" t="s">
        <v>97</v>
      </c>
      <c r="S2" s="2" t="s">
        <v>98</v>
      </c>
      <c r="T2" s="313" t="s">
        <v>38</v>
      </c>
      <c r="U2" s="34" t="s">
        <v>39</v>
      </c>
      <c r="V2" s="1" t="s">
        <v>99</v>
      </c>
      <c r="W2" s="3" t="s">
        <v>40</v>
      </c>
      <c r="X2" s="3" t="s">
        <v>100</v>
      </c>
      <c r="Y2" s="1" t="s">
        <v>101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6" t="s">
        <v>3752</v>
      </c>
      <c r="B3" s="526" t="s">
        <v>1980</v>
      </c>
      <c r="C3" s="140" t="s">
        <v>3753</v>
      </c>
      <c r="D3" s="319" t="s">
        <v>105</v>
      </c>
      <c r="E3" s="93" t="s">
        <v>29</v>
      </c>
      <c r="F3" s="546" t="s">
        <v>106</v>
      </c>
      <c r="G3" s="547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3" t="s">
        <v>107</v>
      </c>
      <c r="I3" s="46" t="s">
        <v>24</v>
      </c>
      <c r="J3" s="319" t="str">
        <f t="shared" ref="J3:J4" si="1">IF(Q3=0,"Não","Sim")</f>
        <v>Não</v>
      </c>
      <c r="K3" s="455">
        <v>45147.0</v>
      </c>
      <c r="L3" s="45"/>
      <c r="M3" s="459" t="s">
        <v>269</v>
      </c>
      <c r="N3" s="458">
        <v>0.01</v>
      </c>
      <c r="O3" s="95" t="s">
        <v>24</v>
      </c>
      <c r="P3" s="168">
        <v>0.0</v>
      </c>
      <c r="Q3" s="224"/>
      <c r="R3" s="60"/>
      <c r="S3" s="45" t="s">
        <v>108</v>
      </c>
      <c r="T3" s="220" t="s">
        <v>1982</v>
      </c>
      <c r="U3" s="95" t="s">
        <v>29</v>
      </c>
      <c r="V3" s="548" t="str">
        <f t="shared" ref="V3:V4" si="2">IFS(H:H="Encerrado","Encerrado",SUM(Z3:AJ3)&lt;=0,"Inativo",SUM(Z3:AJ3)&gt;0,"Ativo")</f>
        <v>Ativo</v>
      </c>
      <c r="W3" s="45"/>
      <c r="X3" s="45"/>
      <c r="Y3" s="45"/>
      <c r="Z3" s="171">
        <v>0.0</v>
      </c>
      <c r="AA3" s="171">
        <v>0.0</v>
      </c>
      <c r="AB3" s="171">
        <v>0.0</v>
      </c>
      <c r="AC3" s="496">
        <v>0.0</v>
      </c>
      <c r="AD3" s="496">
        <v>0.0</v>
      </c>
      <c r="AE3" s="171">
        <v>228609.33</v>
      </c>
      <c r="AF3" s="171">
        <v>476415.19</v>
      </c>
      <c r="AG3" s="171">
        <v>481666.56</v>
      </c>
      <c r="AH3" s="171">
        <v>484162.48</v>
      </c>
      <c r="AI3" s="171">
        <v>490258.74</v>
      </c>
      <c r="AJ3" s="516">
        <v>491139.54</v>
      </c>
      <c r="AK3" s="516">
        <v>494882.51</v>
      </c>
      <c r="AL3" s="516">
        <v>495576.06</v>
      </c>
      <c r="AM3" s="516">
        <v>494772.11</v>
      </c>
      <c r="AN3" s="516">
        <v>496894.54</v>
      </c>
      <c r="AO3" s="516">
        <v>496874.88</v>
      </c>
    </row>
    <row r="4" ht="15.75" customHeight="1">
      <c r="A4" s="526" t="s">
        <v>3752</v>
      </c>
      <c r="B4" s="526" t="s">
        <v>3754</v>
      </c>
      <c r="C4" s="549">
        <v>6574040.0</v>
      </c>
      <c r="D4" s="319" t="s">
        <v>18</v>
      </c>
      <c r="E4" s="93" t="s">
        <v>19</v>
      </c>
      <c r="F4" s="547" t="s">
        <v>20</v>
      </c>
      <c r="G4" s="547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3" t="s">
        <v>107</v>
      </c>
      <c r="I4" s="46" t="s">
        <v>24</v>
      </c>
      <c r="J4" s="319" t="str">
        <f t="shared" si="1"/>
        <v>Não</v>
      </c>
      <c r="K4" s="550">
        <v>45035.0</v>
      </c>
      <c r="L4" s="45"/>
      <c r="M4" s="445" t="s">
        <v>47</v>
      </c>
      <c r="N4" s="444">
        <v>0.015</v>
      </c>
      <c r="O4" s="95" t="s">
        <v>48</v>
      </c>
      <c r="P4" s="168">
        <v>0.1</v>
      </c>
      <c r="Q4" s="224"/>
      <c r="R4" s="224" t="s">
        <v>3755</v>
      </c>
      <c r="S4" s="45" t="s">
        <v>108</v>
      </c>
      <c r="T4" s="220" t="s">
        <v>2442</v>
      </c>
      <c r="U4" s="13" t="s">
        <v>19</v>
      </c>
      <c r="V4" s="548" t="str">
        <f t="shared" si="2"/>
        <v>Ativo</v>
      </c>
      <c r="W4" s="45"/>
      <c r="X4" s="45"/>
      <c r="Y4" s="45"/>
      <c r="Z4" s="171">
        <v>0.0</v>
      </c>
      <c r="AA4" s="171">
        <v>0.0</v>
      </c>
      <c r="AB4" s="171">
        <v>132492.79</v>
      </c>
      <c r="AC4" s="496">
        <v>134743.56</v>
      </c>
      <c r="AD4" s="496">
        <v>136144.6</v>
      </c>
      <c r="AE4" s="171">
        <v>192907.97</v>
      </c>
      <c r="AF4" s="171">
        <v>309196.34</v>
      </c>
      <c r="AG4" s="171">
        <v>312854.22</v>
      </c>
      <c r="AH4" s="171">
        <v>317287.32</v>
      </c>
      <c r="AI4" s="171">
        <v>130675.4</v>
      </c>
      <c r="AJ4" s="516">
        <v>90712.68</v>
      </c>
      <c r="AK4" s="516">
        <v>89283.42</v>
      </c>
      <c r="AL4" s="516">
        <v>0.0</v>
      </c>
      <c r="AM4" s="516">
        <v>0.0</v>
      </c>
      <c r="AN4" s="516">
        <v>0.0</v>
      </c>
      <c r="AO4" s="516">
        <v>0.0</v>
      </c>
    </row>
    <row r="5" ht="15.75" customHeight="1">
      <c r="A5" s="506"/>
      <c r="B5" s="506"/>
      <c r="C5" s="534"/>
      <c r="D5" s="490"/>
      <c r="E5" s="490"/>
      <c r="F5" s="478"/>
      <c r="G5" s="478"/>
      <c r="H5" s="275"/>
      <c r="I5" s="275"/>
      <c r="J5" s="275"/>
      <c r="K5" s="479"/>
      <c r="L5" s="479"/>
      <c r="M5" s="478"/>
      <c r="N5" s="480"/>
      <c r="O5" s="480"/>
      <c r="P5" s="481"/>
      <c r="Q5" s="482"/>
      <c r="R5" s="482"/>
      <c r="S5" s="478"/>
      <c r="T5" s="506"/>
      <c r="U5" s="478"/>
      <c r="V5" s="478"/>
      <c r="W5" s="479"/>
      <c r="X5" s="479"/>
      <c r="Y5" s="479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5"/>
      <c r="B6" s="536" t="s">
        <v>2533</v>
      </c>
      <c r="C6" s="537">
        <f>COUNTIF(H:H,"Ativo")</f>
        <v>2</v>
      </c>
      <c r="D6" s="478"/>
      <c r="E6" s="478"/>
      <c r="F6" s="478"/>
      <c r="G6" s="478"/>
      <c r="H6" s="478"/>
      <c r="I6" s="478"/>
      <c r="J6" s="478"/>
      <c r="K6" s="479"/>
      <c r="L6" s="479"/>
      <c r="M6" s="478"/>
      <c r="N6" s="480"/>
      <c r="O6" s="480"/>
      <c r="P6" s="481"/>
      <c r="Q6" s="482"/>
      <c r="R6" s="482"/>
      <c r="S6" s="478"/>
      <c r="T6" s="536"/>
      <c r="U6" s="478"/>
      <c r="V6" s="478"/>
      <c r="W6" s="479"/>
      <c r="X6" s="479"/>
      <c r="Y6" s="479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9"/>
      <c r="B7" s="540" t="s">
        <v>2534</v>
      </c>
      <c r="C7" s="541">
        <f>COUNTIF(H:H,"Inativo")</f>
        <v>0</v>
      </c>
      <c r="D7" s="488"/>
      <c r="E7" s="488"/>
      <c r="F7" s="489"/>
      <c r="G7" s="489"/>
      <c r="H7" s="490"/>
      <c r="I7" s="490"/>
      <c r="J7" s="490"/>
      <c r="K7" s="491"/>
      <c r="L7" s="492"/>
      <c r="M7" s="490"/>
      <c r="N7" s="480"/>
      <c r="O7" s="480"/>
      <c r="P7" s="481"/>
      <c r="Q7" s="482"/>
      <c r="R7" s="482"/>
      <c r="S7" s="478"/>
      <c r="T7" s="540"/>
      <c r="U7" s="478"/>
      <c r="V7" s="478"/>
      <c r="W7" s="492"/>
      <c r="X7" s="492"/>
      <c r="Y7" s="492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9"/>
      <c r="B8" s="540" t="s">
        <v>2535</v>
      </c>
      <c r="C8" s="541">
        <f>COUNTIF(H:H,"Encerrado")</f>
        <v>0</v>
      </c>
      <c r="D8" s="488"/>
      <c r="E8" s="488"/>
      <c r="F8" s="489"/>
      <c r="G8" s="489"/>
      <c r="H8" s="490"/>
      <c r="I8" s="490"/>
      <c r="J8" s="490"/>
      <c r="K8" s="491"/>
      <c r="L8" s="492"/>
      <c r="M8" s="490"/>
      <c r="N8" s="480"/>
      <c r="O8" s="480"/>
      <c r="P8" s="481"/>
      <c r="Q8" s="482"/>
      <c r="R8" s="482"/>
      <c r="S8" s="478"/>
      <c r="T8" s="540"/>
      <c r="U8" s="478"/>
      <c r="V8" s="478"/>
      <c r="W8" s="492"/>
      <c r="X8" s="492"/>
      <c r="Y8" s="492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3"/>
      <c r="B9" s="544" t="s">
        <v>2536</v>
      </c>
      <c r="C9" s="545">
        <f>COUNTIF(H:H,"Pode Operar")</f>
        <v>0</v>
      </c>
      <c r="D9" s="488"/>
      <c r="E9" s="488"/>
      <c r="F9" s="489"/>
      <c r="G9" s="489"/>
      <c r="H9" s="490"/>
      <c r="I9" s="490"/>
      <c r="J9" s="490"/>
      <c r="K9" s="491"/>
      <c r="L9" s="492"/>
      <c r="M9" s="490"/>
      <c r="N9" s="480"/>
      <c r="O9" s="480"/>
      <c r="P9" s="481"/>
      <c r="Q9" s="482"/>
      <c r="R9" s="482"/>
      <c r="S9" s="478"/>
      <c r="T9" s="544"/>
      <c r="U9" s="478"/>
      <c r="V9" s="478"/>
      <c r="W9" s="492"/>
      <c r="X9" s="492"/>
      <c r="Y9" s="492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8"/>
      <c r="B10" s="508"/>
      <c r="C10" s="507"/>
      <c r="D10" s="488"/>
      <c r="E10" s="488"/>
      <c r="F10" s="505"/>
      <c r="G10" s="505"/>
      <c r="H10" s="490"/>
      <c r="I10" s="490"/>
      <c r="J10" s="490"/>
      <c r="K10" s="491"/>
      <c r="L10" s="479"/>
      <c r="M10" s="478"/>
      <c r="N10" s="480"/>
      <c r="O10" s="480"/>
      <c r="P10" s="481"/>
      <c r="Q10" s="482"/>
      <c r="R10" s="482"/>
      <c r="S10" s="478"/>
      <c r="T10" s="508"/>
      <c r="U10" s="478"/>
      <c r="V10" s="478"/>
      <c r="W10" s="479"/>
      <c r="X10" s="479"/>
      <c r="Y10" s="479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6"/>
      <c r="B11" s="506"/>
      <c r="C11" s="507"/>
      <c r="D11" s="488"/>
      <c r="E11" s="488"/>
      <c r="F11" s="489"/>
      <c r="G11" s="489"/>
      <c r="H11" s="490"/>
      <c r="I11" s="490"/>
      <c r="J11" s="490"/>
      <c r="K11" s="491"/>
      <c r="L11" s="479"/>
      <c r="M11" s="478"/>
      <c r="N11" s="480"/>
      <c r="O11" s="480"/>
      <c r="P11" s="481"/>
      <c r="Q11" s="482"/>
      <c r="R11" s="482"/>
      <c r="S11" s="478"/>
      <c r="T11" s="506"/>
      <c r="U11" s="478"/>
      <c r="V11" s="478"/>
      <c r="W11" s="479"/>
      <c r="X11" s="479"/>
      <c r="Y11" s="479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8"/>
      <c r="B12" s="508"/>
      <c r="C12" s="507"/>
      <c r="D12" s="488"/>
      <c r="E12" s="488"/>
      <c r="F12" s="489"/>
      <c r="G12" s="489"/>
      <c r="H12" s="490"/>
      <c r="I12" s="490"/>
      <c r="J12" s="490"/>
      <c r="K12" s="491"/>
      <c r="L12" s="492"/>
      <c r="M12" s="490"/>
      <c r="N12" s="480"/>
      <c r="O12" s="480"/>
      <c r="P12" s="481"/>
      <c r="Q12" s="482"/>
      <c r="R12" s="482"/>
      <c r="S12" s="478"/>
      <c r="T12" s="508"/>
      <c r="U12" s="478"/>
      <c r="V12" s="478"/>
      <c r="W12" s="492"/>
      <c r="X12" s="492"/>
      <c r="Y12" s="492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8"/>
      <c r="B13" s="508"/>
      <c r="C13" s="507"/>
      <c r="D13" s="488"/>
      <c r="E13" s="488"/>
      <c r="F13" s="489"/>
      <c r="G13" s="489"/>
      <c r="H13" s="490"/>
      <c r="I13" s="490"/>
      <c r="J13" s="490"/>
      <c r="K13" s="491"/>
      <c r="L13" s="479"/>
      <c r="M13" s="478"/>
      <c r="N13" s="480"/>
      <c r="O13" s="480"/>
      <c r="P13" s="481"/>
      <c r="Q13" s="482"/>
      <c r="R13" s="482"/>
      <c r="S13" s="478"/>
      <c r="T13" s="508"/>
      <c r="U13" s="478"/>
      <c r="V13" s="478"/>
      <c r="W13" s="479"/>
      <c r="X13" s="479"/>
      <c r="Y13" s="479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8"/>
      <c r="B14" s="508"/>
      <c r="C14" s="507"/>
      <c r="D14" s="488"/>
      <c r="E14" s="488"/>
      <c r="F14" s="489"/>
      <c r="G14" s="489"/>
      <c r="H14" s="490"/>
      <c r="I14" s="490"/>
      <c r="J14" s="490"/>
      <c r="K14" s="491"/>
      <c r="L14" s="492"/>
      <c r="M14" s="490"/>
      <c r="N14" s="480"/>
      <c r="O14" s="480"/>
      <c r="P14" s="481"/>
      <c r="Q14" s="482"/>
      <c r="R14" s="482"/>
      <c r="S14" s="478"/>
      <c r="T14" s="508"/>
      <c r="U14" s="478"/>
      <c r="V14" s="478"/>
      <c r="W14" s="492"/>
      <c r="X14" s="492"/>
      <c r="Y14" s="492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8"/>
      <c r="B15" s="508"/>
      <c r="C15" s="507"/>
      <c r="D15" s="488"/>
      <c r="E15" s="488"/>
      <c r="F15" s="489"/>
      <c r="G15" s="489"/>
      <c r="H15" s="490"/>
      <c r="I15" s="490"/>
      <c r="J15" s="490"/>
      <c r="K15" s="491"/>
      <c r="L15" s="479"/>
      <c r="M15" s="478"/>
      <c r="N15" s="480"/>
      <c r="O15" s="480"/>
      <c r="P15" s="481"/>
      <c r="Q15" s="482"/>
      <c r="R15" s="482"/>
      <c r="S15" s="478"/>
      <c r="T15" s="508"/>
      <c r="U15" s="478"/>
      <c r="V15" s="478"/>
      <c r="W15" s="479"/>
      <c r="X15" s="479"/>
      <c r="Y15" s="479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8"/>
      <c r="B16" s="508"/>
      <c r="C16" s="507"/>
      <c r="D16" s="488"/>
      <c r="E16" s="488"/>
      <c r="F16" s="489"/>
      <c r="G16" s="489"/>
      <c r="H16" s="490"/>
      <c r="I16" s="490"/>
      <c r="J16" s="490"/>
      <c r="K16" s="492"/>
      <c r="L16" s="492"/>
      <c r="M16" s="490"/>
      <c r="N16" s="480"/>
      <c r="O16" s="480"/>
      <c r="P16" s="481"/>
      <c r="Q16" s="482"/>
      <c r="R16" s="482"/>
      <c r="S16" s="478"/>
      <c r="T16" s="508"/>
      <c r="U16" s="478"/>
      <c r="V16" s="478"/>
      <c r="W16" s="492"/>
      <c r="X16" s="492"/>
      <c r="Y16" s="492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8"/>
      <c r="B17" s="508"/>
      <c r="C17" s="507"/>
      <c r="D17" s="488"/>
      <c r="E17" s="488"/>
      <c r="F17" s="489"/>
      <c r="G17" s="489"/>
      <c r="H17" s="490"/>
      <c r="I17" s="490"/>
      <c r="J17" s="490"/>
      <c r="K17" s="491"/>
      <c r="L17" s="492"/>
      <c r="M17" s="490"/>
      <c r="N17" s="480"/>
      <c r="O17" s="480"/>
      <c r="P17" s="481"/>
      <c r="Q17" s="482"/>
      <c r="R17" s="482"/>
      <c r="S17" s="478"/>
      <c r="T17" s="508"/>
      <c r="U17" s="478"/>
      <c r="V17" s="478"/>
      <c r="W17" s="492"/>
      <c r="X17" s="492"/>
      <c r="Y17" s="492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6"/>
      <c r="B18" s="506"/>
      <c r="C18" s="551"/>
      <c r="D18" s="552"/>
      <c r="E18" s="552"/>
      <c r="F18" s="490"/>
      <c r="G18" s="490"/>
      <c r="H18" s="490"/>
      <c r="I18" s="490"/>
      <c r="J18" s="490"/>
      <c r="K18" s="492"/>
      <c r="L18" s="553"/>
      <c r="M18" s="552"/>
      <c r="N18" s="480"/>
      <c r="O18" s="480"/>
      <c r="P18" s="481"/>
      <c r="Q18" s="482"/>
      <c r="R18" s="482"/>
      <c r="S18" s="478"/>
      <c r="T18" s="506"/>
      <c r="U18" s="478"/>
      <c r="V18" s="478"/>
      <c r="W18" s="553"/>
      <c r="X18" s="553"/>
      <c r="Y18" s="553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6"/>
      <c r="B19" s="506"/>
      <c r="C19" s="507"/>
      <c r="D19" s="489"/>
      <c r="E19" s="489"/>
      <c r="F19" s="489"/>
      <c r="G19" s="489"/>
      <c r="H19" s="478"/>
      <c r="I19" s="478"/>
      <c r="J19" s="478"/>
      <c r="K19" s="491"/>
      <c r="L19" s="554"/>
      <c r="M19" s="555"/>
      <c r="N19" s="480"/>
      <c r="O19" s="480"/>
      <c r="P19" s="481"/>
      <c r="Q19" s="482"/>
      <c r="R19" s="482"/>
      <c r="S19" s="478"/>
      <c r="T19" s="506"/>
      <c r="U19" s="478"/>
      <c r="V19" s="478"/>
      <c r="W19" s="554"/>
      <c r="X19" s="554"/>
      <c r="Y19" s="554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6"/>
      <c r="B20" s="506"/>
      <c r="C20" s="478"/>
      <c r="D20" s="478"/>
      <c r="E20" s="478"/>
      <c r="F20" s="478"/>
      <c r="G20" s="478"/>
      <c r="H20" s="478"/>
      <c r="I20" s="478"/>
      <c r="J20" s="478"/>
      <c r="K20" s="479"/>
      <c r="L20" s="479"/>
      <c r="M20" s="478"/>
      <c r="N20" s="480"/>
      <c r="O20" s="480"/>
      <c r="P20" s="481"/>
      <c r="Q20" s="482"/>
      <c r="R20" s="482"/>
      <c r="S20" s="478"/>
      <c r="T20" s="506"/>
      <c r="U20" s="478"/>
      <c r="V20" s="478"/>
      <c r="W20" s="479"/>
      <c r="X20" s="479"/>
      <c r="Y20" s="479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6"/>
    </row>
    <row r="22" ht="15.75" customHeight="1">
      <c r="V22" s="556"/>
    </row>
    <row r="23" ht="15.75" customHeight="1">
      <c r="V23" s="556"/>
    </row>
    <row r="24" ht="15.75" customHeight="1">
      <c r="V24" s="556"/>
    </row>
    <row r="25" ht="15.75" customHeight="1">
      <c r="V25" s="556"/>
    </row>
    <row r="26" ht="15.75" customHeight="1">
      <c r="V26" s="556"/>
    </row>
    <row r="27" ht="15.75" customHeight="1">
      <c r="V27" s="556"/>
    </row>
    <row r="28" ht="15.75" customHeight="1">
      <c r="V28" s="556"/>
    </row>
    <row r="29" ht="15.75" customHeight="1">
      <c r="V29" s="556"/>
    </row>
    <row r="30" ht="15.75" customHeight="1">
      <c r="V30" s="556"/>
    </row>
    <row r="31" ht="15.75" customHeight="1">
      <c r="V31" s="556"/>
    </row>
    <row r="32" ht="15.75" customHeight="1">
      <c r="V32" s="556"/>
    </row>
    <row r="33" ht="15.75" customHeight="1">
      <c r="V33" s="556"/>
    </row>
    <row r="34" ht="15.75" customHeight="1">
      <c r="V34" s="556"/>
    </row>
    <row r="35" ht="15.75" customHeight="1">
      <c r="V35" s="556"/>
    </row>
    <row r="36" ht="15.75" customHeight="1">
      <c r="V36" s="556"/>
    </row>
    <row r="37" ht="15.75" customHeight="1">
      <c r="V37" s="556"/>
    </row>
    <row r="38" ht="15.75" customHeight="1">
      <c r="V38" s="556"/>
    </row>
    <row r="39" ht="15.75" customHeight="1">
      <c r="V39" s="556"/>
    </row>
    <row r="40" ht="15.75" customHeight="1">
      <c r="V40" s="556"/>
    </row>
    <row r="41" ht="15.75" customHeight="1">
      <c r="V41" s="556"/>
    </row>
    <row r="42" ht="15.75" customHeight="1">
      <c r="V42" s="556"/>
    </row>
    <row r="43" ht="15.75" customHeight="1">
      <c r="V43" s="556"/>
    </row>
    <row r="44" ht="15.75" customHeight="1">
      <c r="V44" s="556"/>
    </row>
    <row r="45" ht="15.75" customHeight="1">
      <c r="V45" s="556"/>
    </row>
    <row r="46" ht="15.75" customHeight="1">
      <c r="V46" s="556"/>
    </row>
    <row r="47" ht="15.75" customHeight="1">
      <c r="V47" s="556"/>
    </row>
    <row r="48" ht="15.75" customHeight="1">
      <c r="V48" s="556"/>
    </row>
    <row r="49" ht="15.75" customHeight="1">
      <c r="V49" s="556"/>
    </row>
    <row r="50" ht="15.75" customHeight="1">
      <c r="V50" s="556"/>
    </row>
    <row r="51" ht="15.75" customHeight="1">
      <c r="V51" s="556"/>
    </row>
    <row r="52" ht="15.75" customHeight="1">
      <c r="V52" s="556"/>
    </row>
    <row r="53" ht="15.75" customHeight="1">
      <c r="V53" s="556"/>
    </row>
    <row r="54" ht="15.75" customHeight="1">
      <c r="V54" s="556"/>
    </row>
    <row r="55" ht="15.75" customHeight="1">
      <c r="V55" s="556"/>
    </row>
    <row r="56" ht="15.75" customHeight="1">
      <c r="V56" s="556"/>
    </row>
    <row r="57" ht="15.75" customHeight="1">
      <c r="V57" s="556"/>
    </row>
    <row r="58" ht="15.75" customHeight="1">
      <c r="V58" s="556"/>
    </row>
    <row r="59" ht="15.75" customHeight="1">
      <c r="V59" s="556"/>
    </row>
    <row r="60" ht="15.75" customHeight="1">
      <c r="V60" s="556"/>
    </row>
    <row r="61" ht="15.75" customHeight="1">
      <c r="V61" s="556"/>
    </row>
    <row r="62" ht="15.75" customHeight="1">
      <c r="V62" s="556"/>
    </row>
    <row r="63" ht="15.75" customHeight="1">
      <c r="V63" s="556"/>
    </row>
    <row r="64" ht="15.75" customHeight="1">
      <c r="V64" s="556"/>
    </row>
    <row r="65" ht="15.75" customHeight="1">
      <c r="V65" s="556"/>
    </row>
    <row r="66" ht="15.75" customHeight="1">
      <c r="V66" s="556"/>
    </row>
    <row r="67" ht="15.75" customHeight="1">
      <c r="V67" s="556"/>
    </row>
    <row r="68" ht="15.75" customHeight="1">
      <c r="V68" s="556"/>
    </row>
    <row r="69" ht="15.75" customHeight="1">
      <c r="V69" s="556"/>
    </row>
    <row r="70" ht="15.75" customHeight="1">
      <c r="V70" s="556"/>
    </row>
    <row r="71" ht="15.75" customHeight="1">
      <c r="V71" s="556"/>
    </row>
    <row r="72" ht="15.75" customHeight="1">
      <c r="V72" s="556"/>
    </row>
    <row r="73" ht="15.75" customHeight="1">
      <c r="V73" s="556"/>
    </row>
    <row r="74" ht="15.75" customHeight="1">
      <c r="V74" s="556"/>
    </row>
    <row r="75" ht="15.75" customHeight="1">
      <c r="V75" s="556"/>
    </row>
    <row r="76" ht="15.75" customHeight="1">
      <c r="V76" s="556"/>
    </row>
    <row r="77" ht="15.75" customHeight="1">
      <c r="V77" s="556"/>
    </row>
    <row r="78" ht="15.75" customHeight="1">
      <c r="V78" s="556"/>
    </row>
    <row r="79" ht="15.75" customHeight="1">
      <c r="V79" s="556"/>
    </row>
    <row r="80" ht="15.75" customHeight="1">
      <c r="V80" s="556"/>
    </row>
    <row r="81" ht="15.75" customHeight="1">
      <c r="V81" s="556"/>
    </row>
    <row r="82" ht="15.75" customHeight="1">
      <c r="V82" s="556"/>
    </row>
    <row r="83" ht="15.75" customHeight="1">
      <c r="V83" s="556"/>
    </row>
    <row r="84" ht="15.75" customHeight="1">
      <c r="V84" s="556"/>
    </row>
    <row r="85" ht="15.75" customHeight="1">
      <c r="V85" s="556"/>
    </row>
    <row r="86" ht="15.75" customHeight="1">
      <c r="V86" s="556"/>
    </row>
    <row r="87" ht="15.75" customHeight="1">
      <c r="V87" s="556"/>
    </row>
    <row r="88" ht="15.75" customHeight="1">
      <c r="V88" s="556"/>
    </row>
    <row r="89" ht="15.75" customHeight="1">
      <c r="V89" s="556"/>
    </row>
    <row r="90" ht="15.75" customHeight="1">
      <c r="V90" s="556"/>
    </row>
    <row r="91" ht="15.75" customHeight="1">
      <c r="V91" s="556"/>
    </row>
    <row r="92" ht="15.75" customHeight="1">
      <c r="V92" s="556"/>
    </row>
    <row r="93" ht="15.75" customHeight="1">
      <c r="V93" s="556"/>
    </row>
    <row r="94" ht="15.75" customHeight="1">
      <c r="V94" s="556"/>
    </row>
    <row r="95" ht="15.75" customHeight="1">
      <c r="V95" s="556"/>
    </row>
    <row r="96" ht="15.75" customHeight="1">
      <c r="V96" s="556"/>
    </row>
    <row r="97" ht="15.75" customHeight="1">
      <c r="V97" s="556"/>
    </row>
    <row r="98" ht="15.75" customHeight="1">
      <c r="V98" s="556"/>
    </row>
    <row r="99" ht="15.75" customHeight="1">
      <c r="V99" s="556"/>
    </row>
    <row r="100" ht="15.75" customHeight="1">
      <c r="V100" s="556"/>
    </row>
    <row r="101" ht="15.75" customHeight="1">
      <c r="V101" s="556"/>
    </row>
    <row r="102" ht="15.75" customHeight="1">
      <c r="V102" s="556"/>
    </row>
    <row r="103" ht="15.75" customHeight="1">
      <c r="V103" s="556"/>
    </row>
    <row r="104" ht="15.75" customHeight="1">
      <c r="V104" s="556"/>
    </row>
    <row r="105" ht="15.75" customHeight="1">
      <c r="V105" s="556"/>
    </row>
    <row r="106" ht="15.75" customHeight="1">
      <c r="V106" s="556"/>
    </row>
    <row r="107" ht="15.75" customHeight="1">
      <c r="V107" s="556"/>
    </row>
    <row r="108" ht="15.75" customHeight="1">
      <c r="V108" s="556"/>
    </row>
    <row r="109" ht="15.75" customHeight="1">
      <c r="V109" s="556"/>
    </row>
    <row r="110" ht="15.75" customHeight="1">
      <c r="V110" s="556"/>
    </row>
    <row r="111" ht="15.75" customHeight="1">
      <c r="V111" s="556"/>
    </row>
    <row r="112" ht="15.75" customHeight="1">
      <c r="V112" s="556"/>
    </row>
    <row r="113" ht="15.75" customHeight="1">
      <c r="V113" s="556"/>
    </row>
    <row r="114" ht="15.75" customHeight="1">
      <c r="V114" s="556"/>
    </row>
    <row r="115" ht="15.75" customHeight="1">
      <c r="V115" s="556"/>
    </row>
    <row r="116" ht="15.75" customHeight="1">
      <c r="V116" s="556"/>
    </row>
    <row r="117" ht="15.75" customHeight="1">
      <c r="V117" s="556"/>
    </row>
    <row r="118" ht="15.75" customHeight="1">
      <c r="V118" s="556"/>
    </row>
    <row r="119" ht="15.75" customHeight="1">
      <c r="V119" s="556"/>
    </row>
    <row r="120" ht="15.75" customHeight="1">
      <c r="V120" s="556"/>
    </row>
    <row r="121" ht="15.75" customHeight="1">
      <c r="V121" s="556"/>
    </row>
    <row r="122" ht="15.75" customHeight="1">
      <c r="V122" s="556"/>
    </row>
    <row r="123" ht="15.75" customHeight="1">
      <c r="V123" s="556"/>
    </row>
    <row r="124" ht="15.75" customHeight="1">
      <c r="V124" s="556"/>
    </row>
    <row r="125" ht="15.75" customHeight="1">
      <c r="V125" s="556"/>
    </row>
    <row r="126" ht="15.75" customHeight="1">
      <c r="V126" s="556"/>
    </row>
    <row r="127" ht="15.75" customHeight="1">
      <c r="V127" s="556"/>
    </row>
    <row r="128" ht="15.75" customHeight="1">
      <c r="V128" s="556"/>
    </row>
    <row r="129" ht="15.75" customHeight="1">
      <c r="V129" s="556"/>
    </row>
    <row r="130" ht="15.75" customHeight="1">
      <c r="V130" s="556"/>
    </row>
    <row r="131" ht="15.75" customHeight="1">
      <c r="V131" s="556"/>
    </row>
    <row r="132" ht="15.75" customHeight="1">
      <c r="V132" s="556"/>
    </row>
    <row r="133" ht="15.75" customHeight="1">
      <c r="V133" s="556"/>
    </row>
    <row r="134" ht="15.75" customHeight="1">
      <c r="V134" s="556"/>
    </row>
    <row r="135" ht="15.75" customHeight="1">
      <c r="V135" s="556"/>
    </row>
    <row r="136" ht="15.75" customHeight="1">
      <c r="V136" s="556"/>
    </row>
    <row r="137" ht="15.75" customHeight="1">
      <c r="V137" s="556"/>
    </row>
    <row r="138" ht="15.75" customHeight="1">
      <c r="V138" s="556"/>
    </row>
    <row r="139" ht="15.75" customHeight="1">
      <c r="V139" s="556"/>
    </row>
    <row r="140" ht="15.75" customHeight="1">
      <c r="V140" s="556"/>
    </row>
    <row r="141" ht="15.75" customHeight="1">
      <c r="V141" s="556"/>
    </row>
    <row r="142" ht="15.75" customHeight="1">
      <c r="V142" s="556"/>
    </row>
    <row r="143" ht="15.75" customHeight="1">
      <c r="V143" s="556"/>
    </row>
    <row r="144" ht="15.75" customHeight="1">
      <c r="V144" s="556"/>
    </row>
    <row r="145" ht="15.75" customHeight="1">
      <c r="V145" s="556"/>
    </row>
    <row r="146" ht="15.75" customHeight="1">
      <c r="V146" s="556"/>
    </row>
    <row r="147" ht="15.75" customHeight="1">
      <c r="V147" s="556"/>
    </row>
    <row r="148" ht="15.75" customHeight="1">
      <c r="V148" s="556"/>
    </row>
    <row r="149" ht="15.75" customHeight="1">
      <c r="V149" s="556"/>
    </row>
    <row r="150" ht="15.75" customHeight="1">
      <c r="V150" s="556"/>
    </row>
    <row r="151" ht="15.75" customHeight="1">
      <c r="V151" s="556"/>
    </row>
    <row r="152" ht="15.75" customHeight="1">
      <c r="V152" s="556"/>
    </row>
    <row r="153" ht="15.75" customHeight="1">
      <c r="V153" s="556"/>
    </row>
    <row r="154" ht="15.75" customHeight="1">
      <c r="V154" s="556"/>
    </row>
    <row r="155" ht="15.75" customHeight="1">
      <c r="V155" s="556"/>
    </row>
    <row r="156" ht="15.75" customHeight="1">
      <c r="V156" s="556"/>
    </row>
    <row r="157" ht="15.75" customHeight="1">
      <c r="V157" s="556"/>
    </row>
    <row r="158" ht="15.75" customHeight="1">
      <c r="V158" s="556"/>
    </row>
    <row r="159" ht="15.75" customHeight="1">
      <c r="V159" s="556"/>
    </row>
    <row r="160" ht="15.75" customHeight="1">
      <c r="V160" s="556"/>
    </row>
    <row r="161" ht="15.75" customHeight="1">
      <c r="V161" s="556"/>
    </row>
    <row r="162" ht="15.75" customHeight="1">
      <c r="V162" s="556"/>
    </row>
    <row r="163" ht="15.75" customHeight="1">
      <c r="V163" s="556"/>
    </row>
    <row r="164" ht="15.75" customHeight="1">
      <c r="V164" s="556"/>
    </row>
    <row r="165" ht="15.75" customHeight="1">
      <c r="V165" s="556"/>
    </row>
    <row r="166" ht="15.75" customHeight="1">
      <c r="V166" s="556"/>
    </row>
    <row r="167" ht="15.75" customHeight="1">
      <c r="V167" s="556"/>
    </row>
    <row r="168" ht="15.75" customHeight="1">
      <c r="V168" s="556"/>
    </row>
    <row r="169" ht="15.75" customHeight="1">
      <c r="V169" s="556"/>
    </row>
    <row r="170" ht="15.75" customHeight="1">
      <c r="V170" s="556"/>
    </row>
    <row r="171" ht="15.75" customHeight="1">
      <c r="V171" s="556"/>
    </row>
    <row r="172" ht="15.75" customHeight="1">
      <c r="V172" s="556"/>
    </row>
    <row r="173" ht="15.75" customHeight="1">
      <c r="V173" s="556"/>
    </row>
    <row r="174" ht="15.75" customHeight="1">
      <c r="V174" s="556"/>
    </row>
    <row r="175" ht="15.75" customHeight="1">
      <c r="V175" s="556"/>
    </row>
    <row r="176" ht="15.75" customHeight="1">
      <c r="V176" s="556"/>
    </row>
    <row r="177" ht="15.75" customHeight="1">
      <c r="V177" s="556"/>
    </row>
    <row r="178" ht="15.75" customHeight="1">
      <c r="V178" s="556"/>
    </row>
    <row r="179" ht="15.75" customHeight="1">
      <c r="V179" s="556"/>
    </row>
    <row r="180" ht="15.75" customHeight="1">
      <c r="V180" s="556"/>
    </row>
    <row r="181" ht="15.75" customHeight="1">
      <c r="V181" s="556"/>
    </row>
    <row r="182" ht="15.75" customHeight="1">
      <c r="V182" s="556"/>
    </row>
    <row r="183" ht="15.75" customHeight="1">
      <c r="V183" s="556"/>
    </row>
    <row r="184" ht="15.75" customHeight="1">
      <c r="V184" s="556"/>
    </row>
    <row r="185" ht="15.75" customHeight="1">
      <c r="V185" s="556"/>
    </row>
    <row r="186" ht="15.75" customHeight="1">
      <c r="V186" s="556"/>
    </row>
    <row r="187" ht="15.75" customHeight="1">
      <c r="V187" s="556"/>
    </row>
    <row r="188" ht="15.75" customHeight="1">
      <c r="V188" s="556"/>
    </row>
    <row r="189" ht="15.75" customHeight="1">
      <c r="V189" s="556"/>
    </row>
    <row r="190" ht="15.75" customHeight="1">
      <c r="V190" s="556"/>
    </row>
    <row r="191" ht="15.75" customHeight="1">
      <c r="V191" s="556"/>
    </row>
    <row r="192" ht="15.75" customHeight="1">
      <c r="V192" s="556"/>
    </row>
    <row r="193" ht="15.75" customHeight="1">
      <c r="V193" s="556"/>
    </row>
    <row r="194" ht="15.75" customHeight="1">
      <c r="V194" s="556"/>
    </row>
    <row r="195" ht="15.75" customHeight="1">
      <c r="V195" s="556"/>
    </row>
    <row r="196" ht="15.75" customHeight="1">
      <c r="V196" s="556"/>
    </row>
    <row r="197" ht="15.75" customHeight="1">
      <c r="V197" s="556"/>
    </row>
    <row r="198" ht="15.75" customHeight="1">
      <c r="V198" s="556"/>
    </row>
    <row r="199" ht="15.75" customHeight="1">
      <c r="V199" s="556"/>
    </row>
    <row r="200" ht="15.75" customHeight="1">
      <c r="V200" s="556"/>
    </row>
    <row r="201" ht="15.75" customHeight="1">
      <c r="V201" s="556"/>
    </row>
    <row r="202" ht="15.75" customHeight="1">
      <c r="V202" s="556"/>
    </row>
    <row r="203" ht="15.75" customHeight="1">
      <c r="V203" s="556"/>
    </row>
    <row r="204" ht="15.75" customHeight="1">
      <c r="V204" s="556"/>
    </row>
    <row r="205" ht="15.75" customHeight="1">
      <c r="V205" s="556"/>
    </row>
    <row r="206" ht="15.75" customHeight="1">
      <c r="V206" s="556"/>
    </row>
    <row r="207" ht="15.75" customHeight="1">
      <c r="V207" s="556"/>
    </row>
    <row r="208" ht="15.75" customHeight="1">
      <c r="V208" s="556"/>
    </row>
    <row r="209" ht="15.75" customHeight="1">
      <c r="V209" s="556"/>
    </row>
    <row r="210" ht="15.75" customHeight="1">
      <c r="V210" s="556"/>
    </row>
    <row r="211" ht="15.75" customHeight="1">
      <c r="V211" s="556"/>
    </row>
    <row r="212" ht="15.75" customHeight="1">
      <c r="V212" s="556"/>
    </row>
    <row r="213" ht="15.75" customHeight="1">
      <c r="V213" s="556"/>
    </row>
    <row r="214" ht="15.75" customHeight="1">
      <c r="V214" s="556"/>
    </row>
    <row r="215" ht="15.75" customHeight="1">
      <c r="V215" s="556"/>
    </row>
    <row r="216" ht="15.75" customHeight="1">
      <c r="V216" s="556"/>
    </row>
    <row r="217" ht="15.75" customHeight="1">
      <c r="V217" s="556"/>
    </row>
    <row r="218" ht="15.75" customHeight="1">
      <c r="V218" s="556"/>
    </row>
    <row r="219" ht="15.75" customHeight="1">
      <c r="V219" s="556"/>
    </row>
    <row r="220" ht="15.75" customHeight="1">
      <c r="V220" s="556"/>
    </row>
    <row r="221" ht="15.75" customHeight="1">
      <c r="V221" s="556"/>
    </row>
    <row r="222" ht="15.75" customHeight="1">
      <c r="V222" s="556"/>
    </row>
    <row r="223" ht="15.75" customHeight="1">
      <c r="V223" s="556"/>
    </row>
    <row r="224" ht="15.75" customHeight="1">
      <c r="V224" s="556"/>
    </row>
    <row r="225" ht="15.75" customHeight="1">
      <c r="V225" s="556"/>
    </row>
    <row r="226" ht="15.75" customHeight="1">
      <c r="V226" s="556"/>
    </row>
    <row r="227" ht="15.75" customHeight="1">
      <c r="V227" s="556"/>
    </row>
    <row r="228" ht="15.75" customHeight="1">
      <c r="V228" s="556"/>
    </row>
    <row r="229" ht="15.75" customHeight="1">
      <c r="V229" s="556"/>
    </row>
    <row r="230" ht="15.75" customHeight="1">
      <c r="V230" s="556"/>
    </row>
    <row r="231" ht="15.75" customHeight="1">
      <c r="V231" s="556"/>
    </row>
    <row r="232" ht="15.75" customHeight="1">
      <c r="V232" s="556"/>
    </row>
    <row r="233" ht="15.75" customHeight="1">
      <c r="V233" s="556"/>
    </row>
    <row r="234" ht="15.75" customHeight="1">
      <c r="V234" s="556"/>
    </row>
    <row r="235" ht="15.75" customHeight="1">
      <c r="V235" s="556"/>
    </row>
    <row r="236" ht="15.75" customHeight="1">
      <c r="V236" s="556"/>
    </row>
    <row r="237" ht="15.75" customHeight="1">
      <c r="V237" s="556"/>
    </row>
    <row r="238" ht="15.75" customHeight="1">
      <c r="V238" s="556"/>
    </row>
    <row r="239" ht="15.75" customHeight="1">
      <c r="V239" s="556"/>
    </row>
    <row r="240" ht="15.75" customHeight="1">
      <c r="V240" s="556"/>
    </row>
    <row r="241" ht="15.75" customHeight="1">
      <c r="V241" s="556"/>
    </row>
    <row r="242" ht="15.75" customHeight="1">
      <c r="V242" s="556"/>
    </row>
    <row r="243" ht="15.75" customHeight="1">
      <c r="V243" s="556"/>
    </row>
    <row r="244" ht="15.75" customHeight="1">
      <c r="V244" s="556"/>
    </row>
    <row r="245" ht="15.75" customHeight="1">
      <c r="V245" s="556"/>
    </row>
    <row r="246" ht="15.75" customHeight="1">
      <c r="V246" s="556"/>
    </row>
    <row r="247" ht="15.75" customHeight="1">
      <c r="V247" s="556"/>
    </row>
    <row r="248" ht="15.75" customHeight="1">
      <c r="V248" s="556"/>
    </row>
    <row r="249" ht="15.75" customHeight="1">
      <c r="V249" s="556"/>
    </row>
    <row r="250" ht="15.75" customHeight="1">
      <c r="V250" s="556"/>
    </row>
    <row r="251" ht="15.75" customHeight="1">
      <c r="V251" s="556"/>
    </row>
    <row r="252" ht="15.75" customHeight="1">
      <c r="V252" s="556"/>
    </row>
    <row r="253" ht="15.75" customHeight="1">
      <c r="V253" s="556"/>
    </row>
    <row r="254" ht="15.75" customHeight="1">
      <c r="V254" s="556"/>
    </row>
    <row r="255" ht="15.75" customHeight="1">
      <c r="V255" s="556"/>
    </row>
    <row r="256" ht="15.75" customHeight="1">
      <c r="V256" s="556"/>
    </row>
    <row r="257" ht="15.75" customHeight="1">
      <c r="V257" s="556"/>
    </row>
    <row r="258" ht="15.75" customHeight="1">
      <c r="V258" s="556"/>
    </row>
    <row r="259" ht="15.75" customHeight="1">
      <c r="V259" s="556"/>
    </row>
    <row r="260" ht="15.75" customHeight="1">
      <c r="V260" s="556"/>
    </row>
    <row r="261" ht="15.75" customHeight="1">
      <c r="V261" s="556"/>
    </row>
    <row r="262" ht="15.75" customHeight="1">
      <c r="V262" s="556"/>
    </row>
    <row r="263" ht="15.75" customHeight="1">
      <c r="V263" s="556"/>
    </row>
    <row r="264" ht="15.75" customHeight="1">
      <c r="V264" s="556"/>
    </row>
    <row r="265" ht="15.75" customHeight="1">
      <c r="V265" s="556"/>
    </row>
    <row r="266" ht="15.75" customHeight="1">
      <c r="V266" s="556"/>
    </row>
    <row r="267" ht="15.75" customHeight="1">
      <c r="V267" s="556"/>
    </row>
    <row r="268" ht="15.75" customHeight="1">
      <c r="V268" s="556"/>
    </row>
    <row r="269" ht="15.75" customHeight="1">
      <c r="V269" s="556"/>
    </row>
    <row r="270" ht="15.75" customHeight="1">
      <c r="V270" s="556"/>
    </row>
    <row r="271" ht="15.75" customHeight="1">
      <c r="V271" s="556"/>
    </row>
    <row r="272" ht="15.75" customHeight="1">
      <c r="V272" s="556"/>
    </row>
    <row r="273" ht="15.75" customHeight="1">
      <c r="V273" s="556"/>
    </row>
    <row r="274" ht="15.75" customHeight="1">
      <c r="V274" s="556"/>
    </row>
    <row r="275" ht="15.75" customHeight="1">
      <c r="V275" s="556"/>
    </row>
    <row r="276" ht="15.75" customHeight="1">
      <c r="V276" s="556"/>
    </row>
    <row r="277" ht="15.75" customHeight="1">
      <c r="V277" s="556"/>
    </row>
    <row r="278" ht="15.75" customHeight="1">
      <c r="V278" s="556"/>
    </row>
    <row r="279" ht="15.75" customHeight="1">
      <c r="V279" s="556"/>
    </row>
    <row r="280" ht="15.75" customHeight="1">
      <c r="V280" s="556"/>
    </row>
    <row r="281" ht="15.75" customHeight="1">
      <c r="V281" s="556"/>
    </row>
    <row r="282" ht="15.75" customHeight="1">
      <c r="V282" s="556"/>
    </row>
    <row r="283" ht="15.75" customHeight="1">
      <c r="V283" s="556"/>
    </row>
    <row r="284" ht="15.75" customHeight="1">
      <c r="V284" s="556"/>
    </row>
    <row r="285" ht="15.75" customHeight="1">
      <c r="V285" s="556"/>
    </row>
    <row r="286" ht="15.75" customHeight="1">
      <c r="V286" s="556"/>
    </row>
    <row r="287" ht="15.75" customHeight="1">
      <c r="V287" s="556"/>
    </row>
    <row r="288" ht="15.75" customHeight="1">
      <c r="V288" s="556"/>
    </row>
    <row r="289" ht="15.75" customHeight="1">
      <c r="V289" s="556"/>
    </row>
    <row r="290" ht="15.75" customHeight="1">
      <c r="V290" s="556"/>
    </row>
    <row r="291" ht="15.75" customHeight="1">
      <c r="V291" s="556"/>
    </row>
    <row r="292" ht="15.75" customHeight="1">
      <c r="V292" s="556"/>
    </row>
    <row r="293" ht="15.75" customHeight="1">
      <c r="V293" s="556"/>
    </row>
    <row r="294" ht="15.75" customHeight="1">
      <c r="V294" s="556"/>
    </row>
    <row r="295" ht="15.75" customHeight="1">
      <c r="V295" s="556"/>
    </row>
    <row r="296" ht="15.75" customHeight="1">
      <c r="V296" s="556"/>
    </row>
    <row r="297" ht="15.75" customHeight="1">
      <c r="V297" s="556"/>
    </row>
    <row r="298" ht="15.75" customHeight="1">
      <c r="V298" s="556"/>
    </row>
    <row r="299" ht="15.75" customHeight="1">
      <c r="V299" s="556"/>
    </row>
    <row r="300" ht="15.75" customHeight="1">
      <c r="V300" s="556"/>
    </row>
    <row r="301" ht="15.75" customHeight="1">
      <c r="V301" s="556"/>
    </row>
    <row r="302" ht="15.75" customHeight="1">
      <c r="V302" s="556"/>
    </row>
    <row r="303" ht="15.75" customHeight="1">
      <c r="V303" s="556"/>
    </row>
    <row r="304" ht="15.75" customHeight="1">
      <c r="V304" s="556"/>
    </row>
    <row r="305" ht="15.75" customHeight="1">
      <c r="V305" s="556"/>
    </row>
    <row r="306" ht="15.75" customHeight="1">
      <c r="V306" s="556"/>
    </row>
    <row r="307" ht="15.75" customHeight="1">
      <c r="V307" s="556"/>
    </row>
    <row r="308" ht="15.75" customHeight="1">
      <c r="V308" s="556"/>
    </row>
    <row r="309" ht="15.75" customHeight="1">
      <c r="V309" s="556"/>
    </row>
    <row r="310" ht="15.75" customHeight="1">
      <c r="V310" s="556"/>
    </row>
    <row r="311" ht="15.75" customHeight="1">
      <c r="V311" s="556"/>
    </row>
    <row r="312" ht="15.75" customHeight="1">
      <c r="V312" s="556"/>
    </row>
    <row r="313" ht="15.75" customHeight="1">
      <c r="V313" s="556"/>
    </row>
    <row r="314" ht="15.75" customHeight="1">
      <c r="V314" s="556"/>
    </row>
    <row r="315" ht="15.75" customHeight="1">
      <c r="V315" s="556"/>
    </row>
    <row r="316" ht="15.75" customHeight="1">
      <c r="V316" s="556"/>
    </row>
    <row r="317" ht="15.75" customHeight="1">
      <c r="V317" s="556"/>
    </row>
    <row r="318" ht="15.75" customHeight="1">
      <c r="V318" s="556"/>
    </row>
    <row r="319" ht="15.75" customHeight="1">
      <c r="V319" s="556"/>
    </row>
    <row r="320" ht="15.75" customHeight="1">
      <c r="V320" s="556"/>
    </row>
    <row r="321" ht="15.75" customHeight="1">
      <c r="V321" s="556"/>
    </row>
    <row r="322" ht="15.75" customHeight="1">
      <c r="V322" s="556"/>
    </row>
    <row r="323" ht="15.75" customHeight="1">
      <c r="V323" s="556"/>
    </row>
    <row r="324" ht="15.75" customHeight="1">
      <c r="V324" s="556"/>
    </row>
    <row r="325" ht="15.75" customHeight="1">
      <c r="V325" s="556"/>
    </row>
    <row r="326" ht="15.75" customHeight="1">
      <c r="V326" s="556"/>
    </row>
    <row r="327" ht="15.75" customHeight="1">
      <c r="V327" s="556"/>
    </row>
    <row r="328" ht="15.75" customHeight="1">
      <c r="V328" s="556"/>
    </row>
    <row r="329" ht="15.75" customHeight="1">
      <c r="V329" s="556"/>
    </row>
    <row r="330" ht="15.75" customHeight="1">
      <c r="V330" s="556"/>
    </row>
    <row r="331" ht="15.75" customHeight="1">
      <c r="V331" s="556"/>
    </row>
    <row r="332" ht="15.75" customHeight="1">
      <c r="V332" s="556"/>
    </row>
    <row r="333" ht="15.75" customHeight="1">
      <c r="V333" s="556"/>
    </row>
    <row r="334" ht="15.75" customHeight="1">
      <c r="V334" s="556"/>
    </row>
    <row r="335" ht="15.75" customHeight="1">
      <c r="V335" s="556"/>
    </row>
    <row r="336" ht="15.75" customHeight="1">
      <c r="V336" s="556"/>
    </row>
    <row r="337" ht="15.75" customHeight="1">
      <c r="V337" s="556"/>
    </row>
    <row r="338" ht="15.75" customHeight="1">
      <c r="V338" s="556"/>
    </row>
    <row r="339" ht="15.75" customHeight="1">
      <c r="V339" s="556"/>
    </row>
    <row r="340" ht="15.75" customHeight="1">
      <c r="V340" s="556"/>
    </row>
    <row r="341" ht="15.75" customHeight="1">
      <c r="V341" s="556"/>
    </row>
    <row r="342" ht="15.75" customHeight="1">
      <c r="V342" s="556"/>
    </row>
    <row r="343" ht="15.75" customHeight="1">
      <c r="V343" s="556"/>
    </row>
    <row r="344" ht="15.75" customHeight="1">
      <c r="V344" s="556"/>
    </row>
    <row r="345" ht="15.75" customHeight="1">
      <c r="V345" s="556"/>
    </row>
    <row r="346" ht="15.75" customHeight="1">
      <c r="V346" s="556"/>
    </row>
    <row r="347" ht="15.75" customHeight="1">
      <c r="V347" s="556"/>
    </row>
    <row r="348" ht="15.75" customHeight="1">
      <c r="V348" s="556"/>
    </row>
    <row r="349" ht="15.75" customHeight="1">
      <c r="V349" s="556"/>
    </row>
    <row r="350" ht="15.75" customHeight="1">
      <c r="V350" s="556"/>
    </row>
    <row r="351" ht="15.75" customHeight="1">
      <c r="V351" s="556"/>
    </row>
    <row r="352" ht="15.75" customHeight="1">
      <c r="V352" s="556"/>
    </row>
    <row r="353" ht="15.75" customHeight="1">
      <c r="V353" s="556"/>
    </row>
    <row r="354" ht="15.75" customHeight="1">
      <c r="V354" s="556"/>
    </row>
    <row r="355" ht="15.75" customHeight="1">
      <c r="V355" s="556"/>
    </row>
    <row r="356" ht="15.75" customHeight="1">
      <c r="V356" s="556"/>
    </row>
    <row r="357" ht="15.75" customHeight="1">
      <c r="V357" s="556"/>
    </row>
    <row r="358" ht="15.75" customHeight="1">
      <c r="V358" s="556"/>
    </row>
    <row r="359" ht="15.75" customHeight="1">
      <c r="V359" s="556"/>
    </row>
    <row r="360" ht="15.75" customHeight="1">
      <c r="V360" s="556"/>
    </row>
    <row r="361" ht="15.75" customHeight="1">
      <c r="V361" s="556"/>
    </row>
    <row r="362" ht="15.75" customHeight="1">
      <c r="V362" s="556"/>
    </row>
    <row r="363" ht="15.75" customHeight="1">
      <c r="V363" s="556"/>
    </row>
    <row r="364" ht="15.75" customHeight="1">
      <c r="V364" s="556"/>
    </row>
    <row r="365" ht="15.75" customHeight="1">
      <c r="V365" s="556"/>
    </row>
    <row r="366" ht="15.75" customHeight="1">
      <c r="V366" s="556"/>
    </row>
    <row r="367" ht="15.75" customHeight="1">
      <c r="V367" s="556"/>
    </row>
    <row r="368" ht="15.75" customHeight="1">
      <c r="V368" s="556"/>
    </row>
    <row r="369" ht="15.75" customHeight="1">
      <c r="V369" s="556"/>
    </row>
    <row r="370" ht="15.75" customHeight="1">
      <c r="V370" s="556"/>
    </row>
    <row r="371" ht="15.75" customHeight="1">
      <c r="V371" s="556"/>
    </row>
    <row r="372" ht="15.75" customHeight="1">
      <c r="V372" s="556"/>
    </row>
    <row r="373" ht="15.75" customHeight="1">
      <c r="V373" s="556"/>
    </row>
    <row r="374" ht="15.75" customHeight="1">
      <c r="V374" s="556"/>
    </row>
    <row r="375" ht="15.75" customHeight="1">
      <c r="V375" s="556"/>
    </row>
    <row r="376" ht="15.75" customHeight="1">
      <c r="V376" s="556"/>
    </row>
    <row r="377" ht="15.75" customHeight="1">
      <c r="V377" s="556"/>
    </row>
    <row r="378" ht="15.75" customHeight="1">
      <c r="V378" s="556"/>
    </row>
    <row r="379" ht="15.75" customHeight="1">
      <c r="V379" s="556"/>
    </row>
    <row r="380" ht="15.75" customHeight="1">
      <c r="V380" s="556"/>
    </row>
    <row r="381" ht="15.75" customHeight="1">
      <c r="V381" s="556"/>
    </row>
    <row r="382" ht="15.75" customHeight="1">
      <c r="V382" s="556"/>
    </row>
    <row r="383" ht="15.75" customHeight="1">
      <c r="V383" s="556"/>
    </row>
    <row r="384" ht="15.75" customHeight="1">
      <c r="V384" s="556"/>
    </row>
    <row r="385" ht="15.75" customHeight="1">
      <c r="V385" s="556"/>
    </row>
    <row r="386" ht="15.75" customHeight="1">
      <c r="V386" s="556"/>
    </row>
    <row r="387" ht="15.75" customHeight="1">
      <c r="V387" s="556"/>
    </row>
    <row r="388" ht="15.75" customHeight="1">
      <c r="V388" s="556"/>
    </row>
    <row r="389" ht="15.75" customHeight="1">
      <c r="V389" s="556"/>
    </row>
    <row r="390" ht="15.75" customHeight="1">
      <c r="V390" s="556"/>
    </row>
    <row r="391" ht="15.75" customHeight="1">
      <c r="V391" s="556"/>
    </row>
    <row r="392" ht="15.75" customHeight="1">
      <c r="V392" s="556"/>
    </row>
    <row r="393" ht="15.75" customHeight="1">
      <c r="V393" s="556"/>
    </row>
    <row r="394" ht="15.75" customHeight="1">
      <c r="V394" s="556"/>
    </row>
    <row r="395" ht="15.75" customHeight="1">
      <c r="V395" s="556"/>
    </row>
    <row r="396" ht="15.75" customHeight="1">
      <c r="V396" s="556"/>
    </row>
    <row r="397" ht="15.75" customHeight="1">
      <c r="V397" s="556"/>
    </row>
    <row r="398" ht="15.75" customHeight="1">
      <c r="V398" s="556"/>
    </row>
    <row r="399" ht="15.75" customHeight="1">
      <c r="V399" s="556"/>
    </row>
    <row r="400" ht="15.75" customHeight="1">
      <c r="V400" s="556"/>
    </row>
    <row r="401" ht="15.75" customHeight="1">
      <c r="V401" s="556"/>
    </row>
    <row r="402" ht="15.75" customHeight="1">
      <c r="V402" s="556"/>
    </row>
    <row r="403" ht="15.75" customHeight="1">
      <c r="V403" s="556"/>
    </row>
    <row r="404" ht="15.75" customHeight="1">
      <c r="V404" s="556"/>
    </row>
    <row r="405" ht="15.75" customHeight="1">
      <c r="V405" s="556"/>
    </row>
    <row r="406" ht="15.75" customHeight="1">
      <c r="V406" s="556"/>
    </row>
    <row r="407" ht="15.75" customHeight="1">
      <c r="V407" s="556"/>
    </row>
    <row r="408" ht="15.75" customHeight="1">
      <c r="V408" s="556"/>
    </row>
    <row r="409" ht="15.75" customHeight="1">
      <c r="V409" s="556"/>
    </row>
    <row r="410" ht="15.75" customHeight="1">
      <c r="V410" s="556"/>
    </row>
    <row r="411" ht="15.75" customHeight="1">
      <c r="V411" s="556"/>
    </row>
    <row r="412" ht="15.75" customHeight="1">
      <c r="V412" s="556"/>
    </row>
    <row r="413" ht="15.75" customHeight="1">
      <c r="V413" s="556"/>
    </row>
    <row r="414" ht="15.75" customHeight="1">
      <c r="V414" s="556"/>
    </row>
    <row r="415" ht="15.75" customHeight="1">
      <c r="V415" s="556"/>
    </row>
    <row r="416" ht="15.75" customHeight="1">
      <c r="V416" s="556"/>
    </row>
    <row r="417" ht="15.75" customHeight="1">
      <c r="V417" s="556"/>
    </row>
    <row r="418" ht="15.75" customHeight="1">
      <c r="V418" s="556"/>
    </row>
    <row r="419" ht="15.75" customHeight="1">
      <c r="V419" s="556"/>
    </row>
    <row r="420" ht="15.75" customHeight="1">
      <c r="V420" s="556"/>
    </row>
    <row r="421" ht="15.75" customHeight="1">
      <c r="V421" s="556"/>
    </row>
    <row r="422" ht="15.75" customHeight="1">
      <c r="V422" s="556"/>
    </row>
    <row r="423" ht="15.75" customHeight="1">
      <c r="V423" s="556"/>
    </row>
    <row r="424" ht="15.75" customHeight="1">
      <c r="V424" s="556"/>
    </row>
    <row r="425" ht="15.75" customHeight="1">
      <c r="V425" s="556"/>
    </row>
    <row r="426" ht="15.75" customHeight="1">
      <c r="V426" s="556"/>
    </row>
    <row r="427" ht="15.75" customHeight="1">
      <c r="V427" s="556"/>
    </row>
    <row r="428" ht="15.75" customHeight="1">
      <c r="V428" s="556"/>
    </row>
    <row r="429" ht="15.75" customHeight="1">
      <c r="V429" s="556"/>
    </row>
    <row r="430" ht="15.75" customHeight="1">
      <c r="V430" s="556"/>
    </row>
    <row r="431" ht="15.75" customHeight="1">
      <c r="V431" s="556"/>
    </row>
    <row r="432" ht="15.75" customHeight="1">
      <c r="V432" s="556"/>
    </row>
    <row r="433" ht="15.75" customHeight="1">
      <c r="V433" s="556"/>
    </row>
    <row r="434" ht="15.75" customHeight="1">
      <c r="V434" s="556"/>
    </row>
    <row r="435" ht="15.75" customHeight="1">
      <c r="V435" s="556"/>
    </row>
    <row r="436" ht="15.75" customHeight="1">
      <c r="V436" s="556"/>
    </row>
    <row r="437" ht="15.75" customHeight="1">
      <c r="V437" s="556"/>
    </row>
    <row r="438" ht="15.75" customHeight="1">
      <c r="V438" s="556"/>
    </row>
    <row r="439" ht="15.75" customHeight="1">
      <c r="V439" s="556"/>
    </row>
    <row r="440" ht="15.75" customHeight="1">
      <c r="V440" s="556"/>
    </row>
    <row r="441" ht="15.75" customHeight="1">
      <c r="V441" s="556"/>
    </row>
    <row r="442" ht="15.75" customHeight="1">
      <c r="V442" s="556"/>
    </row>
    <row r="443" ht="15.75" customHeight="1">
      <c r="V443" s="556"/>
    </row>
    <row r="444" ht="15.75" customHeight="1">
      <c r="V444" s="556"/>
    </row>
    <row r="445" ht="15.75" customHeight="1">
      <c r="V445" s="556"/>
    </row>
    <row r="446" ht="15.75" customHeight="1">
      <c r="V446" s="556"/>
    </row>
    <row r="447" ht="15.75" customHeight="1">
      <c r="V447" s="556"/>
    </row>
    <row r="448" ht="15.75" customHeight="1">
      <c r="V448" s="556"/>
    </row>
    <row r="449" ht="15.75" customHeight="1">
      <c r="V449" s="556"/>
    </row>
    <row r="450" ht="15.75" customHeight="1">
      <c r="V450" s="556"/>
    </row>
    <row r="451" ht="15.75" customHeight="1">
      <c r="V451" s="556"/>
    </row>
    <row r="452" ht="15.75" customHeight="1">
      <c r="V452" s="556"/>
    </row>
    <row r="453" ht="15.75" customHeight="1">
      <c r="V453" s="556"/>
    </row>
    <row r="454" ht="15.75" customHeight="1">
      <c r="V454" s="556"/>
    </row>
    <row r="455" ht="15.75" customHeight="1">
      <c r="V455" s="556"/>
    </row>
    <row r="456" ht="15.75" customHeight="1">
      <c r="V456" s="556"/>
    </row>
    <row r="457" ht="15.75" customHeight="1">
      <c r="V457" s="556"/>
    </row>
    <row r="458" ht="15.75" customHeight="1">
      <c r="V458" s="556"/>
    </row>
    <row r="459" ht="15.75" customHeight="1">
      <c r="V459" s="556"/>
    </row>
    <row r="460" ht="15.75" customHeight="1">
      <c r="V460" s="556"/>
    </row>
    <row r="461" ht="15.75" customHeight="1">
      <c r="V461" s="556"/>
    </row>
    <row r="462" ht="15.75" customHeight="1">
      <c r="V462" s="556"/>
    </row>
    <row r="463" ht="15.75" customHeight="1">
      <c r="V463" s="556"/>
    </row>
    <row r="464" ht="15.75" customHeight="1">
      <c r="V464" s="556"/>
    </row>
    <row r="465" ht="15.75" customHeight="1">
      <c r="V465" s="556"/>
    </row>
    <row r="466" ht="15.75" customHeight="1">
      <c r="V466" s="556"/>
    </row>
    <row r="467" ht="15.75" customHeight="1">
      <c r="V467" s="556"/>
    </row>
    <row r="468" ht="15.75" customHeight="1">
      <c r="V468" s="556"/>
    </row>
    <row r="469" ht="15.75" customHeight="1">
      <c r="V469" s="556"/>
    </row>
    <row r="470" ht="15.75" customHeight="1">
      <c r="V470" s="556"/>
    </row>
    <row r="471" ht="15.75" customHeight="1">
      <c r="V471" s="556"/>
    </row>
    <row r="472" ht="15.75" customHeight="1">
      <c r="V472" s="556"/>
    </row>
    <row r="473" ht="15.75" customHeight="1">
      <c r="V473" s="556"/>
    </row>
    <row r="474" ht="15.75" customHeight="1">
      <c r="V474" s="556"/>
    </row>
    <row r="475" ht="15.75" customHeight="1">
      <c r="V475" s="556"/>
    </row>
    <row r="476" ht="15.75" customHeight="1">
      <c r="V476" s="556"/>
    </row>
    <row r="477" ht="15.75" customHeight="1">
      <c r="V477" s="556"/>
    </row>
    <row r="478" ht="15.75" customHeight="1">
      <c r="V478" s="556"/>
    </row>
    <row r="479" ht="15.75" customHeight="1">
      <c r="V479" s="556"/>
    </row>
    <row r="480" ht="15.75" customHeight="1">
      <c r="V480" s="556"/>
    </row>
    <row r="481" ht="15.75" customHeight="1">
      <c r="V481" s="556"/>
    </row>
    <row r="482" ht="15.75" customHeight="1">
      <c r="V482" s="556"/>
    </row>
    <row r="483" ht="15.75" customHeight="1">
      <c r="V483" s="556"/>
    </row>
    <row r="484" ht="15.75" customHeight="1">
      <c r="V484" s="556"/>
    </row>
    <row r="485" ht="15.75" customHeight="1">
      <c r="V485" s="556"/>
    </row>
    <row r="486" ht="15.75" customHeight="1">
      <c r="V486" s="556"/>
    </row>
    <row r="487" ht="15.75" customHeight="1">
      <c r="V487" s="556"/>
    </row>
    <row r="488" ht="15.75" customHeight="1">
      <c r="V488" s="556"/>
    </row>
    <row r="489" ht="15.75" customHeight="1">
      <c r="V489" s="556"/>
    </row>
    <row r="490" ht="15.75" customHeight="1">
      <c r="V490" s="556"/>
    </row>
    <row r="491" ht="15.75" customHeight="1">
      <c r="V491" s="556"/>
    </row>
    <row r="492" ht="15.75" customHeight="1">
      <c r="V492" s="556"/>
    </row>
    <row r="493" ht="15.75" customHeight="1">
      <c r="V493" s="556"/>
    </row>
    <row r="494" ht="15.75" customHeight="1">
      <c r="V494" s="556"/>
    </row>
    <row r="495" ht="15.75" customHeight="1">
      <c r="V495" s="556"/>
    </row>
    <row r="496" ht="15.75" customHeight="1">
      <c r="V496" s="556"/>
    </row>
    <row r="497" ht="15.75" customHeight="1">
      <c r="V497" s="556"/>
    </row>
    <row r="498" ht="15.75" customHeight="1">
      <c r="V498" s="556"/>
    </row>
    <row r="499" ht="15.75" customHeight="1">
      <c r="V499" s="556"/>
    </row>
    <row r="500" ht="15.75" customHeight="1">
      <c r="V500" s="556"/>
    </row>
    <row r="501" ht="15.75" customHeight="1">
      <c r="V501" s="556"/>
    </row>
    <row r="502" ht="15.75" customHeight="1">
      <c r="V502" s="556"/>
    </row>
    <row r="503" ht="15.75" customHeight="1">
      <c r="V503" s="556"/>
    </row>
    <row r="504" ht="15.75" customHeight="1">
      <c r="V504" s="556"/>
    </row>
    <row r="505" ht="15.75" customHeight="1">
      <c r="V505" s="556"/>
    </row>
    <row r="506" ht="15.75" customHeight="1">
      <c r="V506" s="556"/>
    </row>
    <row r="507" ht="15.75" customHeight="1">
      <c r="V507" s="556"/>
    </row>
    <row r="508" ht="15.75" customHeight="1">
      <c r="V508" s="556"/>
    </row>
    <row r="509" ht="15.75" customHeight="1">
      <c r="V509" s="556"/>
    </row>
    <row r="510" ht="15.75" customHeight="1">
      <c r="V510" s="556"/>
    </row>
    <row r="511" ht="15.75" customHeight="1">
      <c r="V511" s="556"/>
    </row>
    <row r="512" ht="15.75" customHeight="1">
      <c r="V512" s="556"/>
    </row>
    <row r="513" ht="15.75" customHeight="1">
      <c r="V513" s="556"/>
    </row>
    <row r="514" ht="15.75" customHeight="1">
      <c r="V514" s="556"/>
    </row>
    <row r="515" ht="15.75" customHeight="1">
      <c r="V515" s="556"/>
    </row>
    <row r="516" ht="15.75" customHeight="1">
      <c r="V516" s="556"/>
    </row>
    <row r="517" ht="15.75" customHeight="1">
      <c r="V517" s="556"/>
    </row>
    <row r="518" ht="15.75" customHeight="1">
      <c r="V518" s="556"/>
    </row>
    <row r="519" ht="15.75" customHeight="1">
      <c r="V519" s="556"/>
    </row>
    <row r="520" ht="15.75" customHeight="1">
      <c r="V520" s="556"/>
    </row>
    <row r="521" ht="15.75" customHeight="1">
      <c r="V521" s="556"/>
    </row>
    <row r="522" ht="15.75" customHeight="1">
      <c r="V522" s="556"/>
    </row>
    <row r="523" ht="15.75" customHeight="1">
      <c r="V523" s="556"/>
    </row>
    <row r="524" ht="15.75" customHeight="1">
      <c r="V524" s="556"/>
    </row>
    <row r="525" ht="15.75" customHeight="1">
      <c r="V525" s="556"/>
    </row>
    <row r="526" ht="15.75" customHeight="1">
      <c r="V526" s="556"/>
    </row>
    <row r="527" ht="15.75" customHeight="1">
      <c r="V527" s="556"/>
    </row>
    <row r="528" ht="15.75" customHeight="1">
      <c r="V528" s="556"/>
    </row>
    <row r="529" ht="15.75" customHeight="1">
      <c r="V529" s="556"/>
    </row>
    <row r="530" ht="15.75" customHeight="1">
      <c r="V530" s="556"/>
    </row>
    <row r="531" ht="15.75" customHeight="1">
      <c r="V531" s="556"/>
    </row>
    <row r="532" ht="15.75" customHeight="1">
      <c r="V532" s="556"/>
    </row>
    <row r="533" ht="15.75" customHeight="1">
      <c r="V533" s="556"/>
    </row>
    <row r="534" ht="15.75" customHeight="1">
      <c r="V534" s="556"/>
    </row>
    <row r="535" ht="15.75" customHeight="1">
      <c r="V535" s="556"/>
    </row>
    <row r="536" ht="15.75" customHeight="1">
      <c r="V536" s="556"/>
    </row>
    <row r="537" ht="15.75" customHeight="1">
      <c r="V537" s="556"/>
    </row>
    <row r="538" ht="15.75" customHeight="1">
      <c r="V538" s="556"/>
    </row>
    <row r="539" ht="15.75" customHeight="1">
      <c r="V539" s="556"/>
    </row>
    <row r="540" ht="15.75" customHeight="1">
      <c r="V540" s="556"/>
    </row>
    <row r="541" ht="15.75" customHeight="1">
      <c r="V541" s="556"/>
    </row>
    <row r="542" ht="15.75" customHeight="1">
      <c r="V542" s="556"/>
    </row>
    <row r="543" ht="15.75" customHeight="1">
      <c r="V543" s="556"/>
    </row>
    <row r="544" ht="15.75" customHeight="1">
      <c r="V544" s="556"/>
    </row>
    <row r="545" ht="15.75" customHeight="1">
      <c r="V545" s="556"/>
    </row>
    <row r="546" ht="15.75" customHeight="1">
      <c r="V546" s="556"/>
    </row>
    <row r="547" ht="15.75" customHeight="1">
      <c r="V547" s="556"/>
    </row>
    <row r="548" ht="15.75" customHeight="1">
      <c r="V548" s="556"/>
    </row>
    <row r="549" ht="15.75" customHeight="1">
      <c r="V549" s="556"/>
    </row>
    <row r="550" ht="15.75" customHeight="1">
      <c r="V550" s="556"/>
    </row>
    <row r="551" ht="15.75" customHeight="1">
      <c r="V551" s="556"/>
    </row>
    <row r="552" ht="15.75" customHeight="1">
      <c r="V552" s="556"/>
    </row>
    <row r="553" ht="15.75" customHeight="1">
      <c r="V553" s="556"/>
    </row>
    <row r="554" ht="15.75" customHeight="1">
      <c r="V554" s="556"/>
    </row>
    <row r="555" ht="15.75" customHeight="1">
      <c r="V555" s="556"/>
    </row>
    <row r="556" ht="15.75" customHeight="1">
      <c r="V556" s="556"/>
    </row>
    <row r="557" ht="15.75" customHeight="1">
      <c r="V557" s="556"/>
    </row>
    <row r="558" ht="15.75" customHeight="1">
      <c r="V558" s="556"/>
    </row>
    <row r="559" ht="15.75" customHeight="1">
      <c r="V559" s="556"/>
    </row>
    <row r="560" ht="15.75" customHeight="1">
      <c r="V560" s="556"/>
    </row>
    <row r="561" ht="15.75" customHeight="1">
      <c r="V561" s="556"/>
    </row>
    <row r="562" ht="15.75" customHeight="1">
      <c r="V562" s="556"/>
    </row>
    <row r="563" ht="15.75" customHeight="1">
      <c r="V563" s="556"/>
    </row>
    <row r="564" ht="15.75" customHeight="1">
      <c r="V564" s="556"/>
    </row>
    <row r="565" ht="15.75" customHeight="1">
      <c r="V565" s="556"/>
    </row>
    <row r="566" ht="15.75" customHeight="1">
      <c r="V566" s="556"/>
    </row>
    <row r="567" ht="15.75" customHeight="1">
      <c r="V567" s="556"/>
    </row>
    <row r="568" ht="15.75" customHeight="1">
      <c r="V568" s="556"/>
    </row>
    <row r="569" ht="15.75" customHeight="1">
      <c r="V569" s="556"/>
    </row>
    <row r="570" ht="15.75" customHeight="1">
      <c r="V570" s="556"/>
    </row>
    <row r="571" ht="15.75" customHeight="1">
      <c r="V571" s="556"/>
    </row>
    <row r="572" ht="15.75" customHeight="1">
      <c r="V572" s="556"/>
    </row>
    <row r="573" ht="15.75" customHeight="1">
      <c r="V573" s="556"/>
    </row>
    <row r="574" ht="15.75" customHeight="1">
      <c r="V574" s="556"/>
    </row>
    <row r="575" ht="15.75" customHeight="1">
      <c r="V575" s="556"/>
    </row>
    <row r="576" ht="15.75" customHeight="1">
      <c r="V576" s="556"/>
    </row>
    <row r="577" ht="15.75" customHeight="1">
      <c r="V577" s="556"/>
    </row>
    <row r="578" ht="15.75" customHeight="1">
      <c r="V578" s="556"/>
    </row>
    <row r="579" ht="15.75" customHeight="1">
      <c r="V579" s="556"/>
    </row>
    <row r="580" ht="15.75" customHeight="1">
      <c r="V580" s="556"/>
    </row>
    <row r="581" ht="15.75" customHeight="1">
      <c r="V581" s="556"/>
    </row>
    <row r="582" ht="15.75" customHeight="1">
      <c r="V582" s="556"/>
    </row>
    <row r="583" ht="15.75" customHeight="1">
      <c r="V583" s="556"/>
    </row>
    <row r="584" ht="15.75" customHeight="1">
      <c r="V584" s="556"/>
    </row>
    <row r="585" ht="15.75" customHeight="1">
      <c r="V585" s="556"/>
    </row>
    <row r="586" ht="15.75" customHeight="1">
      <c r="V586" s="556"/>
    </row>
    <row r="587" ht="15.75" customHeight="1">
      <c r="V587" s="556"/>
    </row>
    <row r="588" ht="15.75" customHeight="1">
      <c r="V588" s="556"/>
    </row>
    <row r="589" ht="15.75" customHeight="1">
      <c r="V589" s="556"/>
    </row>
    <row r="590" ht="15.75" customHeight="1">
      <c r="V590" s="556"/>
    </row>
    <row r="591" ht="15.75" customHeight="1">
      <c r="V591" s="556"/>
    </row>
    <row r="592" ht="15.75" customHeight="1">
      <c r="V592" s="556"/>
    </row>
    <row r="593" ht="15.75" customHeight="1">
      <c r="V593" s="556"/>
    </row>
    <row r="594" ht="15.75" customHeight="1">
      <c r="V594" s="556"/>
    </row>
    <row r="595" ht="15.75" customHeight="1">
      <c r="V595" s="556"/>
    </row>
    <row r="596" ht="15.75" customHeight="1">
      <c r="V596" s="556"/>
    </row>
    <row r="597" ht="15.75" customHeight="1">
      <c r="V597" s="556"/>
    </row>
    <row r="598" ht="15.75" customHeight="1">
      <c r="V598" s="556"/>
    </row>
    <row r="599" ht="15.75" customHeight="1">
      <c r="V599" s="556"/>
    </row>
    <row r="600" ht="15.75" customHeight="1">
      <c r="V600" s="556"/>
    </row>
    <row r="601" ht="15.75" customHeight="1">
      <c r="V601" s="556"/>
    </row>
    <row r="602" ht="15.75" customHeight="1">
      <c r="V602" s="556"/>
    </row>
    <row r="603" ht="15.75" customHeight="1">
      <c r="V603" s="556"/>
    </row>
    <row r="604" ht="15.75" customHeight="1">
      <c r="V604" s="556"/>
    </row>
    <row r="605" ht="15.75" customHeight="1">
      <c r="V605" s="556"/>
    </row>
    <row r="606" ht="15.75" customHeight="1">
      <c r="V606" s="556"/>
    </row>
    <row r="607" ht="15.75" customHeight="1">
      <c r="V607" s="556"/>
    </row>
    <row r="608" ht="15.75" customHeight="1">
      <c r="V608" s="556"/>
    </row>
    <row r="609" ht="15.75" customHeight="1">
      <c r="V609" s="556"/>
    </row>
    <row r="610" ht="15.75" customHeight="1">
      <c r="V610" s="556"/>
    </row>
    <row r="611" ht="15.75" customHeight="1">
      <c r="V611" s="556"/>
    </row>
    <row r="612" ht="15.75" customHeight="1">
      <c r="V612" s="556"/>
    </row>
    <row r="613" ht="15.75" customHeight="1">
      <c r="V613" s="556"/>
    </row>
    <row r="614" ht="15.75" customHeight="1">
      <c r="V614" s="556"/>
    </row>
    <row r="615" ht="15.75" customHeight="1">
      <c r="V615" s="556"/>
    </row>
    <row r="616" ht="15.75" customHeight="1">
      <c r="V616" s="556"/>
    </row>
    <row r="617" ht="15.75" customHeight="1">
      <c r="V617" s="556"/>
    </row>
    <row r="618" ht="15.75" customHeight="1">
      <c r="V618" s="556"/>
    </row>
    <row r="619" ht="15.75" customHeight="1">
      <c r="V619" s="556"/>
    </row>
    <row r="620" ht="15.75" customHeight="1">
      <c r="V620" s="556"/>
    </row>
    <row r="621" ht="15.75" customHeight="1">
      <c r="V621" s="556"/>
    </row>
    <row r="622" ht="15.75" customHeight="1">
      <c r="V622" s="556"/>
    </row>
    <row r="623" ht="15.75" customHeight="1">
      <c r="V623" s="556"/>
    </row>
    <row r="624" ht="15.75" customHeight="1">
      <c r="V624" s="556"/>
    </row>
    <row r="625" ht="15.75" customHeight="1">
      <c r="V625" s="556"/>
    </row>
    <row r="626" ht="15.75" customHeight="1">
      <c r="V626" s="556"/>
    </row>
    <row r="627" ht="15.75" customHeight="1">
      <c r="V627" s="556"/>
    </row>
    <row r="628" ht="15.75" customHeight="1">
      <c r="V628" s="556"/>
    </row>
    <row r="629" ht="15.75" customHeight="1">
      <c r="V629" s="556"/>
    </row>
    <row r="630" ht="15.75" customHeight="1">
      <c r="V630" s="556"/>
    </row>
    <row r="631" ht="15.75" customHeight="1">
      <c r="V631" s="556"/>
    </row>
    <row r="632" ht="15.75" customHeight="1">
      <c r="V632" s="556"/>
    </row>
    <row r="633" ht="15.75" customHeight="1">
      <c r="V633" s="556"/>
    </row>
    <row r="634" ht="15.75" customHeight="1">
      <c r="V634" s="556"/>
    </row>
    <row r="635" ht="15.75" customHeight="1">
      <c r="V635" s="556"/>
    </row>
    <row r="636" ht="15.75" customHeight="1">
      <c r="V636" s="556"/>
    </row>
    <row r="637" ht="15.75" customHeight="1">
      <c r="V637" s="556"/>
    </row>
    <row r="638" ht="15.75" customHeight="1">
      <c r="V638" s="556"/>
    </row>
    <row r="639" ht="15.75" customHeight="1">
      <c r="V639" s="556"/>
    </row>
    <row r="640" ht="15.75" customHeight="1">
      <c r="V640" s="556"/>
    </row>
    <row r="641" ht="15.75" customHeight="1">
      <c r="V641" s="556"/>
    </row>
    <row r="642" ht="15.75" customHeight="1">
      <c r="V642" s="556"/>
    </row>
    <row r="643" ht="15.75" customHeight="1">
      <c r="V643" s="556"/>
    </row>
    <row r="644" ht="15.75" customHeight="1">
      <c r="V644" s="556"/>
    </row>
    <row r="645" ht="15.75" customHeight="1">
      <c r="V645" s="556"/>
    </row>
    <row r="646" ht="15.75" customHeight="1">
      <c r="V646" s="556"/>
    </row>
    <row r="647" ht="15.75" customHeight="1">
      <c r="V647" s="556"/>
    </row>
    <row r="648" ht="15.75" customHeight="1">
      <c r="V648" s="556"/>
    </row>
    <row r="649" ht="15.75" customHeight="1">
      <c r="V649" s="556"/>
    </row>
    <row r="650" ht="15.75" customHeight="1">
      <c r="V650" s="556"/>
    </row>
    <row r="651" ht="15.75" customHeight="1">
      <c r="V651" s="556"/>
    </row>
    <row r="652" ht="15.75" customHeight="1">
      <c r="V652" s="556"/>
    </row>
    <row r="653" ht="15.75" customHeight="1">
      <c r="V653" s="556"/>
    </row>
    <row r="654" ht="15.75" customHeight="1">
      <c r="V654" s="556"/>
    </row>
    <row r="655" ht="15.75" customHeight="1">
      <c r="V655" s="556"/>
    </row>
    <row r="656" ht="15.75" customHeight="1">
      <c r="V656" s="556"/>
    </row>
    <row r="657" ht="15.75" customHeight="1">
      <c r="V657" s="556"/>
    </row>
    <row r="658" ht="15.75" customHeight="1">
      <c r="V658" s="556"/>
    </row>
    <row r="659" ht="15.75" customHeight="1">
      <c r="V659" s="556"/>
    </row>
    <row r="660" ht="15.75" customHeight="1">
      <c r="V660" s="556"/>
    </row>
    <row r="661" ht="15.75" customHeight="1">
      <c r="V661" s="556"/>
    </row>
    <row r="662" ht="15.75" customHeight="1">
      <c r="V662" s="556"/>
    </row>
    <row r="663" ht="15.75" customHeight="1">
      <c r="V663" s="556"/>
    </row>
    <row r="664" ht="15.75" customHeight="1">
      <c r="V664" s="556"/>
    </row>
    <row r="665" ht="15.75" customHeight="1">
      <c r="V665" s="556"/>
    </row>
    <row r="666" ht="15.75" customHeight="1">
      <c r="V666" s="556"/>
    </row>
    <row r="667" ht="15.75" customHeight="1">
      <c r="V667" s="556"/>
    </row>
    <row r="668" ht="15.75" customHeight="1">
      <c r="V668" s="556"/>
    </row>
    <row r="669" ht="15.75" customHeight="1">
      <c r="V669" s="556"/>
    </row>
    <row r="670" ht="15.75" customHeight="1">
      <c r="V670" s="556"/>
    </row>
    <row r="671" ht="15.75" customHeight="1">
      <c r="V671" s="556"/>
    </row>
    <row r="672" ht="15.75" customHeight="1">
      <c r="V672" s="556"/>
    </row>
    <row r="673" ht="15.75" customHeight="1">
      <c r="V673" s="556"/>
    </row>
    <row r="674" ht="15.75" customHeight="1">
      <c r="V674" s="556"/>
    </row>
    <row r="675" ht="15.75" customHeight="1">
      <c r="V675" s="556"/>
    </row>
    <row r="676" ht="15.75" customHeight="1">
      <c r="V676" s="556"/>
    </row>
    <row r="677" ht="15.75" customHeight="1">
      <c r="V677" s="556"/>
    </row>
    <row r="678" ht="15.75" customHeight="1">
      <c r="V678" s="556"/>
    </row>
    <row r="679" ht="15.75" customHeight="1">
      <c r="V679" s="556"/>
    </row>
    <row r="680" ht="15.75" customHeight="1">
      <c r="V680" s="556"/>
    </row>
    <row r="681" ht="15.75" customHeight="1">
      <c r="V681" s="556"/>
    </row>
    <row r="682" ht="15.75" customHeight="1">
      <c r="V682" s="556"/>
    </row>
    <row r="683" ht="15.75" customHeight="1">
      <c r="V683" s="556"/>
    </row>
    <row r="684" ht="15.75" customHeight="1">
      <c r="V684" s="556"/>
    </row>
    <row r="685" ht="15.75" customHeight="1">
      <c r="V685" s="556"/>
    </row>
    <row r="686" ht="15.75" customHeight="1">
      <c r="V686" s="556"/>
    </row>
    <row r="687" ht="15.75" customHeight="1">
      <c r="V687" s="556"/>
    </row>
    <row r="688" ht="15.75" customHeight="1">
      <c r="V688" s="556"/>
    </row>
    <row r="689" ht="15.75" customHeight="1">
      <c r="V689" s="556"/>
    </row>
    <row r="690" ht="15.75" customHeight="1">
      <c r="V690" s="556"/>
    </row>
    <row r="691" ht="15.75" customHeight="1">
      <c r="V691" s="556"/>
    </row>
    <row r="692" ht="15.75" customHeight="1">
      <c r="V692" s="556"/>
    </row>
    <row r="693" ht="15.75" customHeight="1">
      <c r="V693" s="556"/>
    </row>
    <row r="694" ht="15.75" customHeight="1">
      <c r="V694" s="556"/>
    </row>
    <row r="695" ht="15.75" customHeight="1">
      <c r="V695" s="556"/>
    </row>
    <row r="696" ht="15.75" customHeight="1">
      <c r="V696" s="556"/>
    </row>
    <row r="697" ht="15.75" customHeight="1">
      <c r="V697" s="556"/>
    </row>
    <row r="698" ht="15.75" customHeight="1">
      <c r="V698" s="556"/>
    </row>
    <row r="699" ht="15.75" customHeight="1">
      <c r="V699" s="556"/>
    </row>
    <row r="700" ht="15.75" customHeight="1">
      <c r="V700" s="556"/>
    </row>
    <row r="701" ht="15.75" customHeight="1">
      <c r="V701" s="556"/>
    </row>
    <row r="702" ht="15.75" customHeight="1">
      <c r="V702" s="556"/>
    </row>
    <row r="703" ht="15.75" customHeight="1">
      <c r="V703" s="556"/>
    </row>
    <row r="704" ht="15.75" customHeight="1">
      <c r="V704" s="556"/>
    </row>
    <row r="705" ht="15.75" customHeight="1">
      <c r="V705" s="556"/>
    </row>
    <row r="706" ht="15.75" customHeight="1">
      <c r="V706" s="556"/>
    </row>
    <row r="707" ht="15.75" customHeight="1">
      <c r="V707" s="556"/>
    </row>
    <row r="708" ht="15.75" customHeight="1">
      <c r="V708" s="556"/>
    </row>
    <row r="709" ht="15.75" customHeight="1">
      <c r="V709" s="556"/>
    </row>
    <row r="710" ht="15.75" customHeight="1">
      <c r="V710" s="556"/>
    </row>
    <row r="711" ht="15.75" customHeight="1">
      <c r="V711" s="556"/>
    </row>
    <row r="712" ht="15.75" customHeight="1">
      <c r="V712" s="556"/>
    </row>
    <row r="713" ht="15.75" customHeight="1">
      <c r="V713" s="556"/>
    </row>
    <row r="714" ht="15.75" customHeight="1">
      <c r="V714" s="556"/>
    </row>
    <row r="715" ht="15.75" customHeight="1">
      <c r="V715" s="556"/>
    </row>
    <row r="716" ht="15.75" customHeight="1">
      <c r="V716" s="556"/>
    </row>
    <row r="717" ht="15.75" customHeight="1">
      <c r="V717" s="556"/>
    </row>
    <row r="718" ht="15.75" customHeight="1">
      <c r="V718" s="556"/>
    </row>
    <row r="719" ht="15.75" customHeight="1">
      <c r="V719" s="556"/>
    </row>
    <row r="720" ht="15.75" customHeight="1">
      <c r="V720" s="556"/>
    </row>
    <row r="721" ht="15.75" customHeight="1">
      <c r="V721" s="556"/>
    </row>
    <row r="722" ht="15.75" customHeight="1">
      <c r="V722" s="556"/>
    </row>
    <row r="723" ht="15.75" customHeight="1">
      <c r="V723" s="556"/>
    </row>
    <row r="724" ht="15.75" customHeight="1">
      <c r="V724" s="556"/>
    </row>
    <row r="725" ht="15.75" customHeight="1">
      <c r="V725" s="556"/>
    </row>
    <row r="726" ht="15.75" customHeight="1">
      <c r="V726" s="556"/>
    </row>
    <row r="727" ht="15.75" customHeight="1">
      <c r="V727" s="556"/>
    </row>
    <row r="728" ht="15.75" customHeight="1">
      <c r="V728" s="556"/>
    </row>
    <row r="729" ht="15.75" customHeight="1">
      <c r="V729" s="556"/>
    </row>
    <row r="730" ht="15.75" customHeight="1">
      <c r="V730" s="556"/>
    </row>
    <row r="731" ht="15.75" customHeight="1">
      <c r="V731" s="556"/>
    </row>
    <row r="732" ht="15.75" customHeight="1">
      <c r="V732" s="556"/>
    </row>
    <row r="733" ht="15.75" customHeight="1">
      <c r="V733" s="556"/>
    </row>
    <row r="734" ht="15.75" customHeight="1">
      <c r="V734" s="556"/>
    </row>
    <row r="735" ht="15.75" customHeight="1">
      <c r="V735" s="556"/>
    </row>
    <row r="736" ht="15.75" customHeight="1">
      <c r="V736" s="556"/>
    </row>
    <row r="737" ht="15.75" customHeight="1">
      <c r="V737" s="556"/>
    </row>
    <row r="738" ht="15.75" customHeight="1">
      <c r="V738" s="556"/>
    </row>
    <row r="739" ht="15.75" customHeight="1">
      <c r="V739" s="556"/>
    </row>
    <row r="740" ht="15.75" customHeight="1">
      <c r="V740" s="556"/>
    </row>
    <row r="741" ht="15.75" customHeight="1">
      <c r="V741" s="556"/>
    </row>
    <row r="742" ht="15.75" customHeight="1">
      <c r="V742" s="556"/>
    </row>
    <row r="743" ht="15.75" customHeight="1">
      <c r="V743" s="556"/>
    </row>
    <row r="744" ht="15.75" customHeight="1">
      <c r="V744" s="556"/>
    </row>
    <row r="745" ht="15.75" customHeight="1">
      <c r="V745" s="556"/>
    </row>
    <row r="746" ht="15.75" customHeight="1">
      <c r="V746" s="556"/>
    </row>
    <row r="747" ht="15.75" customHeight="1">
      <c r="V747" s="556"/>
    </row>
    <row r="748" ht="15.75" customHeight="1">
      <c r="V748" s="556"/>
    </row>
    <row r="749" ht="15.75" customHeight="1">
      <c r="V749" s="556"/>
    </row>
    <row r="750" ht="15.75" customHeight="1">
      <c r="V750" s="556"/>
    </row>
    <row r="751" ht="15.75" customHeight="1">
      <c r="V751" s="556"/>
    </row>
    <row r="752" ht="15.75" customHeight="1">
      <c r="V752" s="556"/>
    </row>
    <row r="753" ht="15.75" customHeight="1">
      <c r="V753" s="556"/>
    </row>
    <row r="754" ht="15.75" customHeight="1">
      <c r="V754" s="556"/>
    </row>
    <row r="755" ht="15.75" customHeight="1">
      <c r="V755" s="556"/>
    </row>
    <row r="756" ht="15.75" customHeight="1">
      <c r="V756" s="556"/>
    </row>
    <row r="757" ht="15.75" customHeight="1">
      <c r="V757" s="556"/>
    </row>
    <row r="758" ht="15.75" customHeight="1">
      <c r="V758" s="556"/>
    </row>
    <row r="759" ht="15.75" customHeight="1">
      <c r="V759" s="556"/>
    </row>
    <row r="760" ht="15.75" customHeight="1">
      <c r="V760" s="556"/>
    </row>
    <row r="761" ht="15.75" customHeight="1">
      <c r="V761" s="556"/>
    </row>
    <row r="762" ht="15.75" customHeight="1">
      <c r="V762" s="556"/>
    </row>
    <row r="763" ht="15.75" customHeight="1">
      <c r="V763" s="556"/>
    </row>
    <row r="764" ht="15.75" customHeight="1">
      <c r="V764" s="556"/>
    </row>
    <row r="765" ht="15.75" customHeight="1">
      <c r="V765" s="556"/>
    </row>
    <row r="766" ht="15.75" customHeight="1">
      <c r="V766" s="556"/>
    </row>
    <row r="767" ht="15.75" customHeight="1">
      <c r="V767" s="556"/>
    </row>
    <row r="768" ht="15.75" customHeight="1">
      <c r="V768" s="556"/>
    </row>
    <row r="769" ht="15.75" customHeight="1">
      <c r="V769" s="556"/>
    </row>
    <row r="770" ht="15.75" customHeight="1">
      <c r="V770" s="556"/>
    </row>
    <row r="771" ht="15.75" customHeight="1">
      <c r="V771" s="556"/>
    </row>
    <row r="772" ht="15.75" customHeight="1">
      <c r="V772" s="556"/>
    </row>
    <row r="773" ht="15.75" customHeight="1">
      <c r="V773" s="556"/>
    </row>
    <row r="774" ht="15.75" customHeight="1">
      <c r="V774" s="556"/>
    </row>
    <row r="775" ht="15.75" customHeight="1">
      <c r="V775" s="556"/>
    </row>
    <row r="776" ht="15.75" customHeight="1">
      <c r="V776" s="556"/>
    </row>
    <row r="777" ht="15.75" customHeight="1">
      <c r="V777" s="556"/>
    </row>
    <row r="778" ht="15.75" customHeight="1">
      <c r="V778" s="556"/>
    </row>
    <row r="779" ht="15.75" customHeight="1">
      <c r="V779" s="556"/>
    </row>
    <row r="780" ht="15.75" customHeight="1">
      <c r="V780" s="556"/>
    </row>
    <row r="781" ht="15.75" customHeight="1">
      <c r="V781" s="556"/>
    </row>
    <row r="782" ht="15.75" customHeight="1">
      <c r="V782" s="556"/>
    </row>
    <row r="783" ht="15.75" customHeight="1">
      <c r="V783" s="556"/>
    </row>
    <row r="784" ht="15.75" customHeight="1">
      <c r="V784" s="556"/>
    </row>
    <row r="785" ht="15.75" customHeight="1">
      <c r="V785" s="556"/>
    </row>
    <row r="786" ht="15.75" customHeight="1">
      <c r="V786" s="556"/>
    </row>
    <row r="787" ht="15.75" customHeight="1">
      <c r="V787" s="556"/>
    </row>
    <row r="788" ht="15.75" customHeight="1">
      <c r="V788" s="556"/>
    </row>
    <row r="789" ht="15.75" customHeight="1">
      <c r="V789" s="556"/>
    </row>
    <row r="790" ht="15.75" customHeight="1">
      <c r="V790" s="556"/>
    </row>
    <row r="791" ht="15.75" customHeight="1">
      <c r="V791" s="556"/>
    </row>
    <row r="792" ht="15.75" customHeight="1">
      <c r="V792" s="556"/>
    </row>
    <row r="793" ht="15.75" customHeight="1">
      <c r="V793" s="556"/>
    </row>
    <row r="794" ht="15.75" customHeight="1">
      <c r="V794" s="556"/>
    </row>
    <row r="795" ht="15.75" customHeight="1">
      <c r="V795" s="556"/>
    </row>
    <row r="796" ht="15.75" customHeight="1">
      <c r="V796" s="556"/>
    </row>
    <row r="797" ht="15.75" customHeight="1">
      <c r="V797" s="556"/>
    </row>
    <row r="798" ht="15.75" customHeight="1">
      <c r="V798" s="556"/>
    </row>
    <row r="799" ht="15.75" customHeight="1">
      <c r="V799" s="556"/>
    </row>
    <row r="800" ht="15.75" customHeight="1">
      <c r="V800" s="556"/>
    </row>
    <row r="801" ht="15.75" customHeight="1">
      <c r="V801" s="556"/>
    </row>
    <row r="802" ht="15.75" customHeight="1">
      <c r="V802" s="556"/>
    </row>
    <row r="803" ht="15.75" customHeight="1">
      <c r="V803" s="556"/>
    </row>
    <row r="804" ht="15.75" customHeight="1">
      <c r="V804" s="556"/>
    </row>
    <row r="805" ht="15.75" customHeight="1">
      <c r="V805" s="556"/>
    </row>
    <row r="806" ht="15.75" customHeight="1">
      <c r="V806" s="556"/>
    </row>
    <row r="807" ht="15.75" customHeight="1">
      <c r="V807" s="556"/>
    </row>
    <row r="808" ht="15.75" customHeight="1">
      <c r="V808" s="556"/>
    </row>
    <row r="809" ht="15.75" customHeight="1">
      <c r="V809" s="556"/>
    </row>
    <row r="810" ht="15.75" customHeight="1">
      <c r="V810" s="556"/>
    </row>
    <row r="811" ht="15.75" customHeight="1">
      <c r="V811" s="556"/>
    </row>
    <row r="812" ht="15.75" customHeight="1">
      <c r="V812" s="556"/>
    </row>
    <row r="813" ht="15.75" customHeight="1">
      <c r="V813" s="556"/>
    </row>
    <row r="814" ht="15.75" customHeight="1">
      <c r="V814" s="556"/>
    </row>
    <row r="815" ht="15.75" customHeight="1">
      <c r="V815" s="556"/>
    </row>
    <row r="816" ht="15.75" customHeight="1">
      <c r="V816" s="556"/>
    </row>
    <row r="817" ht="15.75" customHeight="1">
      <c r="V817" s="556"/>
    </row>
    <row r="818" ht="15.75" customHeight="1">
      <c r="V818" s="556"/>
    </row>
    <row r="819" ht="15.75" customHeight="1">
      <c r="V819" s="556"/>
    </row>
    <row r="820" ht="15.75" customHeight="1">
      <c r="V820" s="556"/>
    </row>
    <row r="821" ht="15.75" customHeight="1">
      <c r="V821" s="556"/>
    </row>
    <row r="822" ht="15.75" customHeight="1">
      <c r="V822" s="556"/>
    </row>
    <row r="823" ht="15.75" customHeight="1">
      <c r="V823" s="556"/>
    </row>
    <row r="824" ht="15.75" customHeight="1">
      <c r="V824" s="556"/>
    </row>
    <row r="825" ht="15.75" customHeight="1">
      <c r="V825" s="556"/>
    </row>
    <row r="826" ht="15.75" customHeight="1">
      <c r="V826" s="556"/>
    </row>
    <row r="827" ht="15.75" customHeight="1">
      <c r="V827" s="556"/>
    </row>
    <row r="828" ht="15.75" customHeight="1">
      <c r="V828" s="556"/>
    </row>
    <row r="829" ht="15.75" customHeight="1">
      <c r="V829" s="556"/>
    </row>
    <row r="830" ht="15.75" customHeight="1">
      <c r="V830" s="556"/>
    </row>
    <row r="831" ht="15.75" customHeight="1">
      <c r="V831" s="556"/>
    </row>
    <row r="832" ht="15.75" customHeight="1">
      <c r="V832" s="556"/>
    </row>
    <row r="833" ht="15.75" customHeight="1">
      <c r="V833" s="556"/>
    </row>
    <row r="834" ht="15.75" customHeight="1">
      <c r="V834" s="556"/>
    </row>
    <row r="835" ht="15.75" customHeight="1">
      <c r="V835" s="556"/>
    </row>
    <row r="836" ht="15.75" customHeight="1">
      <c r="V836" s="556"/>
    </row>
    <row r="837" ht="15.75" customHeight="1">
      <c r="V837" s="556"/>
    </row>
    <row r="838" ht="15.75" customHeight="1">
      <c r="V838" s="556"/>
    </row>
    <row r="839" ht="15.75" customHeight="1">
      <c r="V839" s="556"/>
    </row>
    <row r="840" ht="15.75" customHeight="1">
      <c r="V840" s="556"/>
    </row>
    <row r="841" ht="15.75" customHeight="1">
      <c r="V841" s="556"/>
    </row>
    <row r="842" ht="15.75" customHeight="1">
      <c r="V842" s="556"/>
    </row>
    <row r="843" ht="15.75" customHeight="1">
      <c r="V843" s="556"/>
    </row>
    <row r="844" ht="15.75" customHeight="1">
      <c r="V844" s="556"/>
    </row>
    <row r="845" ht="15.75" customHeight="1">
      <c r="V845" s="556"/>
    </row>
    <row r="846" ht="15.75" customHeight="1">
      <c r="V846" s="556"/>
    </row>
    <row r="847" ht="15.75" customHeight="1">
      <c r="V847" s="556"/>
    </row>
    <row r="848" ht="15.75" customHeight="1">
      <c r="V848" s="556"/>
    </row>
    <row r="849" ht="15.75" customHeight="1">
      <c r="V849" s="556"/>
    </row>
    <row r="850" ht="15.75" customHeight="1">
      <c r="V850" s="556"/>
    </row>
    <row r="851" ht="15.75" customHeight="1">
      <c r="V851" s="556"/>
    </row>
    <row r="852" ht="15.75" customHeight="1">
      <c r="V852" s="556"/>
    </row>
    <row r="853" ht="15.75" customHeight="1">
      <c r="V853" s="556"/>
    </row>
    <row r="854" ht="15.75" customHeight="1">
      <c r="V854" s="556"/>
    </row>
    <row r="855" ht="15.75" customHeight="1">
      <c r="V855" s="556"/>
    </row>
    <row r="856" ht="15.75" customHeight="1">
      <c r="V856" s="556"/>
    </row>
    <row r="857" ht="15.75" customHeight="1">
      <c r="V857" s="556"/>
    </row>
    <row r="858" ht="15.75" customHeight="1">
      <c r="V858" s="556"/>
    </row>
    <row r="859" ht="15.75" customHeight="1">
      <c r="V859" s="556"/>
    </row>
    <row r="860" ht="15.75" customHeight="1">
      <c r="V860" s="556"/>
    </row>
    <row r="861" ht="15.75" customHeight="1">
      <c r="V861" s="556"/>
    </row>
    <row r="862" ht="15.75" customHeight="1">
      <c r="V862" s="556"/>
    </row>
    <row r="863" ht="15.75" customHeight="1">
      <c r="V863" s="556"/>
    </row>
    <row r="864" ht="15.75" customHeight="1">
      <c r="V864" s="556"/>
    </row>
    <row r="865" ht="15.75" customHeight="1">
      <c r="V865" s="556"/>
    </row>
    <row r="866" ht="15.75" customHeight="1">
      <c r="V866" s="556"/>
    </row>
    <row r="867" ht="15.75" customHeight="1">
      <c r="V867" s="556"/>
    </row>
    <row r="868" ht="15.75" customHeight="1">
      <c r="V868" s="556"/>
    </row>
    <row r="869" ht="15.75" customHeight="1">
      <c r="V869" s="556"/>
    </row>
    <row r="870" ht="15.75" customHeight="1">
      <c r="V870" s="556"/>
    </row>
    <row r="871" ht="15.75" customHeight="1">
      <c r="V871" s="556"/>
    </row>
    <row r="872" ht="15.75" customHeight="1">
      <c r="V872" s="556"/>
    </row>
    <row r="873" ht="15.75" customHeight="1">
      <c r="V873" s="556"/>
    </row>
    <row r="874" ht="15.75" customHeight="1">
      <c r="V874" s="556"/>
    </row>
    <row r="875" ht="15.75" customHeight="1">
      <c r="V875" s="556"/>
    </row>
    <row r="876" ht="15.75" customHeight="1">
      <c r="V876" s="556"/>
    </row>
    <row r="877" ht="15.75" customHeight="1">
      <c r="V877" s="556"/>
    </row>
    <row r="878" ht="15.75" customHeight="1">
      <c r="V878" s="556"/>
    </row>
    <row r="879" ht="15.75" customHeight="1">
      <c r="V879" s="556"/>
    </row>
    <row r="880" ht="15.75" customHeight="1">
      <c r="V880" s="556"/>
    </row>
    <row r="881" ht="15.75" customHeight="1">
      <c r="V881" s="556"/>
    </row>
    <row r="882" ht="15.75" customHeight="1">
      <c r="V882" s="556"/>
    </row>
    <row r="883" ht="15.75" customHeight="1">
      <c r="V883" s="556"/>
    </row>
    <row r="884" ht="15.75" customHeight="1">
      <c r="V884" s="556"/>
    </row>
    <row r="885" ht="15.75" customHeight="1">
      <c r="V885" s="556"/>
    </row>
    <row r="886" ht="15.75" customHeight="1">
      <c r="V886" s="556"/>
    </row>
    <row r="887" ht="15.75" customHeight="1">
      <c r="V887" s="556"/>
    </row>
    <row r="888" ht="15.75" customHeight="1">
      <c r="V888" s="556"/>
    </row>
    <row r="889" ht="15.75" customHeight="1">
      <c r="V889" s="556"/>
    </row>
    <row r="890" ht="15.75" customHeight="1">
      <c r="V890" s="556"/>
    </row>
    <row r="891" ht="15.75" customHeight="1">
      <c r="V891" s="556"/>
    </row>
    <row r="892" ht="15.75" customHeight="1">
      <c r="V892" s="556"/>
    </row>
    <row r="893" ht="15.75" customHeight="1">
      <c r="V893" s="556"/>
    </row>
    <row r="894" ht="15.75" customHeight="1">
      <c r="V894" s="556"/>
    </row>
    <row r="895" ht="15.75" customHeight="1">
      <c r="V895" s="556"/>
    </row>
    <row r="896" ht="15.75" customHeight="1">
      <c r="V896" s="556"/>
    </row>
    <row r="897" ht="15.75" customHeight="1">
      <c r="V897" s="556"/>
    </row>
    <row r="898" ht="15.75" customHeight="1">
      <c r="V898" s="556"/>
    </row>
    <row r="899" ht="15.75" customHeight="1">
      <c r="V899" s="556"/>
    </row>
    <row r="900" ht="15.75" customHeight="1">
      <c r="V900" s="556"/>
    </row>
    <row r="901" ht="15.75" customHeight="1">
      <c r="V901" s="556"/>
    </row>
    <row r="902" ht="15.75" customHeight="1">
      <c r="V902" s="556"/>
    </row>
    <row r="903" ht="15.75" customHeight="1">
      <c r="V903" s="556"/>
    </row>
    <row r="904" ht="15.75" customHeight="1">
      <c r="V904" s="556"/>
    </row>
    <row r="905" ht="15.75" customHeight="1">
      <c r="V905" s="556"/>
    </row>
    <row r="906" ht="15.75" customHeight="1">
      <c r="V906" s="556"/>
    </row>
    <row r="907" ht="15.75" customHeight="1">
      <c r="V907" s="556"/>
    </row>
    <row r="908" ht="15.75" customHeight="1">
      <c r="V908" s="556"/>
    </row>
    <row r="909" ht="15.75" customHeight="1">
      <c r="V909" s="556"/>
    </row>
    <row r="910" ht="15.75" customHeight="1">
      <c r="V910" s="556"/>
    </row>
    <row r="911" ht="15.75" customHeight="1">
      <c r="V911" s="556"/>
    </row>
    <row r="912" ht="15.75" customHeight="1">
      <c r="V912" s="556"/>
    </row>
    <row r="913" ht="15.75" customHeight="1">
      <c r="V913" s="556"/>
    </row>
    <row r="914" ht="15.75" customHeight="1">
      <c r="V914" s="556"/>
    </row>
    <row r="915" ht="15.75" customHeight="1">
      <c r="V915" s="556"/>
    </row>
    <row r="916" ht="15.75" customHeight="1">
      <c r="V916" s="556"/>
    </row>
    <row r="917" ht="15.75" customHeight="1">
      <c r="V917" s="556"/>
    </row>
    <row r="918" ht="15.75" customHeight="1">
      <c r="V918" s="556"/>
    </row>
    <row r="919" ht="15.75" customHeight="1">
      <c r="V919" s="556"/>
    </row>
    <row r="920" ht="15.75" customHeight="1">
      <c r="V920" s="556"/>
    </row>
    <row r="921" ht="15.75" customHeight="1">
      <c r="V921" s="556"/>
    </row>
    <row r="922" ht="15.75" customHeight="1">
      <c r="V922" s="556"/>
    </row>
    <row r="923" ht="15.75" customHeight="1">
      <c r="V923" s="556"/>
    </row>
    <row r="924" ht="15.75" customHeight="1">
      <c r="V924" s="556"/>
    </row>
    <row r="925" ht="15.75" customHeight="1">
      <c r="V925" s="556"/>
    </row>
    <row r="926" ht="15.75" customHeight="1">
      <c r="V926" s="556"/>
    </row>
    <row r="927" ht="15.75" customHeight="1">
      <c r="V927" s="556"/>
    </row>
    <row r="928" ht="15.75" customHeight="1">
      <c r="V928" s="556"/>
    </row>
    <row r="929" ht="15.75" customHeight="1">
      <c r="V929" s="556"/>
    </row>
    <row r="930" ht="15.75" customHeight="1">
      <c r="V930" s="556"/>
    </row>
    <row r="931" ht="15.75" customHeight="1">
      <c r="V931" s="556"/>
    </row>
    <row r="932" ht="15.75" customHeight="1">
      <c r="V932" s="556"/>
    </row>
    <row r="933" ht="15.75" customHeight="1">
      <c r="V933" s="556"/>
    </row>
    <row r="934" ht="15.75" customHeight="1">
      <c r="V934" s="556"/>
    </row>
    <row r="935" ht="15.75" customHeight="1">
      <c r="V935" s="556"/>
    </row>
    <row r="936" ht="15.75" customHeight="1">
      <c r="V936" s="556"/>
    </row>
    <row r="937" ht="15.75" customHeight="1">
      <c r="V937" s="556"/>
    </row>
    <row r="938" ht="15.75" customHeight="1">
      <c r="V938" s="556"/>
    </row>
    <row r="939" ht="15.75" customHeight="1">
      <c r="V939" s="556"/>
    </row>
    <row r="940" ht="15.75" customHeight="1">
      <c r="V940" s="556"/>
    </row>
    <row r="941" ht="15.75" customHeight="1">
      <c r="V941" s="556"/>
    </row>
    <row r="942" ht="15.75" customHeight="1">
      <c r="V942" s="556"/>
    </row>
    <row r="943" ht="15.75" customHeight="1">
      <c r="V943" s="556"/>
    </row>
    <row r="944" ht="15.75" customHeight="1">
      <c r="V944" s="556"/>
    </row>
    <row r="945" ht="15.75" customHeight="1">
      <c r="V945" s="556"/>
    </row>
    <row r="946" ht="15.75" customHeight="1">
      <c r="V946" s="556"/>
    </row>
    <row r="947" ht="15.75" customHeight="1">
      <c r="V947" s="556"/>
    </row>
    <row r="948" ht="15.75" customHeight="1">
      <c r="V948" s="556"/>
    </row>
    <row r="949" ht="15.75" customHeight="1">
      <c r="V949" s="556"/>
    </row>
    <row r="950" ht="15.75" customHeight="1">
      <c r="V950" s="556"/>
    </row>
    <row r="951" ht="15.75" customHeight="1">
      <c r="V951" s="556"/>
    </row>
    <row r="952" ht="15.75" customHeight="1">
      <c r="V952" s="556"/>
    </row>
    <row r="953" ht="15.75" customHeight="1">
      <c r="V953" s="556"/>
    </row>
    <row r="954" ht="15.75" customHeight="1">
      <c r="V954" s="556"/>
    </row>
    <row r="955" ht="15.75" customHeight="1">
      <c r="V955" s="556"/>
    </row>
    <row r="956" ht="15.75" customHeight="1">
      <c r="V956" s="556"/>
    </row>
    <row r="957" ht="15.75" customHeight="1">
      <c r="V957" s="556"/>
    </row>
    <row r="958" ht="15.75" customHeight="1">
      <c r="V958" s="556"/>
    </row>
    <row r="959" ht="15.75" customHeight="1">
      <c r="V959" s="556"/>
    </row>
    <row r="960" ht="15.75" customHeight="1">
      <c r="V960" s="556"/>
    </row>
    <row r="961" ht="15.75" customHeight="1">
      <c r="V961" s="556"/>
    </row>
    <row r="962" ht="15.75" customHeight="1">
      <c r="V962" s="556"/>
    </row>
    <row r="963" ht="15.75" customHeight="1">
      <c r="V963" s="556"/>
    </row>
    <row r="964" ht="15.75" customHeight="1">
      <c r="V964" s="556"/>
    </row>
    <row r="965" ht="15.75" customHeight="1">
      <c r="V965" s="556"/>
    </row>
    <row r="966" ht="15.75" customHeight="1">
      <c r="V966" s="556"/>
    </row>
    <row r="967" ht="15.75" customHeight="1">
      <c r="V967" s="556"/>
    </row>
    <row r="968" ht="15.75" customHeight="1">
      <c r="V968" s="556"/>
    </row>
    <row r="969" ht="15.75" customHeight="1">
      <c r="V969" s="556"/>
    </row>
    <row r="970" ht="15.75" customHeight="1">
      <c r="V970" s="556"/>
    </row>
    <row r="971" ht="15.75" customHeight="1">
      <c r="V971" s="556"/>
    </row>
    <row r="972" ht="15.75" customHeight="1">
      <c r="V972" s="556"/>
    </row>
    <row r="973" ht="15.75" customHeight="1">
      <c r="V973" s="556"/>
    </row>
    <row r="974" ht="15.75" customHeight="1">
      <c r="V974" s="556"/>
    </row>
    <row r="975" ht="15.75" customHeight="1">
      <c r="V975" s="556"/>
    </row>
    <row r="976" ht="15.75" customHeight="1">
      <c r="V976" s="556"/>
    </row>
    <row r="977" ht="15.75" customHeight="1">
      <c r="V977" s="556"/>
    </row>
    <row r="978" ht="15.75" customHeight="1">
      <c r="V978" s="556"/>
    </row>
    <row r="979" ht="15.75" customHeight="1">
      <c r="V979" s="556"/>
    </row>
    <row r="980" ht="15.75" customHeight="1">
      <c r="V980" s="556"/>
    </row>
    <row r="981" ht="15.75" customHeight="1">
      <c r="V981" s="556"/>
    </row>
    <row r="982" ht="15.75" customHeight="1">
      <c r="V982" s="556"/>
    </row>
    <row r="983" ht="15.75" customHeight="1">
      <c r="V983" s="556"/>
    </row>
    <row r="984" ht="15.75" customHeight="1">
      <c r="V984" s="556"/>
    </row>
    <row r="985" ht="15.75" customHeight="1">
      <c r="V985" s="556"/>
    </row>
    <row r="986" ht="15.75" customHeight="1">
      <c r="V986" s="556"/>
    </row>
    <row r="987" ht="15.75" customHeight="1">
      <c r="V987" s="556"/>
    </row>
    <row r="988" ht="15.75" customHeight="1">
      <c r="V988" s="556"/>
    </row>
    <row r="989" ht="15.75" customHeight="1">
      <c r="V989" s="556"/>
    </row>
    <row r="990" ht="15.75" customHeight="1">
      <c r="V990" s="556"/>
    </row>
    <row r="991" ht="15.75" customHeight="1">
      <c r="V991" s="556"/>
    </row>
    <row r="992" ht="15.75" customHeight="1">
      <c r="V992" s="556"/>
    </row>
    <row r="993" ht="15.75" customHeight="1">
      <c r="V993" s="556"/>
    </row>
    <row r="994" ht="15.75" customHeight="1">
      <c r="V994" s="556"/>
    </row>
    <row r="995" ht="15.75" customHeight="1">
      <c r="V995" s="556"/>
    </row>
    <row r="996" ht="15.75" customHeight="1">
      <c r="V996" s="556"/>
    </row>
    <row r="997" ht="15.75" customHeight="1">
      <c r="V997" s="556"/>
    </row>
    <row r="998" ht="15.75" customHeight="1">
      <c r="V998" s="556"/>
    </row>
    <row r="999" ht="15.75" customHeight="1">
      <c r="V999" s="556"/>
    </row>
    <row r="1000" ht="15.75" customHeight="1">
      <c r="V1000" s="556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82</v>
      </c>
      <c r="B1" s="303"/>
      <c r="C1" s="303"/>
      <c r="D1" s="303"/>
      <c r="E1" s="303"/>
      <c r="F1" s="303"/>
      <c r="G1" s="304"/>
      <c r="H1" s="306" t="s">
        <v>84</v>
      </c>
      <c r="I1" s="304"/>
      <c r="J1" s="302" t="s">
        <v>82</v>
      </c>
      <c r="K1" s="303"/>
      <c r="L1" s="303"/>
      <c r="M1" s="303"/>
      <c r="N1" s="303"/>
      <c r="O1" s="303"/>
      <c r="P1" s="303"/>
      <c r="Q1" s="304"/>
      <c r="R1" s="307" t="s">
        <v>2538</v>
      </c>
      <c r="S1" s="557" t="s">
        <v>2537</v>
      </c>
      <c r="T1" s="558" t="s">
        <v>85</v>
      </c>
      <c r="U1" s="303"/>
      <c r="V1" s="303"/>
      <c r="W1" s="303"/>
      <c r="X1" s="304"/>
      <c r="Y1" s="559" t="s">
        <v>86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87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89</v>
      </c>
      <c r="I2" s="1" t="s">
        <v>90</v>
      </c>
      <c r="J2" s="2" t="s">
        <v>3756</v>
      </c>
      <c r="K2" s="2" t="s">
        <v>3757</v>
      </c>
      <c r="L2" s="2" t="s">
        <v>3758</v>
      </c>
      <c r="M2" s="2" t="s">
        <v>91</v>
      </c>
      <c r="N2" s="34" t="s">
        <v>92</v>
      </c>
      <c r="O2" s="34" t="s">
        <v>93</v>
      </c>
      <c r="P2" s="34" t="s">
        <v>9</v>
      </c>
      <c r="Q2" s="36" t="s">
        <v>94</v>
      </c>
      <c r="R2" s="4" t="s">
        <v>96</v>
      </c>
      <c r="S2" s="4" t="s">
        <v>97</v>
      </c>
      <c r="T2" s="2" t="s">
        <v>98</v>
      </c>
      <c r="U2" s="34" t="s">
        <v>39</v>
      </c>
      <c r="V2" s="1" t="s">
        <v>99</v>
      </c>
      <c r="W2" s="3" t="s">
        <v>40</v>
      </c>
      <c r="X2" s="3" t="s">
        <v>100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3" t="s">
        <v>17</v>
      </c>
      <c r="B3" s="78" t="s">
        <v>3759</v>
      </c>
      <c r="C3" s="79" t="s">
        <v>3760</v>
      </c>
      <c r="D3" s="511" t="s">
        <v>3761</v>
      </c>
      <c r="E3" s="319" t="s">
        <v>18</v>
      </c>
      <c r="F3" s="93" t="s">
        <v>34</v>
      </c>
      <c r="G3" s="512" t="s">
        <v>3762</v>
      </c>
      <c r="H3" s="463" t="s">
        <v>107</v>
      </c>
      <c r="I3" s="46" t="s">
        <v>24</v>
      </c>
      <c r="J3" s="319" t="s">
        <v>3763</v>
      </c>
      <c r="K3" s="319" t="s">
        <v>3764</v>
      </c>
      <c r="L3" s="319" t="s">
        <v>3764</v>
      </c>
      <c r="M3" s="319" t="str">
        <f t="shared" ref="M3:M22" si="1">IF(R3=0,"Não","Sim")</f>
        <v>Não</v>
      </c>
      <c r="N3" s="560">
        <v>45084.0</v>
      </c>
      <c r="O3" s="511"/>
      <c r="P3" s="164" t="s">
        <v>23</v>
      </c>
      <c r="Q3" s="561">
        <v>0.0075</v>
      </c>
      <c r="R3" s="169"/>
      <c r="S3" s="169"/>
      <c r="T3" s="164" t="s">
        <v>369</v>
      </c>
      <c r="U3" s="13" t="s">
        <v>2814</v>
      </c>
      <c r="V3" s="9"/>
      <c r="W3" s="164"/>
      <c r="X3" s="164"/>
      <c r="Y3" s="562">
        <v>0.0</v>
      </c>
      <c r="Z3" s="562">
        <v>0.0</v>
      </c>
      <c r="AA3" s="562">
        <v>0.0</v>
      </c>
      <c r="AB3" s="562">
        <v>0.0</v>
      </c>
      <c r="AC3" s="562">
        <v>0.0</v>
      </c>
      <c r="AD3" s="562">
        <v>138472.32</v>
      </c>
      <c r="AE3" s="562">
        <v>282901.21</v>
      </c>
      <c r="AF3" s="562">
        <v>383594.1</v>
      </c>
      <c r="AG3" s="562">
        <v>470635.65</v>
      </c>
      <c r="AH3" s="563">
        <v>468788.84</v>
      </c>
      <c r="AI3" s="563">
        <v>577580.95</v>
      </c>
      <c r="AJ3" s="563">
        <v>689001.9</v>
      </c>
      <c r="AK3" s="563">
        <v>688986.26</v>
      </c>
      <c r="AL3" s="563">
        <v>686613.89</v>
      </c>
      <c r="AM3" s="563">
        <v>692206.92</v>
      </c>
      <c r="AN3" s="563">
        <v>681409.11</v>
      </c>
      <c r="AO3" s="563">
        <v>688859.81</v>
      </c>
      <c r="AP3" s="563">
        <v>693765.96</v>
      </c>
    </row>
    <row r="4" ht="15.75" customHeight="1">
      <c r="A4" s="564" t="s">
        <v>17</v>
      </c>
      <c r="B4" s="565" t="s">
        <v>143</v>
      </c>
      <c r="C4" s="564" t="s">
        <v>141</v>
      </c>
      <c r="D4" s="566" t="s">
        <v>3765</v>
      </c>
      <c r="E4" s="319" t="s">
        <v>18</v>
      </c>
      <c r="F4" s="93" t="s">
        <v>29</v>
      </c>
      <c r="G4" s="512" t="s">
        <v>2213</v>
      </c>
      <c r="H4" s="463" t="s">
        <v>107</v>
      </c>
      <c r="I4" s="46" t="s">
        <v>24</v>
      </c>
      <c r="J4" s="319" t="s">
        <v>3763</v>
      </c>
      <c r="K4" s="319" t="s">
        <v>3764</v>
      </c>
      <c r="L4" s="319" t="s">
        <v>3764</v>
      </c>
      <c r="M4" s="319" t="str">
        <f t="shared" si="1"/>
        <v>Não</v>
      </c>
      <c r="N4" s="567">
        <v>44944.0</v>
      </c>
      <c r="O4" s="566"/>
      <c r="P4" s="45" t="s">
        <v>23</v>
      </c>
      <c r="Q4" s="568">
        <v>0.008</v>
      </c>
      <c r="R4" s="50"/>
      <c r="S4" s="50"/>
      <c r="T4" s="45" t="s">
        <v>108</v>
      </c>
      <c r="U4" s="13" t="s">
        <v>29</v>
      </c>
      <c r="V4" s="9"/>
      <c r="W4" s="45"/>
      <c r="X4" s="45"/>
      <c r="Y4" s="569">
        <v>11803.57</v>
      </c>
      <c r="Z4" s="569">
        <v>18456.36</v>
      </c>
      <c r="AA4" s="569">
        <v>20875.33</v>
      </c>
      <c r="AB4" s="569">
        <v>24997.93</v>
      </c>
      <c r="AC4" s="569">
        <v>46740.62</v>
      </c>
      <c r="AD4" s="569">
        <v>47715.17</v>
      </c>
      <c r="AE4" s="569">
        <v>57927.64</v>
      </c>
      <c r="AF4" s="569">
        <v>59410.8</v>
      </c>
      <c r="AG4" s="569">
        <v>58690.9</v>
      </c>
      <c r="AH4" s="563">
        <v>57930.35</v>
      </c>
      <c r="AI4" s="563">
        <v>59857.12</v>
      </c>
      <c r="AJ4" s="563">
        <v>70574.84</v>
      </c>
      <c r="AK4" s="563">
        <v>70944.3</v>
      </c>
      <c r="AL4" s="563">
        <v>72043.62</v>
      </c>
      <c r="AM4" s="563">
        <v>74073.95</v>
      </c>
      <c r="AN4" s="563">
        <v>83067.89</v>
      </c>
      <c r="AO4" s="563">
        <v>84716.37</v>
      </c>
      <c r="AP4" s="563">
        <v>85439.63</v>
      </c>
    </row>
    <row r="5" ht="15.75" customHeight="1">
      <c r="A5" s="564" t="s">
        <v>17</v>
      </c>
      <c r="B5" s="565" t="s">
        <v>3766</v>
      </c>
      <c r="C5" s="6" t="s">
        <v>3767</v>
      </c>
      <c r="D5" s="24" t="s">
        <v>3768</v>
      </c>
      <c r="E5" s="324" t="s">
        <v>18</v>
      </c>
      <c r="F5" s="11" t="s">
        <v>19</v>
      </c>
      <c r="G5" s="324" t="s">
        <v>213</v>
      </c>
      <c r="H5" s="440" t="s">
        <v>123</v>
      </c>
      <c r="I5" s="51" t="s">
        <v>24</v>
      </c>
      <c r="J5" s="324" t="s">
        <v>3763</v>
      </c>
      <c r="K5" s="324" t="s">
        <v>3764</v>
      </c>
      <c r="L5" s="324" t="s">
        <v>3764</v>
      </c>
      <c r="M5" s="319" t="str">
        <f t="shared" si="1"/>
        <v>Não</v>
      </c>
      <c r="N5" s="570">
        <v>45372.0</v>
      </c>
      <c r="O5" s="566"/>
      <c r="P5" s="24" t="s">
        <v>23</v>
      </c>
      <c r="Q5" s="571">
        <v>0.008</v>
      </c>
      <c r="R5" s="50"/>
      <c r="S5" s="50"/>
      <c r="T5" s="24" t="s">
        <v>108</v>
      </c>
      <c r="U5" s="13" t="s">
        <v>19</v>
      </c>
      <c r="V5" s="9"/>
      <c r="W5" s="45"/>
      <c r="X5" s="45"/>
      <c r="Y5" s="563">
        <v>0.0</v>
      </c>
      <c r="Z5" s="563">
        <v>0.0</v>
      </c>
      <c r="AA5" s="563">
        <v>0.0</v>
      </c>
      <c r="AB5" s="563">
        <v>0.0</v>
      </c>
      <c r="AC5" s="563">
        <v>0.0</v>
      </c>
      <c r="AD5" s="563">
        <v>0.0</v>
      </c>
      <c r="AE5" s="563">
        <v>0.0</v>
      </c>
      <c r="AF5" s="563">
        <v>0.0</v>
      </c>
      <c r="AG5" s="563">
        <v>0.0</v>
      </c>
      <c r="AH5" s="563">
        <v>0.0</v>
      </c>
      <c r="AI5" s="563">
        <v>0.0</v>
      </c>
      <c r="AJ5" s="563">
        <v>0.0</v>
      </c>
      <c r="AK5" s="563">
        <v>0.0</v>
      </c>
      <c r="AL5" s="563">
        <v>0.0</v>
      </c>
      <c r="AM5" s="563">
        <v>0.0</v>
      </c>
      <c r="AN5" s="563">
        <v>207621.11</v>
      </c>
      <c r="AO5" s="563">
        <v>208569.14</v>
      </c>
      <c r="AP5" s="563">
        <v>207651.57</v>
      </c>
    </row>
    <row r="6" ht="15.75" customHeight="1">
      <c r="A6" s="564" t="s">
        <v>17</v>
      </c>
      <c r="B6" s="565" t="s">
        <v>350</v>
      </c>
      <c r="C6" s="564" t="s">
        <v>3769</v>
      </c>
      <c r="D6" s="566" t="s">
        <v>3770</v>
      </c>
      <c r="E6" s="319" t="s">
        <v>18</v>
      </c>
      <c r="F6" s="93" t="s">
        <v>29</v>
      </c>
      <c r="G6" s="512" t="s">
        <v>168</v>
      </c>
      <c r="H6" s="463" t="s">
        <v>186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7">
        <v>45083.0</v>
      </c>
      <c r="O6" s="567">
        <v>45083.0</v>
      </c>
      <c r="P6" s="45" t="s">
        <v>23</v>
      </c>
      <c r="Q6" s="568">
        <v>0.008</v>
      </c>
      <c r="R6" s="50"/>
      <c r="S6" s="50"/>
      <c r="T6" s="45" t="s">
        <v>369</v>
      </c>
      <c r="U6" s="13" t="s">
        <v>2814</v>
      </c>
      <c r="V6" s="9"/>
      <c r="W6" s="45"/>
      <c r="X6" s="45"/>
      <c r="Y6" s="569">
        <v>0.0</v>
      </c>
      <c r="Z6" s="569">
        <v>0.0</v>
      </c>
      <c r="AA6" s="569">
        <v>0.0</v>
      </c>
      <c r="AB6" s="569">
        <v>0.0</v>
      </c>
      <c r="AC6" s="569">
        <v>0.0</v>
      </c>
      <c r="AD6" s="563">
        <v>0.0</v>
      </c>
      <c r="AE6" s="563">
        <v>0.0</v>
      </c>
      <c r="AF6" s="563">
        <v>0.0</v>
      </c>
      <c r="AG6" s="563">
        <v>0.0</v>
      </c>
      <c r="AH6" s="563">
        <v>0.0</v>
      </c>
      <c r="AI6" s="563">
        <v>0.0</v>
      </c>
      <c r="AJ6" s="563">
        <v>0.0</v>
      </c>
      <c r="AK6" s="563">
        <v>0.0</v>
      </c>
      <c r="AL6" s="563">
        <v>0.0</v>
      </c>
      <c r="AM6" s="563">
        <v>0.0</v>
      </c>
      <c r="AN6" s="563">
        <v>0.0</v>
      </c>
      <c r="AO6" s="563">
        <v>0.0</v>
      </c>
      <c r="AP6" s="563">
        <v>0.0</v>
      </c>
    </row>
    <row r="7" ht="15.75" customHeight="1">
      <c r="A7" s="564" t="s">
        <v>17</v>
      </c>
      <c r="B7" s="565" t="s">
        <v>417</v>
      </c>
      <c r="C7" s="564" t="s">
        <v>3771</v>
      </c>
      <c r="D7" s="566" t="s">
        <v>3772</v>
      </c>
      <c r="E7" s="319" t="s">
        <v>18</v>
      </c>
      <c r="F7" s="93" t="s">
        <v>29</v>
      </c>
      <c r="G7" s="512" t="s">
        <v>294</v>
      </c>
      <c r="H7" s="463" t="s">
        <v>107</v>
      </c>
      <c r="I7" s="46" t="s">
        <v>24</v>
      </c>
      <c r="J7" s="319" t="s">
        <v>3763</v>
      </c>
      <c r="K7" s="319" t="s">
        <v>3764</v>
      </c>
      <c r="L7" s="319" t="s">
        <v>3764</v>
      </c>
      <c r="M7" s="319" t="str">
        <f t="shared" si="1"/>
        <v>Não</v>
      </c>
      <c r="N7" s="567">
        <v>45040.0</v>
      </c>
      <c r="O7" s="566"/>
      <c r="P7" s="45" t="s">
        <v>23</v>
      </c>
      <c r="Q7" s="568">
        <v>0.008</v>
      </c>
      <c r="R7" s="41"/>
      <c r="S7" s="50"/>
      <c r="T7" s="45" t="s">
        <v>369</v>
      </c>
      <c r="U7" s="13" t="s">
        <v>29</v>
      </c>
      <c r="V7" s="9"/>
      <c r="W7" s="45"/>
      <c r="X7" s="45"/>
      <c r="Y7" s="569">
        <v>0.0</v>
      </c>
      <c r="Z7" s="569">
        <v>0.0</v>
      </c>
      <c r="AA7" s="569">
        <v>0.0</v>
      </c>
      <c r="AB7" s="569">
        <v>90191.83</v>
      </c>
      <c r="AC7" s="569">
        <v>188409.94</v>
      </c>
      <c r="AD7" s="569">
        <v>190915.46</v>
      </c>
      <c r="AE7" s="569">
        <v>195942.82</v>
      </c>
      <c r="AF7" s="569">
        <v>194952.22</v>
      </c>
      <c r="AG7" s="569">
        <v>229416.65</v>
      </c>
      <c r="AH7" s="563">
        <v>222366.04</v>
      </c>
      <c r="AI7" s="563">
        <v>232669.03</v>
      </c>
      <c r="AJ7" s="563">
        <v>235990.65</v>
      </c>
      <c r="AK7" s="563">
        <v>236650.8</v>
      </c>
      <c r="AL7" s="563">
        <v>241714.09</v>
      </c>
      <c r="AM7" s="563">
        <v>336717.54</v>
      </c>
      <c r="AN7" s="563">
        <v>394361.87</v>
      </c>
      <c r="AO7" s="563">
        <v>404708.28</v>
      </c>
      <c r="AP7" s="563">
        <v>413427.96</v>
      </c>
    </row>
    <row r="8" ht="15.75" customHeight="1">
      <c r="A8" s="564" t="s">
        <v>17</v>
      </c>
      <c r="B8" s="572" t="s">
        <v>3773</v>
      </c>
      <c r="C8" s="573" t="s">
        <v>3774</v>
      </c>
      <c r="D8" s="566" t="s">
        <v>3775</v>
      </c>
      <c r="E8" s="319" t="s">
        <v>18</v>
      </c>
      <c r="F8" s="93" t="s">
        <v>34</v>
      </c>
      <c r="G8" s="512" t="s">
        <v>3762</v>
      </c>
      <c r="H8" s="440" t="s">
        <v>186</v>
      </c>
      <c r="I8" s="46" t="s">
        <v>24</v>
      </c>
      <c r="J8" s="319" t="s">
        <v>24</v>
      </c>
      <c r="K8" s="319" t="s">
        <v>3776</v>
      </c>
      <c r="L8" s="319" t="s">
        <v>3776</v>
      </c>
      <c r="M8" s="319" t="str">
        <f t="shared" si="1"/>
        <v>Não</v>
      </c>
      <c r="N8" s="566"/>
      <c r="O8" s="570">
        <v>45450.0</v>
      </c>
      <c r="P8" s="45" t="s">
        <v>23</v>
      </c>
      <c r="Q8" s="568"/>
      <c r="R8" s="60"/>
      <c r="S8" s="60"/>
      <c r="T8" s="45" t="s">
        <v>369</v>
      </c>
      <c r="U8" s="13" t="s">
        <v>2814</v>
      </c>
      <c r="V8" s="9"/>
      <c r="W8" s="45"/>
      <c r="X8" s="45"/>
      <c r="Y8" s="569">
        <v>0.0</v>
      </c>
      <c r="Z8" s="569">
        <v>0.0</v>
      </c>
      <c r="AA8" s="569">
        <v>0.0</v>
      </c>
      <c r="AB8" s="569">
        <v>0.0</v>
      </c>
      <c r="AC8" s="569">
        <v>50100.0</v>
      </c>
      <c r="AD8" s="569">
        <v>10.96</v>
      </c>
      <c r="AE8" s="569">
        <v>0.0</v>
      </c>
      <c r="AF8" s="569">
        <v>0.0</v>
      </c>
      <c r="AG8" s="569">
        <v>10.96</v>
      </c>
      <c r="AH8" s="563">
        <v>0.0</v>
      </c>
      <c r="AI8" s="563">
        <v>0.0</v>
      </c>
      <c r="AJ8" s="563">
        <v>10.96</v>
      </c>
      <c r="AK8" s="563">
        <v>0.0</v>
      </c>
      <c r="AL8" s="563">
        <v>0.0</v>
      </c>
      <c r="AM8" s="563">
        <v>10.96</v>
      </c>
      <c r="AN8" s="563">
        <v>-39.04</v>
      </c>
      <c r="AO8" s="563">
        <v>0.0</v>
      </c>
      <c r="AP8" s="563">
        <v>0.0</v>
      </c>
    </row>
    <row r="9" ht="15.75" customHeight="1">
      <c r="A9" s="564" t="s">
        <v>17</v>
      </c>
      <c r="B9" s="574">
        <v>2.18056950018E11</v>
      </c>
      <c r="C9" s="6" t="s">
        <v>3777</v>
      </c>
      <c r="D9" s="218" t="s">
        <v>3778</v>
      </c>
      <c r="E9" s="324" t="s">
        <v>105</v>
      </c>
      <c r="F9" s="11" t="s">
        <v>29</v>
      </c>
      <c r="G9" s="513" t="s">
        <v>106</v>
      </c>
      <c r="H9" s="440" t="s">
        <v>123</v>
      </c>
      <c r="I9" s="51" t="s">
        <v>24</v>
      </c>
      <c r="J9" s="324" t="s">
        <v>3763</v>
      </c>
      <c r="K9" s="324" t="s">
        <v>3764</v>
      </c>
      <c r="L9" s="324" t="s">
        <v>3764</v>
      </c>
      <c r="M9" s="319" t="str">
        <f t="shared" si="1"/>
        <v>Não</v>
      </c>
      <c r="N9" s="570">
        <v>45405.0</v>
      </c>
      <c r="O9" s="566"/>
      <c r="P9" s="24" t="s">
        <v>23</v>
      </c>
      <c r="Q9" s="571">
        <v>0.008</v>
      </c>
      <c r="R9" s="60"/>
      <c r="S9" s="60"/>
      <c r="T9" s="24" t="s">
        <v>369</v>
      </c>
      <c r="U9" s="13"/>
      <c r="V9" s="9"/>
      <c r="W9" s="45"/>
      <c r="X9" s="45"/>
      <c r="Y9" s="569"/>
      <c r="Z9" s="569"/>
      <c r="AA9" s="569"/>
      <c r="AB9" s="569"/>
      <c r="AC9" s="569"/>
      <c r="AD9" s="569"/>
      <c r="AE9" s="569"/>
      <c r="AF9" s="569"/>
      <c r="AG9" s="569"/>
      <c r="AH9" s="563"/>
      <c r="AI9" s="563"/>
      <c r="AJ9" s="563"/>
      <c r="AK9" s="563"/>
      <c r="AL9" s="563"/>
      <c r="AM9" s="563"/>
      <c r="AN9" s="563">
        <v>0.0</v>
      </c>
      <c r="AO9" s="563">
        <v>0.0</v>
      </c>
      <c r="AP9" s="563">
        <v>0.0</v>
      </c>
    </row>
    <row r="10" ht="15.75" customHeight="1">
      <c r="A10" s="564" t="s">
        <v>17</v>
      </c>
      <c r="B10" s="575" t="s">
        <v>699</v>
      </c>
      <c r="C10" s="576" t="s">
        <v>696</v>
      </c>
      <c r="D10" s="65" t="s">
        <v>3779</v>
      </c>
      <c r="E10" s="324" t="s">
        <v>18</v>
      </c>
      <c r="F10" s="11" t="s">
        <v>29</v>
      </c>
      <c r="G10" s="513" t="s">
        <v>60</v>
      </c>
      <c r="H10" s="440" t="s">
        <v>123</v>
      </c>
      <c r="I10" s="51" t="s">
        <v>24</v>
      </c>
      <c r="J10" s="324" t="s">
        <v>3763</v>
      </c>
      <c r="K10" s="324"/>
      <c r="L10" s="324"/>
      <c r="M10" s="319" t="str">
        <f t="shared" si="1"/>
        <v>Não</v>
      </c>
      <c r="N10" s="570">
        <v>45428.0</v>
      </c>
      <c r="O10" s="566"/>
      <c r="P10" s="24" t="s">
        <v>23</v>
      </c>
      <c r="Q10" s="571">
        <v>0.008</v>
      </c>
      <c r="R10" s="60"/>
      <c r="S10" s="60"/>
      <c r="T10" s="24" t="s">
        <v>108</v>
      </c>
      <c r="U10" s="577" t="s">
        <v>29</v>
      </c>
      <c r="V10" s="9"/>
      <c r="W10" s="45"/>
      <c r="X10" s="45"/>
      <c r="Y10" s="569"/>
      <c r="Z10" s="569"/>
      <c r="AA10" s="569"/>
      <c r="AB10" s="569"/>
      <c r="AC10" s="569"/>
      <c r="AD10" s="569"/>
      <c r="AE10" s="569"/>
      <c r="AF10" s="569"/>
      <c r="AG10" s="569"/>
      <c r="AH10" s="563"/>
      <c r="AI10" s="563"/>
      <c r="AJ10" s="563"/>
      <c r="AK10" s="563"/>
      <c r="AL10" s="563"/>
      <c r="AM10" s="563"/>
      <c r="AN10" s="563"/>
      <c r="AO10" s="563">
        <v>58965.79</v>
      </c>
      <c r="AP10" s="563">
        <v>97952.84</v>
      </c>
    </row>
    <row r="11" ht="15.75" customHeight="1">
      <c r="A11" s="564" t="s">
        <v>17</v>
      </c>
      <c r="B11" s="565" t="s">
        <v>803</v>
      </c>
      <c r="C11" s="564" t="s">
        <v>801</v>
      </c>
      <c r="D11" s="566" t="s">
        <v>3780</v>
      </c>
      <c r="E11" s="319" t="s">
        <v>18</v>
      </c>
      <c r="F11" s="93" t="s">
        <v>29</v>
      </c>
      <c r="G11" s="512" t="s">
        <v>168</v>
      </c>
      <c r="H11" s="463" t="s">
        <v>186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7"/>
      <c r="O11" s="567">
        <v>45083.0</v>
      </c>
      <c r="P11" s="45" t="s">
        <v>23</v>
      </c>
      <c r="Q11" s="568">
        <v>0.008</v>
      </c>
      <c r="R11" s="50"/>
      <c r="S11" s="50"/>
      <c r="T11" s="45" t="s">
        <v>108</v>
      </c>
      <c r="U11" s="13" t="s">
        <v>29</v>
      </c>
      <c r="V11" s="9"/>
      <c r="W11" s="45"/>
      <c r="X11" s="45"/>
      <c r="Y11" s="569">
        <v>0.0</v>
      </c>
      <c r="Z11" s="569">
        <v>0.0</v>
      </c>
      <c r="AA11" s="569">
        <v>0.0</v>
      </c>
      <c r="AB11" s="569">
        <v>0.0</v>
      </c>
      <c r="AC11" s="563">
        <v>0.0</v>
      </c>
      <c r="AD11" s="563">
        <v>0.0</v>
      </c>
      <c r="AE11" s="563">
        <v>0.0</v>
      </c>
      <c r="AF11" s="563">
        <v>0.0</v>
      </c>
      <c r="AG11" s="563">
        <v>0.0</v>
      </c>
      <c r="AH11" s="563">
        <v>0.0</v>
      </c>
      <c r="AI11" s="563">
        <v>0.0</v>
      </c>
      <c r="AJ11" s="563">
        <v>0.0</v>
      </c>
      <c r="AK11" s="563">
        <v>0.0</v>
      </c>
      <c r="AL11" s="563">
        <v>0.0</v>
      </c>
      <c r="AM11" s="563">
        <v>0.0</v>
      </c>
      <c r="AN11" s="563">
        <v>0.0</v>
      </c>
      <c r="AO11" s="563">
        <v>0.0</v>
      </c>
      <c r="AP11" s="563">
        <v>0.0</v>
      </c>
    </row>
    <row r="12" ht="15.75" customHeight="1">
      <c r="A12" s="564" t="s">
        <v>17</v>
      </c>
      <c r="B12" s="565" t="s">
        <v>3781</v>
      </c>
      <c r="C12" s="564" t="s">
        <v>3782</v>
      </c>
      <c r="D12" s="566" t="s">
        <v>3783</v>
      </c>
      <c r="E12" s="319" t="s">
        <v>18</v>
      </c>
      <c r="F12" s="93" t="s">
        <v>34</v>
      </c>
      <c r="G12" s="512" t="s">
        <v>3762</v>
      </c>
      <c r="H12" s="440" t="s">
        <v>186</v>
      </c>
      <c r="I12" s="46" t="s">
        <v>24</v>
      </c>
      <c r="J12" s="319" t="s">
        <v>24</v>
      </c>
      <c r="K12" s="319" t="s">
        <v>3776</v>
      </c>
      <c r="L12" s="319" t="s">
        <v>3776</v>
      </c>
      <c r="M12" s="319" t="str">
        <f t="shared" si="1"/>
        <v>Não</v>
      </c>
      <c r="N12" s="566"/>
      <c r="O12" s="570">
        <v>45450.0</v>
      </c>
      <c r="P12" s="45" t="s">
        <v>23</v>
      </c>
      <c r="Q12" s="568"/>
      <c r="R12" s="111"/>
      <c r="S12" s="111"/>
      <c r="T12" s="45" t="s">
        <v>369</v>
      </c>
      <c r="U12" s="13" t="s">
        <v>2814</v>
      </c>
      <c r="V12" s="9"/>
      <c r="W12" s="45"/>
      <c r="X12" s="45"/>
      <c r="Y12" s="569">
        <v>0.0</v>
      </c>
      <c r="Z12" s="569">
        <v>0.0</v>
      </c>
      <c r="AA12" s="569">
        <v>0.0</v>
      </c>
      <c r="AB12" s="569">
        <v>0.0</v>
      </c>
      <c r="AC12" s="569">
        <v>50000.0</v>
      </c>
      <c r="AD12" s="569">
        <v>42.47</v>
      </c>
      <c r="AE12" s="569">
        <v>0.0</v>
      </c>
      <c r="AF12" s="569">
        <v>0.0</v>
      </c>
      <c r="AG12" s="569">
        <v>42.47</v>
      </c>
      <c r="AH12" s="563">
        <v>0.0</v>
      </c>
      <c r="AI12" s="563">
        <v>0.0</v>
      </c>
      <c r="AJ12" s="563">
        <v>42.47</v>
      </c>
      <c r="AK12" s="563">
        <v>0.0</v>
      </c>
      <c r="AL12" s="563">
        <v>0.0</v>
      </c>
      <c r="AM12" s="563">
        <v>42.47</v>
      </c>
      <c r="AN12" s="563">
        <v>-7.53</v>
      </c>
      <c r="AO12" s="563">
        <v>0.0</v>
      </c>
      <c r="AP12" s="563">
        <v>0.0</v>
      </c>
    </row>
    <row r="13" ht="15.75" customHeight="1">
      <c r="A13" s="183" t="s">
        <v>17</v>
      </c>
      <c r="B13" s="565" t="s">
        <v>3784</v>
      </c>
      <c r="C13" s="564" t="s">
        <v>3785</v>
      </c>
      <c r="D13" s="511" t="s">
        <v>3786</v>
      </c>
      <c r="E13" s="319" t="s">
        <v>18</v>
      </c>
      <c r="F13" s="93" t="s">
        <v>34</v>
      </c>
      <c r="G13" s="512" t="s">
        <v>3762</v>
      </c>
      <c r="H13" s="463" t="s">
        <v>107</v>
      </c>
      <c r="I13" s="46" t="s">
        <v>24</v>
      </c>
      <c r="J13" s="319" t="s">
        <v>3763</v>
      </c>
      <c r="K13" s="324" t="s">
        <v>3764</v>
      </c>
      <c r="L13" s="324" t="s">
        <v>3764</v>
      </c>
      <c r="M13" s="319" t="str">
        <f t="shared" si="1"/>
        <v>Não</v>
      </c>
      <c r="N13" s="560">
        <v>45084.0</v>
      </c>
      <c r="O13" s="511"/>
      <c r="P13" s="164" t="s">
        <v>23</v>
      </c>
      <c r="Q13" s="561">
        <v>0.0075</v>
      </c>
      <c r="R13" s="323"/>
      <c r="S13" s="323"/>
      <c r="T13" s="164" t="s">
        <v>369</v>
      </c>
      <c r="U13" s="13" t="s">
        <v>2814</v>
      </c>
      <c r="V13" s="9"/>
      <c r="W13" s="164"/>
      <c r="X13" s="164"/>
      <c r="Y13" s="562">
        <v>0.0</v>
      </c>
      <c r="Z13" s="562">
        <v>0.0</v>
      </c>
      <c r="AA13" s="562">
        <v>0.0</v>
      </c>
      <c r="AB13" s="562">
        <v>0.0</v>
      </c>
      <c r="AC13" s="562">
        <v>100.0</v>
      </c>
      <c r="AD13" s="562">
        <v>147111.77</v>
      </c>
      <c r="AE13" s="562">
        <v>293154.95</v>
      </c>
      <c r="AF13" s="562">
        <v>393861.7</v>
      </c>
      <c r="AG13" s="562">
        <v>390340.6</v>
      </c>
      <c r="AH13" s="563">
        <v>508721.84</v>
      </c>
      <c r="AI13" s="563">
        <v>607243.78</v>
      </c>
      <c r="AJ13" s="563">
        <v>857931.72</v>
      </c>
      <c r="AK13" s="563">
        <v>860524.93</v>
      </c>
      <c r="AL13" s="563">
        <v>855358.56</v>
      </c>
      <c r="AM13" s="563">
        <v>862420.34</v>
      </c>
      <c r="AN13" s="563">
        <v>845912.78</v>
      </c>
      <c r="AO13" s="563">
        <v>856159.29</v>
      </c>
      <c r="AP13" s="563">
        <v>862179.54</v>
      </c>
    </row>
    <row r="14" ht="15.75" customHeight="1">
      <c r="A14" s="183" t="s">
        <v>17</v>
      </c>
      <c r="B14" s="565" t="s">
        <v>3787</v>
      </c>
      <c r="C14" s="564" t="s">
        <v>3788</v>
      </c>
      <c r="D14" s="578" t="s">
        <v>3789</v>
      </c>
      <c r="E14" s="319" t="s">
        <v>3790</v>
      </c>
      <c r="F14" s="93" t="s">
        <v>19</v>
      </c>
      <c r="G14" s="93" t="s">
        <v>53</v>
      </c>
      <c r="H14" s="440" t="s">
        <v>107</v>
      </c>
      <c r="I14" s="46" t="s">
        <v>24</v>
      </c>
      <c r="J14" s="319" t="s">
        <v>3763</v>
      </c>
      <c r="K14" s="319" t="s">
        <v>3764</v>
      </c>
      <c r="L14" s="319" t="s">
        <v>3764</v>
      </c>
      <c r="M14" s="319" t="str">
        <f t="shared" si="1"/>
        <v>Não</v>
      </c>
      <c r="N14" s="560">
        <v>45231.0</v>
      </c>
      <c r="O14" s="511"/>
      <c r="P14" s="164" t="s">
        <v>23</v>
      </c>
      <c r="Q14" s="561">
        <v>0.009</v>
      </c>
      <c r="R14" s="323"/>
      <c r="S14" s="323"/>
      <c r="T14" s="164" t="s">
        <v>108</v>
      </c>
      <c r="U14" s="13" t="s">
        <v>2814</v>
      </c>
      <c r="V14" s="9"/>
      <c r="W14" s="164"/>
      <c r="X14" s="164"/>
      <c r="Y14" s="562">
        <v>0.0</v>
      </c>
      <c r="Z14" s="562">
        <v>0.0</v>
      </c>
      <c r="AA14" s="562">
        <v>0.0</v>
      </c>
      <c r="AB14" s="562">
        <v>0.0</v>
      </c>
      <c r="AC14" s="562">
        <v>0.0</v>
      </c>
      <c r="AD14" s="562">
        <v>0.0</v>
      </c>
      <c r="AE14" s="562">
        <v>0.0</v>
      </c>
      <c r="AF14" s="562">
        <v>0.0</v>
      </c>
      <c r="AG14" s="562">
        <v>0.0</v>
      </c>
      <c r="AH14" s="563">
        <v>0.0</v>
      </c>
      <c r="AI14" s="563">
        <v>99189.89</v>
      </c>
      <c r="AJ14" s="563">
        <v>102048.49</v>
      </c>
      <c r="AK14" s="563">
        <v>103857.97</v>
      </c>
      <c r="AL14" s="563">
        <v>104847.92</v>
      </c>
      <c r="AM14" s="563">
        <v>107243.63</v>
      </c>
      <c r="AN14" s="563">
        <v>104846.24</v>
      </c>
      <c r="AO14" s="563">
        <v>106452.4</v>
      </c>
      <c r="AP14" s="563">
        <v>107742.21</v>
      </c>
    </row>
    <row r="15" ht="15.75" customHeight="1">
      <c r="A15" s="183" t="s">
        <v>17</v>
      </c>
      <c r="B15" s="579" t="s">
        <v>3189</v>
      </c>
      <c r="C15" s="564" t="s">
        <v>3791</v>
      </c>
      <c r="D15" s="511" t="s">
        <v>3792</v>
      </c>
      <c r="E15" s="319" t="s">
        <v>18</v>
      </c>
      <c r="F15" s="93" t="s">
        <v>29</v>
      </c>
      <c r="G15" s="512" t="s">
        <v>18</v>
      </c>
      <c r="H15" s="463" t="s">
        <v>107</v>
      </c>
      <c r="I15" s="46" t="s">
        <v>24</v>
      </c>
      <c r="J15" s="319" t="s">
        <v>3763</v>
      </c>
      <c r="K15" s="319" t="s">
        <v>3764</v>
      </c>
      <c r="L15" s="319" t="s">
        <v>3764</v>
      </c>
      <c r="M15" s="319" t="str">
        <f t="shared" si="1"/>
        <v>Não</v>
      </c>
      <c r="N15" s="560">
        <v>45052.0</v>
      </c>
      <c r="O15" s="511"/>
      <c r="P15" s="164" t="s">
        <v>23</v>
      </c>
      <c r="Q15" s="561">
        <v>0.008</v>
      </c>
      <c r="R15" s="169"/>
      <c r="S15" s="169"/>
      <c r="T15" s="164" t="s">
        <v>108</v>
      </c>
      <c r="U15" s="13" t="s">
        <v>2814</v>
      </c>
      <c r="V15" s="9"/>
      <c r="W15" s="164"/>
      <c r="X15" s="164"/>
      <c r="Y15" s="562">
        <v>0.0</v>
      </c>
      <c r="Z15" s="562">
        <v>0.0</v>
      </c>
      <c r="AA15" s="562">
        <v>0.0</v>
      </c>
      <c r="AB15" s="562">
        <v>0.0</v>
      </c>
      <c r="AC15" s="562">
        <v>10000.0</v>
      </c>
      <c r="AD15" s="562">
        <v>17823.18</v>
      </c>
      <c r="AE15" s="562">
        <v>27647.28</v>
      </c>
      <c r="AF15" s="562">
        <v>27690.1</v>
      </c>
      <c r="AG15" s="562">
        <v>27610.94</v>
      </c>
      <c r="AH15" s="563">
        <v>32581.23</v>
      </c>
      <c r="AI15" s="563">
        <v>37752.56</v>
      </c>
      <c r="AJ15" s="563">
        <v>43408.75</v>
      </c>
      <c r="AK15" s="563">
        <v>43676.98</v>
      </c>
      <c r="AL15" s="563">
        <v>56013.84</v>
      </c>
      <c r="AM15" s="563">
        <v>61542.01</v>
      </c>
      <c r="AN15" s="563">
        <v>69588.53</v>
      </c>
      <c r="AO15" s="563">
        <v>70579.42</v>
      </c>
      <c r="AP15" s="563">
        <v>71243.68</v>
      </c>
    </row>
    <row r="16" ht="15.75" customHeight="1">
      <c r="A16" s="564" t="s">
        <v>17</v>
      </c>
      <c r="B16" s="565" t="s">
        <v>1707</v>
      </c>
      <c r="C16" s="564" t="s">
        <v>1703</v>
      </c>
      <c r="D16" s="578" t="s">
        <v>3793</v>
      </c>
      <c r="E16" s="319" t="s">
        <v>18</v>
      </c>
      <c r="F16" s="93" t="s">
        <v>29</v>
      </c>
      <c r="G16" s="512" t="s">
        <v>294</v>
      </c>
      <c r="H16" s="463" t="s">
        <v>123</v>
      </c>
      <c r="I16" s="46" t="s">
        <v>24</v>
      </c>
      <c r="J16" s="319" t="s">
        <v>3763</v>
      </c>
      <c r="K16" s="319" t="s">
        <v>3764</v>
      </c>
      <c r="L16" s="319" t="s">
        <v>3764</v>
      </c>
      <c r="M16" s="319" t="str">
        <f t="shared" si="1"/>
        <v>Não</v>
      </c>
      <c r="N16" s="567">
        <v>45215.0</v>
      </c>
      <c r="O16" s="566"/>
      <c r="P16" s="45" t="s">
        <v>23</v>
      </c>
      <c r="Q16" s="568">
        <v>0.008</v>
      </c>
      <c r="R16" s="50"/>
      <c r="S16" s="50"/>
      <c r="T16" s="45" t="s">
        <v>108</v>
      </c>
      <c r="U16" s="13" t="s">
        <v>29</v>
      </c>
      <c r="V16" s="9"/>
      <c r="W16" s="45"/>
      <c r="X16" s="45"/>
      <c r="Y16" s="569">
        <v>0.0</v>
      </c>
      <c r="Z16" s="569">
        <v>0.0</v>
      </c>
      <c r="AA16" s="569">
        <v>0.0</v>
      </c>
      <c r="AB16" s="569">
        <v>0.0</v>
      </c>
      <c r="AC16" s="569">
        <v>0.0</v>
      </c>
      <c r="AD16" s="569">
        <v>0.0</v>
      </c>
      <c r="AE16" s="569">
        <v>0.0</v>
      </c>
      <c r="AF16" s="569">
        <v>0.0</v>
      </c>
      <c r="AG16" s="569">
        <v>0.0</v>
      </c>
      <c r="AH16" s="563">
        <v>0.0</v>
      </c>
      <c r="AI16" s="563">
        <v>0.0</v>
      </c>
      <c r="AJ16" s="563">
        <v>0.0</v>
      </c>
      <c r="AK16" s="563">
        <v>0.0</v>
      </c>
      <c r="AL16" s="563">
        <v>0.0</v>
      </c>
      <c r="AM16" s="563">
        <v>0.0</v>
      </c>
      <c r="AN16" s="563">
        <v>35327.4</v>
      </c>
      <c r="AO16" s="563">
        <v>35400.42</v>
      </c>
      <c r="AP16" s="563">
        <v>35447.61</v>
      </c>
    </row>
    <row r="17" ht="15.75" customHeight="1">
      <c r="A17" s="580" t="s">
        <v>17</v>
      </c>
      <c r="B17" s="6" t="s">
        <v>1982</v>
      </c>
      <c r="C17" s="6" t="s">
        <v>1980</v>
      </c>
      <c r="D17" s="56" t="s">
        <v>3794</v>
      </c>
      <c r="E17" s="324" t="s">
        <v>105</v>
      </c>
      <c r="F17" s="11" t="s">
        <v>29</v>
      </c>
      <c r="G17" s="513" t="s">
        <v>106</v>
      </c>
      <c r="H17" s="440" t="s">
        <v>123</v>
      </c>
      <c r="I17" s="46" t="s">
        <v>24</v>
      </c>
      <c r="J17" s="324" t="s">
        <v>3763</v>
      </c>
      <c r="K17" s="324" t="s">
        <v>3764</v>
      </c>
      <c r="L17" s="324" t="s">
        <v>3764</v>
      </c>
      <c r="M17" s="319" t="str">
        <f t="shared" si="1"/>
        <v>Não</v>
      </c>
      <c r="N17" s="581">
        <v>45314.0</v>
      </c>
      <c r="O17" s="511"/>
      <c r="P17" s="5" t="s">
        <v>23</v>
      </c>
      <c r="Q17" s="582">
        <v>0.008</v>
      </c>
      <c r="R17" s="169"/>
      <c r="S17" s="169"/>
      <c r="T17" s="5" t="s">
        <v>108</v>
      </c>
      <c r="U17" s="13" t="s">
        <v>29</v>
      </c>
      <c r="V17" s="9"/>
      <c r="W17" s="164"/>
      <c r="X17" s="164"/>
      <c r="Y17" s="563">
        <v>0.0</v>
      </c>
      <c r="Z17" s="563">
        <v>0.0</v>
      </c>
      <c r="AA17" s="563">
        <v>0.0</v>
      </c>
      <c r="AB17" s="563">
        <v>0.0</v>
      </c>
      <c r="AC17" s="563">
        <v>0.0</v>
      </c>
      <c r="AD17" s="563">
        <v>0.0</v>
      </c>
      <c r="AE17" s="563">
        <v>0.0</v>
      </c>
      <c r="AF17" s="563">
        <v>0.0</v>
      </c>
      <c r="AG17" s="563">
        <v>0.0</v>
      </c>
      <c r="AH17" s="563">
        <v>0.0</v>
      </c>
      <c r="AI17" s="563">
        <v>0.0</v>
      </c>
      <c r="AJ17" s="563">
        <v>0.0</v>
      </c>
      <c r="AK17" s="563">
        <v>0.0</v>
      </c>
      <c r="AL17" s="563">
        <v>0.0</v>
      </c>
      <c r="AM17" s="563">
        <v>0.0</v>
      </c>
      <c r="AN17" s="563">
        <v>0.0</v>
      </c>
      <c r="AO17" s="563">
        <v>0.0</v>
      </c>
      <c r="AP17" s="563">
        <v>0.0</v>
      </c>
    </row>
    <row r="18" ht="15.75" customHeight="1">
      <c r="A18" s="580" t="s">
        <v>17</v>
      </c>
      <c r="B18" s="6" t="s">
        <v>3795</v>
      </c>
      <c r="C18" s="6" t="s">
        <v>3796</v>
      </c>
      <c r="D18" s="7" t="s">
        <v>3797</v>
      </c>
      <c r="E18" s="324" t="s">
        <v>18</v>
      </c>
      <c r="F18" s="11" t="s">
        <v>29</v>
      </c>
      <c r="G18" s="513" t="s">
        <v>294</v>
      </c>
      <c r="H18" s="440" t="s">
        <v>123</v>
      </c>
      <c r="I18" s="46" t="s">
        <v>24</v>
      </c>
      <c r="J18" s="324" t="s">
        <v>3763</v>
      </c>
      <c r="K18" s="324" t="s">
        <v>3764</v>
      </c>
      <c r="L18" s="324" t="s">
        <v>3764</v>
      </c>
      <c r="M18" s="319" t="str">
        <f t="shared" si="1"/>
        <v>Não</v>
      </c>
      <c r="N18" s="581">
        <v>45329.0</v>
      </c>
      <c r="O18" s="511"/>
      <c r="P18" s="5" t="s">
        <v>23</v>
      </c>
      <c r="Q18" s="582">
        <v>0.008</v>
      </c>
      <c r="R18" s="169"/>
      <c r="S18" s="169"/>
      <c r="T18" s="5" t="s">
        <v>108</v>
      </c>
      <c r="U18" s="13" t="s">
        <v>2814</v>
      </c>
      <c r="V18" s="9"/>
      <c r="W18" s="164"/>
      <c r="X18" s="164"/>
      <c r="Y18" s="563">
        <v>0.0</v>
      </c>
      <c r="Z18" s="563">
        <v>0.0</v>
      </c>
      <c r="AA18" s="563">
        <v>0.0</v>
      </c>
      <c r="AB18" s="563">
        <v>0.0</v>
      </c>
      <c r="AC18" s="563">
        <v>0.0</v>
      </c>
      <c r="AD18" s="563">
        <v>0.0</v>
      </c>
      <c r="AE18" s="563">
        <v>0.0</v>
      </c>
      <c r="AF18" s="563">
        <v>0.0</v>
      </c>
      <c r="AG18" s="563">
        <v>0.0</v>
      </c>
      <c r="AH18" s="563">
        <v>0.0</v>
      </c>
      <c r="AI18" s="563">
        <v>0.0</v>
      </c>
      <c r="AJ18" s="563">
        <v>0.0</v>
      </c>
      <c r="AK18" s="563">
        <v>0.0</v>
      </c>
      <c r="AL18" s="563">
        <v>0.0</v>
      </c>
      <c r="AM18" s="563">
        <v>25253.99</v>
      </c>
      <c r="AN18" s="563">
        <v>24598.33</v>
      </c>
      <c r="AO18" s="563">
        <v>25713.99</v>
      </c>
      <c r="AP18" s="563">
        <v>12427.11</v>
      </c>
    </row>
    <row r="19" ht="15.75" customHeight="1">
      <c r="A19" s="79" t="s">
        <v>17</v>
      </c>
      <c r="B19" s="565" t="s">
        <v>2061</v>
      </c>
      <c r="C19" s="565" t="s">
        <v>3798</v>
      </c>
      <c r="D19" s="511" t="s">
        <v>3799</v>
      </c>
      <c r="E19" s="319" t="s">
        <v>18</v>
      </c>
      <c r="F19" s="93" t="s">
        <v>29</v>
      </c>
      <c r="G19" s="512" t="s">
        <v>60</v>
      </c>
      <c r="H19" s="463" t="s">
        <v>107</v>
      </c>
      <c r="I19" s="46" t="s">
        <v>24</v>
      </c>
      <c r="J19" s="319" t="s">
        <v>3800</v>
      </c>
      <c r="K19" s="319" t="s">
        <v>3776</v>
      </c>
      <c r="L19" s="319" t="s">
        <v>3776</v>
      </c>
      <c r="M19" s="319" t="str">
        <f t="shared" si="1"/>
        <v>Não</v>
      </c>
      <c r="N19" s="511"/>
      <c r="O19" s="511"/>
      <c r="P19" s="164" t="s">
        <v>23</v>
      </c>
      <c r="Q19" s="561"/>
      <c r="R19" s="169"/>
      <c r="S19" s="583"/>
      <c r="T19" s="164" t="s">
        <v>108</v>
      </c>
      <c r="U19" s="13" t="s">
        <v>29</v>
      </c>
      <c r="V19" s="9"/>
      <c r="W19" s="164"/>
      <c r="X19" s="164"/>
      <c r="Y19" s="562">
        <v>0.0</v>
      </c>
      <c r="Z19" s="562">
        <v>0.0</v>
      </c>
      <c r="AA19" s="562">
        <v>0.0</v>
      </c>
      <c r="AB19" s="562">
        <v>0.0</v>
      </c>
      <c r="AC19" s="562">
        <v>0.0</v>
      </c>
      <c r="AD19" s="562">
        <v>0.0</v>
      </c>
      <c r="AE19" s="562">
        <v>0.0</v>
      </c>
      <c r="AF19" s="562">
        <v>0.0</v>
      </c>
      <c r="AG19" s="562">
        <v>0.0</v>
      </c>
      <c r="AH19" s="563">
        <v>0.0</v>
      </c>
      <c r="AI19" s="563">
        <v>0.0</v>
      </c>
      <c r="AJ19" s="563">
        <v>0.0</v>
      </c>
      <c r="AK19" s="563">
        <v>0.0</v>
      </c>
      <c r="AL19" s="563">
        <v>0.0</v>
      </c>
      <c r="AM19" s="563">
        <v>0.0</v>
      </c>
      <c r="AN19" s="563">
        <v>0.0</v>
      </c>
      <c r="AO19" s="563">
        <v>0.0</v>
      </c>
      <c r="AP19" s="563">
        <v>0.0</v>
      </c>
    </row>
    <row r="20" ht="15.75" customHeight="1">
      <c r="A20" s="183" t="s">
        <v>17</v>
      </c>
      <c r="B20" s="565" t="s">
        <v>2814</v>
      </c>
      <c r="C20" s="564" t="s">
        <v>3801</v>
      </c>
      <c r="D20" s="511" t="s">
        <v>3802</v>
      </c>
      <c r="E20" s="319" t="s">
        <v>18</v>
      </c>
      <c r="F20" s="93" t="s">
        <v>29</v>
      </c>
      <c r="G20" s="512" t="s">
        <v>168</v>
      </c>
      <c r="H20" s="440" t="s">
        <v>147</v>
      </c>
      <c r="I20" s="46" t="s">
        <v>24</v>
      </c>
      <c r="J20" s="319" t="s">
        <v>3763</v>
      </c>
      <c r="K20" s="319" t="s">
        <v>3764</v>
      </c>
      <c r="L20" s="319" t="s">
        <v>3764</v>
      </c>
      <c r="M20" s="319" t="str">
        <f t="shared" si="1"/>
        <v>Não</v>
      </c>
      <c r="N20" s="560">
        <v>44944.0</v>
      </c>
      <c r="O20" s="511"/>
      <c r="P20" s="164" t="s">
        <v>23</v>
      </c>
      <c r="Q20" s="561">
        <v>0.008</v>
      </c>
      <c r="R20" s="128"/>
      <c r="S20" s="112" t="s">
        <v>3803</v>
      </c>
      <c r="T20" s="164" t="s">
        <v>369</v>
      </c>
      <c r="U20" s="13" t="s">
        <v>2814</v>
      </c>
      <c r="V20" s="9"/>
      <c r="W20" s="164"/>
      <c r="X20" s="164"/>
      <c r="Y20" s="562">
        <v>475031.53</v>
      </c>
      <c r="Z20" s="562">
        <v>467242.31</v>
      </c>
      <c r="AA20" s="562">
        <v>475245.76</v>
      </c>
      <c r="AB20" s="562">
        <v>474056.33</v>
      </c>
      <c r="AC20" s="562">
        <v>475975.17</v>
      </c>
      <c r="AD20" s="562">
        <v>483037.09</v>
      </c>
      <c r="AE20" s="562">
        <v>492092.04</v>
      </c>
      <c r="AF20" s="562">
        <v>485533.4</v>
      </c>
      <c r="AG20" s="562">
        <v>478684.8</v>
      </c>
      <c r="AH20" s="563">
        <v>476463.51</v>
      </c>
      <c r="AI20" s="563">
        <v>496631.17</v>
      </c>
      <c r="AJ20" s="563">
        <v>511349.87</v>
      </c>
      <c r="AK20" s="563">
        <v>507269.24</v>
      </c>
      <c r="AL20" s="563">
        <v>526554.68</v>
      </c>
      <c r="AM20" s="563">
        <v>553891.52</v>
      </c>
      <c r="AN20" s="563">
        <v>529283.89</v>
      </c>
      <c r="AO20" s="563">
        <v>549792.31</v>
      </c>
      <c r="AP20" s="563">
        <v>553289.14</v>
      </c>
    </row>
    <row r="21" ht="15.75" customHeight="1">
      <c r="A21" s="183" t="s">
        <v>17</v>
      </c>
      <c r="B21" s="78" t="s">
        <v>3804</v>
      </c>
      <c r="C21" s="79" t="s">
        <v>3805</v>
      </c>
      <c r="D21" s="511" t="s">
        <v>3806</v>
      </c>
      <c r="E21" s="319" t="s">
        <v>18</v>
      </c>
      <c r="F21" s="93" t="s">
        <v>29</v>
      </c>
      <c r="G21" s="512" t="s">
        <v>294</v>
      </c>
      <c r="H21" s="463" t="s">
        <v>107</v>
      </c>
      <c r="I21" s="46" t="s">
        <v>24</v>
      </c>
      <c r="J21" s="319" t="s">
        <v>3763</v>
      </c>
      <c r="K21" s="319" t="s">
        <v>3764</v>
      </c>
      <c r="L21" s="319" t="s">
        <v>3764</v>
      </c>
      <c r="M21" s="319" t="str">
        <f t="shared" si="1"/>
        <v>Não</v>
      </c>
      <c r="N21" s="560">
        <v>45001.0</v>
      </c>
      <c r="O21" s="511"/>
      <c r="P21" s="164" t="s">
        <v>23</v>
      </c>
      <c r="Q21" s="561">
        <v>0.008</v>
      </c>
      <c r="R21" s="169"/>
      <c r="S21" s="169"/>
      <c r="T21" s="164" t="s">
        <v>108</v>
      </c>
      <c r="U21" s="13" t="s">
        <v>2814</v>
      </c>
      <c r="V21" s="9"/>
      <c r="W21" s="164"/>
      <c r="X21" s="164"/>
      <c r="Y21" s="562">
        <v>0.0</v>
      </c>
      <c r="Z21" s="562">
        <v>0.0</v>
      </c>
      <c r="AA21" s="562">
        <v>253638.82</v>
      </c>
      <c r="AB21" s="562">
        <v>254673.01</v>
      </c>
      <c r="AC21" s="562">
        <v>254027.5</v>
      </c>
      <c r="AD21" s="562">
        <v>258268.19</v>
      </c>
      <c r="AE21" s="562">
        <v>261881.54</v>
      </c>
      <c r="AF21" s="562">
        <v>260319.34</v>
      </c>
      <c r="AG21" s="562">
        <v>254977.7</v>
      </c>
      <c r="AH21" s="563">
        <v>252509.3</v>
      </c>
      <c r="AI21" s="563">
        <v>264031.76</v>
      </c>
      <c r="AJ21" s="563">
        <v>270334.46</v>
      </c>
      <c r="AK21" s="563">
        <v>272829.18</v>
      </c>
      <c r="AL21" s="563">
        <v>358411.0</v>
      </c>
      <c r="AM21" s="563">
        <v>366704.43</v>
      </c>
      <c r="AN21" s="563">
        <v>360104.0</v>
      </c>
      <c r="AO21" s="563">
        <v>371449.75</v>
      </c>
      <c r="AP21" s="563">
        <v>374846.98</v>
      </c>
    </row>
    <row r="22" ht="15.75" customHeight="1">
      <c r="A22" s="564" t="s">
        <v>17</v>
      </c>
      <c r="B22" s="565" t="s">
        <v>2334</v>
      </c>
      <c r="C22" s="564" t="s">
        <v>2332</v>
      </c>
      <c r="D22" s="566" t="s">
        <v>3807</v>
      </c>
      <c r="E22" s="319" t="s">
        <v>18</v>
      </c>
      <c r="F22" s="93" t="s">
        <v>29</v>
      </c>
      <c r="G22" s="512" t="s">
        <v>168</v>
      </c>
      <c r="H22" s="463" t="s">
        <v>186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6"/>
      <c r="O22" s="567">
        <v>45083.0</v>
      </c>
      <c r="P22" s="45" t="s">
        <v>23</v>
      </c>
      <c r="Q22" s="568">
        <v>0.008</v>
      </c>
      <c r="R22" s="74"/>
      <c r="S22" s="50"/>
      <c r="T22" s="45" t="s">
        <v>108</v>
      </c>
      <c r="U22" s="13" t="s">
        <v>29</v>
      </c>
      <c r="V22" s="9"/>
      <c r="W22" s="45"/>
      <c r="X22" s="45"/>
      <c r="Y22" s="569">
        <v>0.0</v>
      </c>
      <c r="Z22" s="569">
        <v>0.0</v>
      </c>
      <c r="AA22" s="569">
        <v>0.0</v>
      </c>
      <c r="AB22" s="569">
        <v>0.0</v>
      </c>
      <c r="AC22" s="569">
        <v>0.0</v>
      </c>
      <c r="AD22" s="569">
        <v>0.0</v>
      </c>
      <c r="AE22" s="569">
        <v>0.0</v>
      </c>
      <c r="AF22" s="569">
        <v>0.0</v>
      </c>
      <c r="AG22" s="569">
        <v>0.0</v>
      </c>
      <c r="AH22" s="569">
        <v>0.0</v>
      </c>
      <c r="AI22" s="569">
        <v>0.0</v>
      </c>
      <c r="AJ22" s="569">
        <v>0.0</v>
      </c>
      <c r="AK22" s="569">
        <v>0.0</v>
      </c>
      <c r="AL22" s="569">
        <v>0.0</v>
      </c>
      <c r="AM22" s="569">
        <v>0.0</v>
      </c>
      <c r="AN22" s="563">
        <v>0.0</v>
      </c>
      <c r="AO22" s="563">
        <v>0.0</v>
      </c>
      <c r="AP22" s="563">
        <v>0.0</v>
      </c>
    </row>
    <row r="23" ht="15.75" customHeight="1">
      <c r="A23" s="506"/>
      <c r="B23" s="506"/>
      <c r="C23" s="506"/>
      <c r="D23" s="534"/>
      <c r="E23" s="490"/>
      <c r="F23" s="490"/>
      <c r="G23" s="478"/>
      <c r="H23" s="275"/>
      <c r="I23" s="275"/>
      <c r="J23" s="275"/>
      <c r="K23" s="275"/>
      <c r="L23" s="275"/>
      <c r="M23" s="275"/>
      <c r="N23" s="479"/>
      <c r="O23" s="479"/>
      <c r="P23" s="478"/>
      <c r="Q23" s="480"/>
      <c r="R23" s="482"/>
      <c r="S23" s="482"/>
      <c r="T23" s="478"/>
      <c r="U23" s="478"/>
      <c r="V23" s="478"/>
      <c r="W23" s="479"/>
      <c r="X23" s="479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6"/>
      <c r="B24" s="506"/>
      <c r="C24" s="506"/>
      <c r="D24" s="534"/>
      <c r="E24" s="490"/>
      <c r="F24" s="490"/>
      <c r="G24" s="478"/>
      <c r="H24" s="275"/>
      <c r="I24" s="275"/>
      <c r="J24" s="275"/>
      <c r="K24" s="275"/>
      <c r="L24" s="275"/>
      <c r="M24" s="275"/>
      <c r="N24" s="479"/>
      <c r="O24" s="479"/>
      <c r="P24" s="478"/>
      <c r="Q24" s="480"/>
      <c r="R24" s="482"/>
      <c r="S24" s="482"/>
      <c r="T24" s="478"/>
      <c r="U24" s="478"/>
      <c r="V24" s="478"/>
      <c r="W24" s="479"/>
      <c r="X24" s="479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5"/>
      <c r="B25" s="536"/>
      <c r="C25" s="536" t="s">
        <v>2533</v>
      </c>
      <c r="D25" s="537">
        <f>COUNTIF(H:H,"Ativo")</f>
        <v>8</v>
      </c>
      <c r="E25" s="478"/>
      <c r="F25" s="478"/>
      <c r="G25" s="478"/>
      <c r="H25" s="478"/>
      <c r="I25" s="478"/>
      <c r="J25" s="478"/>
      <c r="K25" s="478"/>
      <c r="L25" s="478"/>
      <c r="M25" s="478"/>
      <c r="N25" s="479"/>
      <c r="O25" s="479"/>
      <c r="P25" s="478"/>
      <c r="Q25" s="480"/>
      <c r="R25" s="482"/>
      <c r="S25" s="482"/>
      <c r="T25" s="478"/>
      <c r="U25" s="478"/>
      <c r="V25" s="478"/>
      <c r="W25" s="479"/>
      <c r="X25" s="479"/>
      <c r="Y25" s="584">
        <f t="shared" ref="Y25:AC25" si="2">SUM(Y4:Y23)</f>
        <v>486835.1</v>
      </c>
      <c r="Z25" s="584">
        <f t="shared" si="2"/>
        <v>485698.67</v>
      </c>
      <c r="AA25" s="584">
        <f t="shared" si="2"/>
        <v>749759.91</v>
      </c>
      <c r="AB25" s="584">
        <f t="shared" si="2"/>
        <v>843919.1</v>
      </c>
      <c r="AC25" s="584">
        <f t="shared" si="2"/>
        <v>1075353.23</v>
      </c>
      <c r="AD25" s="584">
        <f t="shared" ref="AD25:AP25" si="3">SUM(AD3:AD23)</f>
        <v>1283396.61</v>
      </c>
      <c r="AE25" s="584">
        <f t="shared" si="3"/>
        <v>1611547.48</v>
      </c>
      <c r="AF25" s="584">
        <f t="shared" si="3"/>
        <v>1805361.66</v>
      </c>
      <c r="AG25" s="584">
        <f t="shared" si="3"/>
        <v>1910410.67</v>
      </c>
      <c r="AH25" s="584">
        <f t="shared" si="3"/>
        <v>2019361.11</v>
      </c>
      <c r="AI25" s="584">
        <f t="shared" si="3"/>
        <v>2374956.26</v>
      </c>
      <c r="AJ25" s="584">
        <f t="shared" si="3"/>
        <v>2780694.11</v>
      </c>
      <c r="AK25" s="584">
        <f t="shared" si="3"/>
        <v>2784739.66</v>
      </c>
      <c r="AL25" s="584">
        <f t="shared" si="3"/>
        <v>2901557.6</v>
      </c>
      <c r="AM25" s="584">
        <f t="shared" si="3"/>
        <v>3080107.76</v>
      </c>
      <c r="AN25" s="584">
        <f t="shared" si="3"/>
        <v>3336074.58</v>
      </c>
      <c r="AO25" s="584">
        <f t="shared" si="3"/>
        <v>3461366.97</v>
      </c>
      <c r="AP25" s="584">
        <f t="shared" si="3"/>
        <v>3515414.23</v>
      </c>
    </row>
    <row r="26" ht="15.75" customHeight="1">
      <c r="A26" s="539"/>
      <c r="B26" s="540"/>
      <c r="C26" s="540" t="s">
        <v>2534</v>
      </c>
      <c r="D26" s="541">
        <f>COUNTIF(H:H,"Inativo")</f>
        <v>1</v>
      </c>
      <c r="E26" s="488"/>
      <c r="F26" s="488"/>
      <c r="G26" s="489"/>
      <c r="H26" s="490"/>
      <c r="I26" s="490"/>
      <c r="J26" s="490"/>
      <c r="K26" s="490"/>
      <c r="L26" s="490"/>
      <c r="M26" s="490"/>
      <c r="N26" s="491"/>
      <c r="O26" s="492"/>
      <c r="P26" s="490"/>
      <c r="Q26" s="480"/>
      <c r="R26" s="482"/>
      <c r="S26" s="482"/>
      <c r="T26" s="478"/>
      <c r="U26" s="478"/>
      <c r="V26" s="478"/>
      <c r="W26" s="492"/>
      <c r="X26" s="492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9"/>
      <c r="B27" s="540"/>
      <c r="C27" s="540" t="s">
        <v>2535</v>
      </c>
      <c r="D27" s="541">
        <f>COUNTIF(H:H,"Encerrado")</f>
        <v>5</v>
      </c>
      <c r="E27" s="488"/>
      <c r="F27" s="488"/>
      <c r="G27" s="489"/>
      <c r="H27" s="490"/>
      <c r="I27" s="490"/>
      <c r="J27" s="490"/>
      <c r="K27" s="490"/>
      <c r="L27" s="490"/>
      <c r="M27" s="490"/>
      <c r="N27" s="491"/>
      <c r="O27" s="492"/>
      <c r="P27" s="490"/>
      <c r="Q27" s="480"/>
      <c r="R27" s="482"/>
      <c r="S27" s="482"/>
      <c r="T27" s="478"/>
      <c r="U27" s="478"/>
      <c r="V27" s="478"/>
      <c r="W27" s="492"/>
      <c r="X27" s="492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3"/>
      <c r="B28" s="544"/>
      <c r="C28" s="544" t="s">
        <v>2536</v>
      </c>
      <c r="D28" s="545">
        <f>COUNTIF(H:H,"Pode Operar")</f>
        <v>6</v>
      </c>
      <c r="E28" s="488"/>
      <c r="F28" s="488"/>
      <c r="G28" s="489"/>
      <c r="H28" s="490"/>
      <c r="I28" s="490"/>
      <c r="J28" s="490"/>
      <c r="K28" s="490"/>
      <c r="L28" s="490"/>
      <c r="M28" s="490"/>
      <c r="N28" s="491"/>
      <c r="O28" s="492"/>
      <c r="P28" s="490"/>
      <c r="Q28" s="480"/>
      <c r="R28" s="482"/>
      <c r="S28" s="482"/>
      <c r="T28" s="478"/>
      <c r="U28" s="478"/>
      <c r="V28" s="478"/>
      <c r="W28" s="492"/>
      <c r="X28" s="492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8"/>
      <c r="B29" s="508"/>
      <c r="C29" s="508"/>
      <c r="D29" s="507"/>
      <c r="E29" s="488"/>
      <c r="F29" s="488"/>
      <c r="G29" s="505"/>
      <c r="H29" s="490"/>
      <c r="I29" s="490"/>
      <c r="J29" s="490"/>
      <c r="K29" s="490"/>
      <c r="L29" s="490"/>
      <c r="M29" s="490"/>
      <c r="N29" s="491"/>
      <c r="O29" s="479"/>
      <c r="P29" s="478"/>
      <c r="Q29" s="480"/>
      <c r="R29" s="482"/>
      <c r="S29" s="482"/>
      <c r="T29" s="478"/>
      <c r="U29" s="478"/>
      <c r="V29" s="478"/>
      <c r="W29" s="479"/>
      <c r="X29" s="479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CF9BBF74-3EB1-4F1E-8AB9-3B8870336168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2" t="s">
        <v>82</v>
      </c>
      <c r="B1" s="303"/>
      <c r="C1" s="303"/>
      <c r="D1" s="303"/>
      <c r="E1" s="303"/>
      <c r="F1" s="304"/>
      <c r="G1" s="306" t="s">
        <v>84</v>
      </c>
      <c r="H1" s="304"/>
      <c r="I1" s="302" t="s">
        <v>82</v>
      </c>
      <c r="J1" s="303"/>
      <c r="K1" s="303"/>
      <c r="L1" s="303"/>
      <c r="M1" s="303"/>
      <c r="N1" s="304"/>
      <c r="O1" s="307" t="s">
        <v>2538</v>
      </c>
      <c r="P1" s="557" t="s">
        <v>2537</v>
      </c>
      <c r="Q1" s="558" t="s">
        <v>85</v>
      </c>
      <c r="R1" s="303"/>
      <c r="S1" s="303"/>
      <c r="T1" s="303"/>
      <c r="U1" s="303"/>
      <c r="V1" s="304"/>
      <c r="W1" s="559" t="s">
        <v>86</v>
      </c>
    </row>
    <row r="2">
      <c r="A2" s="3" t="s">
        <v>3</v>
      </c>
      <c r="B2" s="33" t="s">
        <v>87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89</v>
      </c>
      <c r="H2" s="1" t="s">
        <v>90</v>
      </c>
      <c r="I2" s="2" t="s">
        <v>3756</v>
      </c>
      <c r="J2" s="2" t="s">
        <v>91</v>
      </c>
      <c r="K2" s="34" t="s">
        <v>92</v>
      </c>
      <c r="L2" s="34" t="s">
        <v>93</v>
      </c>
      <c r="M2" s="34" t="s">
        <v>9</v>
      </c>
      <c r="N2" s="36" t="s">
        <v>94</v>
      </c>
      <c r="O2" s="4" t="s">
        <v>96</v>
      </c>
      <c r="P2" s="4" t="s">
        <v>97</v>
      </c>
      <c r="Q2" s="2" t="s">
        <v>98</v>
      </c>
      <c r="R2" s="34" t="s">
        <v>39</v>
      </c>
      <c r="S2" s="33" t="s">
        <v>38</v>
      </c>
      <c r="T2" s="1" t="s">
        <v>99</v>
      </c>
      <c r="U2" s="3" t="s">
        <v>40</v>
      </c>
      <c r="V2" s="3" t="s">
        <v>100</v>
      </c>
      <c r="W2" s="35"/>
    </row>
    <row r="3" ht="15.75" customHeight="1">
      <c r="A3" s="115" t="s">
        <v>3808</v>
      </c>
      <c r="B3" s="15" t="s">
        <v>646</v>
      </c>
      <c r="C3" s="5" t="s">
        <v>3809</v>
      </c>
      <c r="D3" s="324" t="s">
        <v>18</v>
      </c>
      <c r="E3" s="11" t="s">
        <v>29</v>
      </c>
      <c r="F3" s="324" t="s">
        <v>60</v>
      </c>
      <c r="G3" s="440" t="s">
        <v>123</v>
      </c>
      <c r="H3" s="51" t="s">
        <v>24</v>
      </c>
      <c r="I3" s="324" t="s">
        <v>3763</v>
      </c>
      <c r="J3" s="319" t="str">
        <f>IF(O3=0,"Não","Sim")</f>
        <v>Não</v>
      </c>
      <c r="K3" s="585">
        <v>45484.0</v>
      </c>
      <c r="L3" s="164"/>
      <c r="M3" s="5" t="s">
        <v>23</v>
      </c>
      <c r="N3" s="12">
        <v>0.01</v>
      </c>
      <c r="O3" s="336"/>
      <c r="P3" s="169"/>
      <c r="Q3" s="5" t="s">
        <v>108</v>
      </c>
      <c r="R3" s="13" t="s">
        <v>29</v>
      </c>
      <c r="S3" s="15" t="s">
        <v>648</v>
      </c>
      <c r="T3" s="51" t="str">
        <f>IFS(H:H="Encerrado","Encerrado",COUNTBLANK(AB3:AM3)&gt;0,"Ativo",SUM(AB3:AM3)=0,"Inativo",SUM(AB3:AM3)&gt;0,"Ativo")</f>
        <v>Inativo</v>
      </c>
      <c r="U3" s="5" t="s">
        <v>75</v>
      </c>
      <c r="V3" s="164"/>
      <c r="W3" s="586"/>
    </row>
    <row r="4" ht="15.75" customHeight="1">
      <c r="A4" s="135"/>
      <c r="B4" s="135"/>
      <c r="C4" s="45"/>
      <c r="D4" s="319"/>
      <c r="E4" s="93"/>
      <c r="F4" s="319"/>
      <c r="G4" s="463"/>
      <c r="H4" s="46"/>
      <c r="I4" s="319"/>
      <c r="J4" s="319"/>
      <c r="K4" s="72"/>
      <c r="L4" s="45"/>
      <c r="M4" s="45"/>
      <c r="N4" s="117"/>
      <c r="O4" s="50"/>
      <c r="P4" s="50"/>
      <c r="Q4" s="45"/>
      <c r="R4" s="13"/>
      <c r="S4" s="587"/>
      <c r="T4" s="9"/>
      <c r="U4" s="45"/>
      <c r="V4" s="45"/>
      <c r="W4" s="588"/>
    </row>
    <row r="5" ht="15.75" customHeight="1">
      <c r="A5" s="135"/>
      <c r="B5" s="6"/>
      <c r="C5" s="24"/>
      <c r="D5" s="324"/>
      <c r="E5" s="11"/>
      <c r="F5" s="324"/>
      <c r="G5" s="440"/>
      <c r="H5" s="51"/>
      <c r="I5" s="324"/>
      <c r="J5" s="319"/>
      <c r="K5" s="82"/>
      <c r="L5" s="45"/>
      <c r="M5" s="24"/>
      <c r="N5" s="214"/>
      <c r="O5" s="50"/>
      <c r="P5" s="50"/>
      <c r="Q5" s="24"/>
      <c r="R5" s="13"/>
      <c r="S5" s="587"/>
      <c r="T5" s="9"/>
      <c r="U5" s="45"/>
      <c r="V5" s="45"/>
      <c r="W5" s="589"/>
    </row>
    <row r="6" ht="15.75" customHeight="1">
      <c r="A6" s="135"/>
      <c r="B6" s="135"/>
      <c r="C6" s="45"/>
      <c r="D6" s="319"/>
      <c r="E6" s="93"/>
      <c r="F6" s="319"/>
      <c r="G6" s="463"/>
      <c r="H6" s="46"/>
      <c r="I6" s="319"/>
      <c r="J6" s="319"/>
      <c r="K6" s="72"/>
      <c r="L6" s="72"/>
      <c r="M6" s="45"/>
      <c r="N6" s="117"/>
      <c r="O6" s="50"/>
      <c r="P6" s="50"/>
      <c r="Q6" s="45"/>
      <c r="R6" s="13"/>
      <c r="S6" s="587"/>
      <c r="T6" s="9"/>
      <c r="U6" s="45"/>
      <c r="V6" s="45"/>
      <c r="W6" s="588"/>
    </row>
    <row r="7" ht="15.75" customHeight="1">
      <c r="A7" s="135"/>
      <c r="B7" s="135"/>
      <c r="C7" s="45"/>
      <c r="D7" s="319"/>
      <c r="E7" s="93"/>
      <c r="F7" s="319"/>
      <c r="G7" s="463"/>
      <c r="H7" s="46"/>
      <c r="I7" s="319"/>
      <c r="J7" s="319"/>
      <c r="K7" s="72"/>
      <c r="L7" s="45"/>
      <c r="M7" s="45"/>
      <c r="N7" s="117"/>
      <c r="O7" s="41"/>
      <c r="P7" s="50"/>
      <c r="Q7" s="45"/>
      <c r="R7" s="13"/>
      <c r="S7" s="587"/>
      <c r="T7" s="9"/>
      <c r="U7" s="45"/>
      <c r="V7" s="45"/>
      <c r="W7" s="588"/>
    </row>
    <row r="8" ht="15.75" customHeight="1">
      <c r="A8" s="135"/>
      <c r="B8" s="102"/>
      <c r="C8" s="45"/>
      <c r="D8" s="319"/>
      <c r="E8" s="93"/>
      <c r="F8" s="319"/>
      <c r="G8" s="440"/>
      <c r="H8" s="46"/>
      <c r="I8" s="319"/>
      <c r="J8" s="319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8"/>
    </row>
    <row r="9" ht="15.75" customHeight="1">
      <c r="A9" s="135"/>
      <c r="B9" s="6"/>
      <c r="C9" s="218"/>
      <c r="D9" s="324"/>
      <c r="E9" s="11"/>
      <c r="F9" s="324"/>
      <c r="G9" s="440"/>
      <c r="H9" s="51"/>
      <c r="I9" s="324"/>
      <c r="J9" s="319"/>
      <c r="K9" s="82"/>
      <c r="L9" s="45"/>
      <c r="M9" s="24"/>
      <c r="N9" s="214"/>
      <c r="O9" s="60"/>
      <c r="P9" s="60"/>
      <c r="Q9" s="24"/>
      <c r="R9" s="13"/>
      <c r="S9" s="590"/>
      <c r="T9" s="9"/>
      <c r="U9" s="45"/>
      <c r="V9" s="45"/>
      <c r="W9" s="588"/>
    </row>
    <row r="10" ht="15.75" customHeight="1">
      <c r="A10" s="135"/>
      <c r="B10" s="576"/>
      <c r="C10" s="65"/>
      <c r="D10" s="324"/>
      <c r="E10" s="11"/>
      <c r="F10" s="324"/>
      <c r="G10" s="440"/>
      <c r="H10" s="51"/>
      <c r="I10" s="324"/>
      <c r="J10" s="319"/>
      <c r="K10" s="82"/>
      <c r="L10" s="45"/>
      <c r="M10" s="24"/>
      <c r="N10" s="214"/>
      <c r="O10" s="60"/>
      <c r="P10" s="60"/>
      <c r="Q10" s="24"/>
      <c r="R10" s="202"/>
      <c r="S10" s="575"/>
      <c r="T10" s="9"/>
      <c r="U10" s="45"/>
      <c r="V10" s="45"/>
      <c r="W10" s="588"/>
    </row>
    <row r="11" ht="15.75" customHeight="1">
      <c r="A11" s="135"/>
      <c r="B11" s="135"/>
      <c r="C11" s="45"/>
      <c r="D11" s="319"/>
      <c r="E11" s="93"/>
      <c r="F11" s="319"/>
      <c r="G11" s="463"/>
      <c r="H11" s="46"/>
      <c r="I11" s="319"/>
      <c r="J11" s="319"/>
      <c r="K11" s="72"/>
      <c r="L11" s="72"/>
      <c r="M11" s="45"/>
      <c r="N11" s="117"/>
      <c r="O11" s="50"/>
      <c r="P11" s="50"/>
      <c r="Q11" s="45"/>
      <c r="R11" s="13"/>
      <c r="S11" s="587"/>
      <c r="T11" s="9"/>
      <c r="U11" s="45"/>
      <c r="V11" s="45"/>
      <c r="W11" s="588"/>
    </row>
    <row r="12" ht="15.75" customHeight="1">
      <c r="A12" s="135"/>
      <c r="B12" s="135"/>
      <c r="C12" s="45"/>
      <c r="D12" s="319"/>
      <c r="E12" s="93"/>
      <c r="F12" s="319"/>
      <c r="G12" s="440"/>
      <c r="H12" s="46"/>
      <c r="I12" s="319"/>
      <c r="J12" s="319"/>
      <c r="K12" s="45"/>
      <c r="L12" s="82"/>
      <c r="M12" s="45"/>
      <c r="N12" s="117"/>
      <c r="O12" s="111"/>
      <c r="P12" s="111"/>
      <c r="Q12" s="45"/>
      <c r="R12" s="13"/>
      <c r="S12" s="587"/>
      <c r="T12" s="9"/>
      <c r="U12" s="45"/>
      <c r="V12" s="45"/>
      <c r="W12" s="588"/>
    </row>
    <row r="13" ht="15.75" customHeight="1">
      <c r="A13" s="61"/>
      <c r="B13" s="135"/>
      <c r="C13" s="164"/>
      <c r="D13" s="319"/>
      <c r="E13" s="93"/>
      <c r="F13" s="319"/>
      <c r="G13" s="463"/>
      <c r="H13" s="46"/>
      <c r="I13" s="319"/>
      <c r="J13" s="319"/>
      <c r="K13" s="591"/>
      <c r="L13" s="164"/>
      <c r="M13" s="164"/>
      <c r="N13" s="94"/>
      <c r="O13" s="323"/>
      <c r="P13" s="323"/>
      <c r="Q13" s="164"/>
      <c r="R13" s="13"/>
      <c r="S13" s="587"/>
      <c r="T13" s="9"/>
      <c r="U13" s="164"/>
      <c r="V13" s="164"/>
      <c r="W13" s="586"/>
    </row>
    <row r="14" ht="15.75" customHeight="1">
      <c r="A14" s="61"/>
      <c r="B14" s="135"/>
      <c r="C14" s="67"/>
      <c r="D14" s="319"/>
      <c r="E14" s="93"/>
      <c r="F14" s="93"/>
      <c r="G14" s="440"/>
      <c r="H14" s="46"/>
      <c r="I14" s="319"/>
      <c r="J14" s="319"/>
      <c r="K14" s="591"/>
      <c r="L14" s="164"/>
      <c r="M14" s="164"/>
      <c r="N14" s="94"/>
      <c r="O14" s="323"/>
      <c r="P14" s="323"/>
      <c r="Q14" s="164"/>
      <c r="R14" s="13"/>
      <c r="S14" s="587"/>
      <c r="T14" s="9"/>
      <c r="U14" s="164"/>
      <c r="V14" s="164"/>
      <c r="W14" s="586"/>
    </row>
    <row r="15" ht="15.75" customHeight="1">
      <c r="A15" s="61"/>
      <c r="B15" s="135"/>
      <c r="C15" s="164"/>
      <c r="D15" s="319"/>
      <c r="E15" s="93"/>
      <c r="F15" s="319"/>
      <c r="G15" s="463"/>
      <c r="H15" s="46"/>
      <c r="I15" s="319"/>
      <c r="J15" s="319"/>
      <c r="K15" s="591"/>
      <c r="L15" s="164"/>
      <c r="M15" s="164"/>
      <c r="N15" s="94"/>
      <c r="O15" s="169"/>
      <c r="P15" s="169"/>
      <c r="Q15" s="164"/>
      <c r="R15" s="13"/>
      <c r="S15" s="592"/>
      <c r="T15" s="9"/>
      <c r="U15" s="164"/>
      <c r="V15" s="164"/>
      <c r="W15" s="586"/>
    </row>
    <row r="16" ht="15.75" customHeight="1">
      <c r="A16" s="135"/>
      <c r="B16" s="135"/>
      <c r="C16" s="67"/>
      <c r="D16" s="319"/>
      <c r="E16" s="93"/>
      <c r="F16" s="319"/>
      <c r="G16" s="463"/>
      <c r="H16" s="46"/>
      <c r="I16" s="319"/>
      <c r="J16" s="319"/>
      <c r="K16" s="72"/>
      <c r="L16" s="45"/>
      <c r="M16" s="45"/>
      <c r="N16" s="117"/>
      <c r="O16" s="50"/>
      <c r="P16" s="50"/>
      <c r="Q16" s="45"/>
      <c r="R16" s="13"/>
      <c r="S16" s="587"/>
      <c r="T16" s="9"/>
      <c r="U16" s="45"/>
      <c r="V16" s="45"/>
      <c r="W16" s="588"/>
    </row>
    <row r="17" ht="15.75" customHeight="1">
      <c r="A17" s="115"/>
      <c r="B17" s="6"/>
      <c r="C17" s="56"/>
      <c r="D17" s="324"/>
      <c r="E17" s="11"/>
      <c r="F17" s="324"/>
      <c r="G17" s="440"/>
      <c r="H17" s="46"/>
      <c r="I17" s="324"/>
      <c r="J17" s="319"/>
      <c r="K17" s="585"/>
      <c r="L17" s="164"/>
      <c r="M17" s="5"/>
      <c r="N17" s="12"/>
      <c r="O17" s="169"/>
      <c r="P17" s="169"/>
      <c r="Q17" s="5"/>
      <c r="R17" s="13"/>
      <c r="S17" s="6"/>
      <c r="T17" s="9"/>
      <c r="U17" s="164"/>
      <c r="V17" s="164"/>
      <c r="W17" s="589"/>
    </row>
    <row r="18" ht="15.75" customHeight="1">
      <c r="A18" s="115"/>
      <c r="B18" s="6"/>
      <c r="C18" s="7"/>
      <c r="D18" s="324"/>
      <c r="E18" s="11"/>
      <c r="F18" s="324"/>
      <c r="G18" s="440"/>
      <c r="H18" s="46"/>
      <c r="I18" s="324"/>
      <c r="J18" s="319"/>
      <c r="K18" s="585"/>
      <c r="L18" s="164"/>
      <c r="M18" s="5"/>
      <c r="N18" s="12"/>
      <c r="O18" s="169"/>
      <c r="P18" s="169"/>
      <c r="Q18" s="5"/>
      <c r="R18" s="13"/>
      <c r="S18" s="6"/>
      <c r="T18" s="9"/>
      <c r="U18" s="164"/>
      <c r="V18" s="164"/>
      <c r="W18" s="589"/>
    </row>
    <row r="19" ht="15.75" customHeight="1">
      <c r="A19" s="97"/>
      <c r="B19" s="587"/>
      <c r="C19" s="164"/>
      <c r="D19" s="319"/>
      <c r="E19" s="93"/>
      <c r="F19" s="319"/>
      <c r="G19" s="463"/>
      <c r="H19" s="46"/>
      <c r="I19" s="319"/>
      <c r="J19" s="319"/>
      <c r="K19" s="164"/>
      <c r="L19" s="164"/>
      <c r="M19" s="164"/>
      <c r="N19" s="94"/>
      <c r="O19" s="169"/>
      <c r="P19" s="42"/>
      <c r="Q19" s="164"/>
      <c r="R19" s="13"/>
      <c r="S19" s="587"/>
      <c r="T19" s="9"/>
      <c r="U19" s="164"/>
      <c r="V19" s="164"/>
      <c r="W19" s="586"/>
    </row>
    <row r="20" ht="15.75" customHeight="1">
      <c r="A20" s="61"/>
      <c r="B20" s="135"/>
      <c r="C20" s="164"/>
      <c r="D20" s="319"/>
      <c r="E20" s="93"/>
      <c r="F20" s="319"/>
      <c r="G20" s="440"/>
      <c r="H20" s="46"/>
      <c r="I20" s="319"/>
      <c r="J20" s="319"/>
      <c r="K20" s="591"/>
      <c r="L20" s="164"/>
      <c r="M20" s="164"/>
      <c r="N20" s="94"/>
      <c r="O20" s="128"/>
      <c r="P20" s="112"/>
      <c r="Q20" s="164"/>
      <c r="R20" s="13"/>
      <c r="S20" s="587"/>
      <c r="T20" s="9"/>
      <c r="U20" s="164"/>
      <c r="V20" s="164"/>
      <c r="W20" s="586"/>
    </row>
    <row r="21" ht="15.75" customHeight="1">
      <c r="A21" s="61"/>
      <c r="B21" s="97"/>
      <c r="C21" s="164"/>
      <c r="D21" s="319"/>
      <c r="E21" s="93"/>
      <c r="F21" s="319"/>
      <c r="G21" s="463"/>
      <c r="H21" s="46"/>
      <c r="I21" s="319"/>
      <c r="J21" s="319"/>
      <c r="K21" s="591"/>
      <c r="L21" s="164"/>
      <c r="M21" s="164"/>
      <c r="N21" s="94"/>
      <c r="O21" s="169"/>
      <c r="P21" s="169"/>
      <c r="Q21" s="164"/>
      <c r="R21" s="13"/>
      <c r="S21" s="15"/>
      <c r="T21" s="9"/>
      <c r="U21" s="164"/>
      <c r="V21" s="164"/>
      <c r="W21" s="586"/>
    </row>
    <row r="22" ht="15.75" customHeight="1">
      <c r="A22" s="135"/>
      <c r="B22" s="135"/>
      <c r="C22" s="45"/>
      <c r="D22" s="319"/>
      <c r="E22" s="93"/>
      <c r="F22" s="319"/>
      <c r="G22" s="463"/>
      <c r="H22" s="46"/>
      <c r="I22" s="319"/>
      <c r="J22" s="319"/>
      <c r="K22" s="45"/>
      <c r="L22" s="72"/>
      <c r="M22" s="45"/>
      <c r="N22" s="117"/>
      <c r="O22" s="74"/>
      <c r="P22" s="50"/>
      <c r="Q22" s="45"/>
      <c r="R22" s="13"/>
      <c r="S22" s="587"/>
      <c r="T22" s="9"/>
      <c r="U22" s="45"/>
      <c r="V22" s="45"/>
      <c r="W22" s="588"/>
    </row>
    <row r="23" ht="15.75" customHeight="1">
      <c r="A23" s="506"/>
      <c r="B23" s="506"/>
      <c r="C23" s="534"/>
      <c r="D23" s="490"/>
      <c r="E23" s="490"/>
      <c r="F23" s="478"/>
      <c r="G23" s="275"/>
      <c r="H23" s="275"/>
      <c r="I23" s="275"/>
      <c r="J23" s="275"/>
      <c r="K23" s="479"/>
      <c r="L23" s="479"/>
      <c r="M23" s="478"/>
      <c r="N23" s="480"/>
      <c r="O23" s="482"/>
      <c r="P23" s="482"/>
      <c r="Q23" s="478"/>
      <c r="R23" s="478"/>
      <c r="S23" s="506"/>
      <c r="T23" s="478"/>
      <c r="U23" s="479"/>
      <c r="V23" s="479"/>
      <c r="W23" s="281"/>
    </row>
    <row r="24" ht="15.75" customHeight="1">
      <c r="A24" s="506"/>
      <c r="B24" s="506"/>
      <c r="C24" s="534"/>
      <c r="D24" s="490"/>
      <c r="E24" s="490"/>
      <c r="F24" s="478"/>
      <c r="G24" s="275"/>
      <c r="H24" s="275"/>
      <c r="I24" s="275"/>
      <c r="J24" s="275"/>
      <c r="K24" s="479"/>
      <c r="L24" s="479"/>
      <c r="M24" s="478"/>
      <c r="N24" s="480"/>
      <c r="O24" s="482"/>
      <c r="P24" s="482"/>
      <c r="Q24" s="478"/>
      <c r="R24" s="478"/>
      <c r="S24" s="506"/>
      <c r="T24" s="478"/>
      <c r="U24" s="479"/>
      <c r="V24" s="479"/>
      <c r="W24" s="281"/>
    </row>
    <row r="25" ht="15.75" customHeight="1">
      <c r="A25" s="535"/>
      <c r="B25" s="536" t="s">
        <v>2533</v>
      </c>
      <c r="C25" s="537">
        <f>COUNTIF(G:G,"Ativo")</f>
        <v>0</v>
      </c>
      <c r="D25" s="478"/>
      <c r="E25" s="478"/>
      <c r="F25" s="478"/>
      <c r="G25" s="478"/>
      <c r="H25" s="478"/>
      <c r="I25" s="478"/>
      <c r="J25" s="478"/>
      <c r="K25" s="479"/>
      <c r="L25" s="479"/>
      <c r="M25" s="478"/>
      <c r="N25" s="480"/>
      <c r="O25" s="482"/>
      <c r="P25" s="482"/>
      <c r="Q25" s="478"/>
      <c r="R25" s="478"/>
      <c r="S25" s="536"/>
      <c r="T25" s="478"/>
      <c r="U25" s="479"/>
      <c r="V25" s="479"/>
      <c r="W25" s="584">
        <f>SUM(W4:W23)</f>
        <v>0</v>
      </c>
    </row>
    <row r="26" ht="15.75" customHeight="1">
      <c r="A26" s="539"/>
      <c r="B26" s="540" t="s">
        <v>2534</v>
      </c>
      <c r="C26" s="541">
        <f>COUNTIF(G:G,"Inativo")</f>
        <v>0</v>
      </c>
      <c r="D26" s="488"/>
      <c r="E26" s="488"/>
      <c r="F26" s="489"/>
      <c r="G26" s="490"/>
      <c r="H26" s="490"/>
      <c r="I26" s="490"/>
      <c r="J26" s="490"/>
      <c r="K26" s="491"/>
      <c r="L26" s="492"/>
      <c r="M26" s="490"/>
      <c r="N26" s="480"/>
      <c r="O26" s="482"/>
      <c r="P26" s="482"/>
      <c r="Q26" s="478"/>
      <c r="R26" s="478"/>
      <c r="S26" s="540"/>
      <c r="T26" s="478"/>
      <c r="U26" s="492"/>
      <c r="V26" s="492"/>
      <c r="W26" s="281"/>
    </row>
    <row r="27" ht="15.75" customHeight="1">
      <c r="A27" s="539"/>
      <c r="B27" s="540" t="s">
        <v>2535</v>
      </c>
      <c r="C27" s="541">
        <f>COUNTIF(G:G,"Encerrado")</f>
        <v>0</v>
      </c>
      <c r="D27" s="488"/>
      <c r="E27" s="488"/>
      <c r="F27" s="489"/>
      <c r="G27" s="490"/>
      <c r="H27" s="490"/>
      <c r="I27" s="490"/>
      <c r="J27" s="490"/>
      <c r="K27" s="491"/>
      <c r="L27" s="492"/>
      <c r="M27" s="490"/>
      <c r="N27" s="480"/>
      <c r="O27" s="482"/>
      <c r="P27" s="482"/>
      <c r="Q27" s="478"/>
      <c r="R27" s="478"/>
      <c r="S27" s="540"/>
      <c r="T27" s="478"/>
      <c r="U27" s="492"/>
      <c r="V27" s="492"/>
      <c r="W27" s="281"/>
    </row>
    <row r="28" ht="15.75" customHeight="1">
      <c r="A28" s="543"/>
      <c r="B28" s="544" t="s">
        <v>2536</v>
      </c>
      <c r="C28" s="545">
        <f>COUNTIF(G:G,"Pode Operar")</f>
        <v>1</v>
      </c>
      <c r="D28" s="488"/>
      <c r="E28" s="488"/>
      <c r="F28" s="489"/>
      <c r="G28" s="490"/>
      <c r="H28" s="490"/>
      <c r="I28" s="490"/>
      <c r="J28" s="490"/>
      <c r="K28" s="491"/>
      <c r="L28" s="492"/>
      <c r="M28" s="490"/>
      <c r="N28" s="480"/>
      <c r="O28" s="482"/>
      <c r="P28" s="482"/>
      <c r="Q28" s="478"/>
      <c r="R28" s="478"/>
      <c r="S28" s="544"/>
      <c r="T28" s="478"/>
      <c r="U28" s="492"/>
      <c r="V28" s="492"/>
      <c r="W28" s="281"/>
    </row>
    <row r="29" ht="15.75" customHeight="1">
      <c r="A29" s="508"/>
      <c r="B29" s="508"/>
      <c r="C29" s="507"/>
      <c r="D29" s="488"/>
      <c r="E29" s="488"/>
      <c r="F29" s="505"/>
      <c r="G29" s="490"/>
      <c r="H29" s="490"/>
      <c r="I29" s="490"/>
      <c r="J29" s="490"/>
      <c r="K29" s="491"/>
      <c r="L29" s="479"/>
      <c r="M29" s="478"/>
      <c r="N29" s="480"/>
      <c r="O29" s="482"/>
      <c r="P29" s="482"/>
      <c r="Q29" s="478"/>
      <c r="R29" s="478"/>
      <c r="S29" s="508"/>
      <c r="T29" s="478"/>
      <c r="U29" s="479"/>
      <c r="V29" s="479"/>
      <c r="W29" s="281"/>
    </row>
  </sheetData>
  <autoFilter ref="$A$2:$W$22">
    <sortState ref="A2:W22">
      <sortCondition ref="B2:B22"/>
    </sortState>
  </autoFilter>
  <customSheetViews>
    <customSheetView guid="{CF9BBF74-3EB1-4F1E-8AB9-3B8870336168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82</v>
      </c>
      <c r="G1" s="28" t="s">
        <v>84</v>
      </c>
      <c r="I1" s="26" t="s">
        <v>82</v>
      </c>
      <c r="P1" s="428" t="s">
        <v>2538</v>
      </c>
      <c r="Q1" s="429" t="s">
        <v>2537</v>
      </c>
      <c r="R1" s="30" t="s">
        <v>85</v>
      </c>
      <c r="X1" s="31" t="s">
        <v>86</v>
      </c>
    </row>
    <row r="2" ht="15.75" customHeight="1">
      <c r="A2" s="430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89</v>
      </c>
      <c r="H2" s="1" t="s">
        <v>90</v>
      </c>
      <c r="I2" s="2" t="s">
        <v>3757</v>
      </c>
      <c r="J2" s="2" t="s">
        <v>3758</v>
      </c>
      <c r="K2" s="2" t="s">
        <v>91</v>
      </c>
      <c r="L2" s="34" t="s">
        <v>92</v>
      </c>
      <c r="M2" s="34" t="s">
        <v>93</v>
      </c>
      <c r="N2" s="34" t="s">
        <v>9</v>
      </c>
      <c r="O2" s="36" t="s">
        <v>94</v>
      </c>
      <c r="P2" s="4" t="s">
        <v>96</v>
      </c>
      <c r="Q2" s="4" t="s">
        <v>97</v>
      </c>
      <c r="R2" s="2" t="s">
        <v>98</v>
      </c>
      <c r="S2" s="33" t="s">
        <v>0</v>
      </c>
      <c r="T2" s="34" t="s">
        <v>39</v>
      </c>
      <c r="U2" s="1" t="s">
        <v>99</v>
      </c>
      <c r="V2" s="3" t="s">
        <v>40</v>
      </c>
      <c r="W2" s="3" t="s">
        <v>100</v>
      </c>
      <c r="X2" s="593">
        <v>44957.0</v>
      </c>
      <c r="Y2" s="593">
        <v>44985.0</v>
      </c>
      <c r="Z2" s="593">
        <v>45016.0</v>
      </c>
      <c r="AA2" s="593">
        <v>45044.0</v>
      </c>
      <c r="AB2" s="593">
        <v>45077.0</v>
      </c>
      <c r="AC2" s="593">
        <v>45107.0</v>
      </c>
      <c r="AD2" s="593">
        <v>45138.0</v>
      </c>
      <c r="AE2" s="593">
        <v>45169.0</v>
      </c>
    </row>
    <row r="3" ht="15.75" customHeight="1">
      <c r="A3" s="594" t="s">
        <v>3810</v>
      </c>
      <c r="B3" s="526" t="s">
        <v>3811</v>
      </c>
      <c r="C3" s="140" t="s">
        <v>16</v>
      </c>
      <c r="D3" s="319" t="s">
        <v>18</v>
      </c>
      <c r="E3" s="93" t="s">
        <v>29</v>
      </c>
      <c r="F3" s="595" t="s">
        <v>168</v>
      </c>
      <c r="G3" s="463" t="s">
        <v>107</v>
      </c>
      <c r="H3" s="46" t="s">
        <v>24</v>
      </c>
      <c r="I3" s="319"/>
      <c r="J3" s="319"/>
      <c r="K3" s="319" t="str">
        <f t="shared" ref="K3:K6" si="1">IF(P3=0,"Não","Sim")</f>
        <v>Não</v>
      </c>
      <c r="L3" s="567"/>
      <c r="M3" s="566"/>
      <c r="N3" s="45" t="s">
        <v>23</v>
      </c>
      <c r="O3" s="568">
        <v>0.008</v>
      </c>
      <c r="P3" s="50"/>
      <c r="Q3" s="50"/>
      <c r="R3" s="45" t="s">
        <v>108</v>
      </c>
      <c r="S3" s="90" t="s">
        <v>350</v>
      </c>
      <c r="T3" s="13" t="s">
        <v>29</v>
      </c>
      <c r="U3" s="9"/>
      <c r="V3" s="45"/>
      <c r="W3" s="45"/>
      <c r="X3" s="569"/>
      <c r="Y3" s="569"/>
      <c r="Z3" s="569"/>
      <c r="AA3" s="569"/>
      <c r="AB3" s="569"/>
      <c r="AC3" s="569"/>
      <c r="AD3" s="569"/>
      <c r="AE3" s="171"/>
    </row>
    <row r="4" ht="15.75" customHeight="1">
      <c r="A4" s="594" t="s">
        <v>3810</v>
      </c>
      <c r="B4" s="596" t="s">
        <v>949</v>
      </c>
      <c r="C4" s="578" t="s">
        <v>3812</v>
      </c>
      <c r="D4" s="319" t="s">
        <v>18</v>
      </c>
      <c r="E4" s="93" t="s">
        <v>176</v>
      </c>
      <c r="F4" s="595" t="s">
        <v>177</v>
      </c>
      <c r="G4" s="463" t="s">
        <v>107</v>
      </c>
      <c r="H4" s="46" t="s">
        <v>24</v>
      </c>
      <c r="I4" s="319"/>
      <c r="J4" s="319"/>
      <c r="K4" s="319" t="str">
        <f t="shared" si="1"/>
        <v>Não</v>
      </c>
      <c r="L4" s="567"/>
      <c r="M4" s="567"/>
      <c r="N4" s="45" t="s">
        <v>23</v>
      </c>
      <c r="O4" s="568">
        <v>0.008</v>
      </c>
      <c r="P4" s="50"/>
      <c r="Q4" s="50"/>
      <c r="R4" s="45" t="s">
        <v>108</v>
      </c>
      <c r="S4" s="90" t="s">
        <v>952</v>
      </c>
      <c r="T4" s="13" t="s">
        <v>180</v>
      </c>
      <c r="U4" s="9"/>
      <c r="V4" s="45"/>
      <c r="W4" s="45"/>
      <c r="X4" s="569"/>
      <c r="Y4" s="569"/>
      <c r="Z4" s="569"/>
      <c r="AA4" s="569"/>
      <c r="AB4" s="569"/>
      <c r="AC4" s="569"/>
      <c r="AD4" s="569"/>
      <c r="AE4" s="171"/>
    </row>
    <row r="5" ht="15.75" customHeight="1">
      <c r="A5" s="594" t="s">
        <v>3810</v>
      </c>
      <c r="B5" s="596" t="s">
        <v>949</v>
      </c>
      <c r="C5" s="578" t="s">
        <v>3812</v>
      </c>
      <c r="D5" s="319" t="s">
        <v>18</v>
      </c>
      <c r="E5" s="93" t="s">
        <v>176</v>
      </c>
      <c r="F5" s="595" t="s">
        <v>177</v>
      </c>
      <c r="G5" s="463" t="s">
        <v>123</v>
      </c>
      <c r="H5" s="46" t="s">
        <v>24</v>
      </c>
      <c r="I5" s="319"/>
      <c r="J5" s="319"/>
      <c r="K5" s="319" t="str">
        <f t="shared" si="1"/>
        <v>Não</v>
      </c>
      <c r="L5" s="567"/>
      <c r="M5" s="567"/>
      <c r="N5" s="45" t="s">
        <v>23</v>
      </c>
      <c r="O5" s="568">
        <v>0.008</v>
      </c>
      <c r="P5" s="50"/>
      <c r="Q5" s="50"/>
      <c r="R5" s="45" t="s">
        <v>108</v>
      </c>
      <c r="S5" s="90" t="s">
        <v>952</v>
      </c>
      <c r="T5" s="13" t="s">
        <v>180</v>
      </c>
      <c r="U5" s="9"/>
      <c r="V5" s="45"/>
      <c r="W5" s="45"/>
      <c r="X5" s="569"/>
      <c r="Y5" s="569"/>
      <c r="Z5" s="569"/>
      <c r="AA5" s="569"/>
      <c r="AB5" s="569"/>
      <c r="AC5" s="569"/>
      <c r="AD5" s="569"/>
      <c r="AE5" s="171"/>
    </row>
    <row r="6" ht="15.75" customHeight="1">
      <c r="A6" s="594" t="s">
        <v>3810</v>
      </c>
      <c r="B6" s="594" t="s">
        <v>1578</v>
      </c>
      <c r="C6" s="140" t="s">
        <v>3813</v>
      </c>
      <c r="D6" s="319" t="s">
        <v>18</v>
      </c>
      <c r="E6" s="93" t="s">
        <v>176</v>
      </c>
      <c r="F6" s="595" t="s">
        <v>177</v>
      </c>
      <c r="G6" s="463" t="s">
        <v>107</v>
      </c>
      <c r="H6" s="46" t="s">
        <v>24</v>
      </c>
      <c r="I6" s="319"/>
      <c r="J6" s="319"/>
      <c r="K6" s="319" t="str">
        <f t="shared" si="1"/>
        <v>Não</v>
      </c>
      <c r="L6" s="567"/>
      <c r="M6" s="566"/>
      <c r="N6" s="45" t="s">
        <v>23</v>
      </c>
      <c r="O6" s="568">
        <v>0.008</v>
      </c>
      <c r="P6" s="50"/>
      <c r="Q6" s="50"/>
      <c r="R6" s="45" t="s">
        <v>108</v>
      </c>
      <c r="S6" s="90" t="s">
        <v>1581</v>
      </c>
      <c r="T6" s="13" t="s">
        <v>180</v>
      </c>
      <c r="U6" s="9"/>
      <c r="V6" s="45"/>
      <c r="W6" s="45"/>
      <c r="X6" s="569"/>
      <c r="Y6" s="569"/>
      <c r="Z6" s="569"/>
      <c r="AA6" s="569"/>
      <c r="AB6" s="569"/>
      <c r="AC6" s="569"/>
      <c r="AD6" s="569"/>
      <c r="AE6" s="171"/>
    </row>
    <row r="7" ht="15.75" customHeight="1">
      <c r="A7" s="506"/>
      <c r="B7" s="506"/>
      <c r="C7" s="534"/>
      <c r="D7" s="490"/>
      <c r="E7" s="490"/>
      <c r="F7" s="478"/>
      <c r="G7" s="275"/>
      <c r="H7" s="275"/>
      <c r="I7" s="275"/>
      <c r="J7" s="275"/>
      <c r="K7" s="275"/>
      <c r="L7" s="479"/>
      <c r="M7" s="479"/>
      <c r="N7" s="478"/>
      <c r="O7" s="480"/>
      <c r="P7" s="482"/>
      <c r="Q7" s="482"/>
      <c r="R7" s="478"/>
      <c r="S7" s="506"/>
      <c r="T7" s="478"/>
      <c r="U7" s="478"/>
      <c r="V7" s="479"/>
      <c r="W7" s="479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5"/>
      <c r="B8" s="536" t="s">
        <v>2533</v>
      </c>
      <c r="C8" s="537">
        <f>COUNTIF(G:G,"Ativo")</f>
        <v>3</v>
      </c>
      <c r="D8" s="478"/>
      <c r="E8" s="478"/>
      <c r="F8" s="478"/>
      <c r="G8" s="478"/>
      <c r="H8" s="478"/>
      <c r="I8" s="478"/>
      <c r="J8" s="478"/>
      <c r="K8" s="478"/>
      <c r="L8" s="479"/>
      <c r="M8" s="479"/>
      <c r="N8" s="478"/>
      <c r="O8" s="480"/>
      <c r="P8" s="482"/>
      <c r="Q8" s="482"/>
      <c r="R8" s="478"/>
      <c r="S8" s="538"/>
      <c r="T8" s="478"/>
      <c r="U8" s="478"/>
      <c r="V8" s="479"/>
      <c r="W8" s="479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9"/>
      <c r="B9" s="540" t="s">
        <v>2534</v>
      </c>
      <c r="C9" s="541">
        <f>COUNTIF(G:G,"Inativo")</f>
        <v>0</v>
      </c>
      <c r="D9" s="488"/>
      <c r="E9" s="488"/>
      <c r="F9" s="489"/>
      <c r="G9" s="490"/>
      <c r="H9" s="490"/>
      <c r="I9" s="490"/>
      <c r="J9" s="490"/>
      <c r="K9" s="490"/>
      <c r="L9" s="491"/>
      <c r="M9" s="492"/>
      <c r="N9" s="490"/>
      <c r="O9" s="480"/>
      <c r="P9" s="482"/>
      <c r="Q9" s="482"/>
      <c r="R9" s="478"/>
      <c r="S9" s="538"/>
      <c r="T9" s="478"/>
      <c r="U9" s="478"/>
      <c r="V9" s="492"/>
      <c r="W9" s="492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9"/>
      <c r="B10" s="540" t="s">
        <v>2535</v>
      </c>
      <c r="C10" s="541">
        <f>COUNTIF(G:G,"Encerrado")</f>
        <v>0</v>
      </c>
      <c r="D10" s="488"/>
      <c r="E10" s="488"/>
      <c r="F10" s="489"/>
      <c r="G10" s="490"/>
      <c r="H10" s="490"/>
      <c r="I10" s="490"/>
      <c r="J10" s="490"/>
      <c r="K10" s="490"/>
      <c r="L10" s="491"/>
      <c r="M10" s="492"/>
      <c r="N10" s="490"/>
      <c r="O10" s="480"/>
      <c r="P10" s="482"/>
      <c r="Q10" s="482"/>
      <c r="R10" s="478"/>
      <c r="S10" s="538"/>
      <c r="T10" s="478"/>
      <c r="U10" s="478"/>
      <c r="V10" s="492"/>
      <c r="W10" s="492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3"/>
      <c r="B11" s="544" t="s">
        <v>2536</v>
      </c>
      <c r="C11" s="545">
        <f>COUNTIF(G:G,"Pode Operar")</f>
        <v>1</v>
      </c>
      <c r="D11" s="488"/>
      <c r="E11" s="488"/>
      <c r="F11" s="489"/>
      <c r="G11" s="490"/>
      <c r="H11" s="490"/>
      <c r="I11" s="490"/>
      <c r="J11" s="490"/>
      <c r="K11" s="490"/>
      <c r="L11" s="491"/>
      <c r="M11" s="492"/>
      <c r="N11" s="490"/>
      <c r="O11" s="480"/>
      <c r="P11" s="482"/>
      <c r="Q11" s="482"/>
      <c r="R11" s="478"/>
      <c r="S11" s="538"/>
      <c r="T11" s="478"/>
      <c r="U11" s="478"/>
      <c r="V11" s="492"/>
      <c r="W11" s="492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8"/>
      <c r="B12" s="508"/>
      <c r="C12" s="507"/>
      <c r="D12" s="488"/>
      <c r="E12" s="488"/>
      <c r="F12" s="505"/>
      <c r="G12" s="490"/>
      <c r="H12" s="490"/>
      <c r="I12" s="490"/>
      <c r="J12" s="490"/>
      <c r="K12" s="490"/>
      <c r="L12" s="491"/>
      <c r="M12" s="479"/>
      <c r="N12" s="478"/>
      <c r="O12" s="480"/>
      <c r="P12" s="482"/>
      <c r="Q12" s="482"/>
      <c r="R12" s="478"/>
      <c r="S12" s="508"/>
      <c r="T12" s="478"/>
      <c r="U12" s="478"/>
      <c r="V12" s="479"/>
      <c r="W12" s="479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6"/>
      <c r="B13" s="506"/>
      <c r="C13" s="507"/>
      <c r="D13" s="488"/>
      <c r="E13" s="488"/>
      <c r="F13" s="489"/>
      <c r="G13" s="490"/>
      <c r="H13" s="490"/>
      <c r="I13" s="490"/>
      <c r="J13" s="490"/>
      <c r="K13" s="490"/>
      <c r="L13" s="491"/>
      <c r="M13" s="479"/>
      <c r="N13" s="478"/>
      <c r="O13" s="480"/>
      <c r="P13" s="482"/>
      <c r="Q13" s="482"/>
      <c r="R13" s="478"/>
      <c r="S13" s="506"/>
      <c r="T13" s="478"/>
      <c r="U13" s="478"/>
      <c r="V13" s="479"/>
      <c r="W13" s="479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8"/>
      <c r="B14" s="508"/>
      <c r="C14" s="507"/>
      <c r="D14" s="488"/>
      <c r="E14" s="488"/>
      <c r="F14" s="489"/>
      <c r="G14" s="490"/>
      <c r="H14" s="490"/>
      <c r="I14" s="490"/>
      <c r="J14" s="490"/>
      <c r="K14" s="490"/>
      <c r="L14" s="491"/>
      <c r="M14" s="492"/>
      <c r="N14" s="490"/>
      <c r="O14" s="480"/>
      <c r="P14" s="482"/>
      <c r="Q14" s="482"/>
      <c r="R14" s="478"/>
      <c r="S14" s="508"/>
      <c r="T14" s="478"/>
      <c r="U14" s="478"/>
      <c r="V14" s="492"/>
      <c r="W14" s="492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7" t="s">
        <v>3</v>
      </c>
      <c r="B1" s="597" t="s">
        <v>38</v>
      </c>
      <c r="C1" s="598" t="s">
        <v>87</v>
      </c>
      <c r="D1" s="599" t="s">
        <v>2</v>
      </c>
      <c r="E1" s="600" t="s">
        <v>4</v>
      </c>
      <c r="F1" s="600" t="s">
        <v>5</v>
      </c>
      <c r="G1" s="600" t="s">
        <v>6</v>
      </c>
      <c r="H1" s="601" t="s">
        <v>2540</v>
      </c>
      <c r="I1" s="601" t="s">
        <v>3814</v>
      </c>
      <c r="J1" s="600" t="s">
        <v>89</v>
      </c>
      <c r="K1" s="601" t="s">
        <v>2541</v>
      </c>
      <c r="L1" s="598" t="s">
        <v>3815</v>
      </c>
      <c r="M1" s="599" t="s">
        <v>92</v>
      </c>
      <c r="N1" s="598" t="s">
        <v>93</v>
      </c>
      <c r="O1" s="599" t="s">
        <v>9</v>
      </c>
      <c r="P1" s="602" t="s">
        <v>94</v>
      </c>
      <c r="Q1" s="603" t="s">
        <v>3816</v>
      </c>
      <c r="R1" s="604" t="s">
        <v>3817</v>
      </c>
      <c r="S1" s="605" t="s">
        <v>3818</v>
      </c>
      <c r="T1" s="605" t="s">
        <v>2544</v>
      </c>
      <c r="U1" s="606" t="s">
        <v>2546</v>
      </c>
      <c r="V1" s="599" t="s">
        <v>39</v>
      </c>
      <c r="W1" s="599">
        <v>43769.0</v>
      </c>
      <c r="X1" s="599">
        <v>43799.0</v>
      </c>
      <c r="Y1" s="599">
        <v>43830.0</v>
      </c>
      <c r="Z1" s="599">
        <v>43861.0</v>
      </c>
      <c r="AA1" s="599">
        <v>43890.0</v>
      </c>
      <c r="AB1" s="599">
        <v>43921.0</v>
      </c>
      <c r="AC1" s="599">
        <v>43951.0</v>
      </c>
      <c r="AD1" s="599">
        <v>43982.0</v>
      </c>
      <c r="AE1" s="599">
        <v>44012.0</v>
      </c>
      <c r="AF1" s="599">
        <v>44043.0</v>
      </c>
      <c r="AG1" s="599">
        <v>44074.0</v>
      </c>
      <c r="AH1" s="599">
        <v>44104.0</v>
      </c>
      <c r="AI1" s="599">
        <v>44134.0</v>
      </c>
      <c r="AJ1" s="599">
        <v>44165.0</v>
      </c>
      <c r="AK1" s="606">
        <v>44196.0</v>
      </c>
      <c r="AL1" s="606">
        <v>44227.0</v>
      </c>
      <c r="AM1" s="606">
        <v>44255.0</v>
      </c>
      <c r="AN1" s="606">
        <v>44264.0</v>
      </c>
      <c r="AO1" s="606">
        <v>44286.0</v>
      </c>
      <c r="AP1" s="606">
        <v>44312.0</v>
      </c>
      <c r="AQ1" s="606">
        <v>44316.0</v>
      </c>
      <c r="AR1" s="606">
        <v>44347.0</v>
      </c>
      <c r="AS1" s="606">
        <v>44377.0</v>
      </c>
      <c r="AT1" s="606">
        <v>44408.0</v>
      </c>
      <c r="AU1" s="606">
        <v>44439.0</v>
      </c>
      <c r="AV1" s="606">
        <v>44469.0</v>
      </c>
      <c r="AW1" s="606">
        <v>44500.0</v>
      </c>
      <c r="AX1" s="606">
        <v>44530.0</v>
      </c>
      <c r="AY1" s="606">
        <v>44561.0</v>
      </c>
      <c r="AZ1" s="607">
        <v>44592.0</v>
      </c>
      <c r="BA1" s="607">
        <v>44620.0</v>
      </c>
      <c r="BB1" s="607">
        <v>44651.0</v>
      </c>
      <c r="BC1" s="607">
        <v>44680.0</v>
      </c>
      <c r="BD1" s="606">
        <v>44712.0</v>
      </c>
      <c r="BE1" s="607">
        <v>44742.0</v>
      </c>
      <c r="BF1" s="607">
        <v>44771.0</v>
      </c>
      <c r="BG1" s="607">
        <v>44804.0</v>
      </c>
      <c r="BH1" s="607">
        <v>44833.0</v>
      </c>
      <c r="BI1" s="607">
        <v>44865.0</v>
      </c>
      <c r="BJ1" s="607">
        <v>44895.0</v>
      </c>
      <c r="BK1" s="607">
        <v>44923.0</v>
      </c>
      <c r="BL1" s="607">
        <v>44957.0</v>
      </c>
      <c r="BM1" s="607">
        <v>44985.0</v>
      </c>
      <c r="BN1" s="607">
        <v>45016.0</v>
      </c>
      <c r="BO1" s="607">
        <v>45044.0</v>
      </c>
      <c r="BP1" s="607">
        <v>45077.0</v>
      </c>
      <c r="BQ1" s="607">
        <v>45103.0</v>
      </c>
      <c r="BR1" s="607">
        <v>45134.0</v>
      </c>
      <c r="BS1" s="608" t="s">
        <v>3819</v>
      </c>
      <c r="BT1" s="608"/>
    </row>
    <row r="2" ht="15.75" customHeight="1">
      <c r="A2" s="183" t="s">
        <v>3820</v>
      </c>
      <c r="B2" s="78" t="s">
        <v>3821</v>
      </c>
      <c r="C2" s="526" t="s">
        <v>3822</v>
      </c>
      <c r="D2" s="566">
        <v>4926548.0</v>
      </c>
      <c r="E2" s="512" t="s">
        <v>18</v>
      </c>
      <c r="F2" s="609" t="s">
        <v>29</v>
      </c>
      <c r="G2" s="512" t="s">
        <v>3666</v>
      </c>
      <c r="H2" s="512" t="str">
        <f>IFERROR(VLOOKUP(G2,'Cadastro de assessores'!A:B,2,FALSE),"Não Cadastrado")</f>
        <v>14739</v>
      </c>
      <c r="I2" s="512"/>
      <c r="J2" s="51" t="s">
        <v>3823</v>
      </c>
      <c r="K2" s="522" t="s">
        <v>107</v>
      </c>
      <c r="L2" s="610">
        <v>44475.0</v>
      </c>
      <c r="M2" s="611">
        <v>44482.0</v>
      </c>
      <c r="N2" s="566"/>
      <c r="O2" s="566" t="s">
        <v>3824</v>
      </c>
      <c r="P2" s="612">
        <v>0.02</v>
      </c>
      <c r="Q2" s="482"/>
      <c r="R2" s="613"/>
      <c r="S2" s="522" t="str">
        <f t="shared" ref="S2:S7" si="1">IF(BC2&lt;=0,"",IF(BC2&lt;=1000000,"Não Qualificado",IF(AND(BC2&gt;1000000,BC2&lt;=10000000),"Qualificado","Profissional")))</f>
        <v>Não Qualificado</v>
      </c>
      <c r="T2" s="522" t="s">
        <v>108</v>
      </c>
      <c r="U2" s="522" t="s">
        <v>3356</v>
      </c>
      <c r="V2" s="522" t="s">
        <v>19</v>
      </c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614"/>
      <c r="AH2" s="614"/>
      <c r="AI2" s="614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>
        <v>114748.03</v>
      </c>
      <c r="AX2" s="450">
        <v>123862.49</v>
      </c>
      <c r="AY2" s="450">
        <v>125534.3</v>
      </c>
      <c r="AZ2" s="450">
        <v>130547.75</v>
      </c>
      <c r="BA2" s="450">
        <v>82966.01</v>
      </c>
      <c r="BB2" s="450">
        <v>377.27</v>
      </c>
      <c r="BC2" s="450">
        <v>376.7</v>
      </c>
      <c r="BD2" s="450">
        <v>377.39</v>
      </c>
      <c r="BE2" s="450">
        <v>377.39</v>
      </c>
      <c r="BF2" s="450">
        <v>377.39</v>
      </c>
      <c r="BG2" s="450">
        <v>377.39</v>
      </c>
      <c r="BH2" s="450">
        <v>377.39</v>
      </c>
      <c r="BI2" s="450">
        <v>377.39</v>
      </c>
      <c r="BJ2" s="450">
        <v>0.0</v>
      </c>
      <c r="BK2" s="450">
        <v>0.0</v>
      </c>
      <c r="BL2" s="450">
        <v>0.0</v>
      </c>
      <c r="BM2" s="450">
        <v>0.0</v>
      </c>
      <c r="BN2" s="450">
        <v>0.0</v>
      </c>
      <c r="BO2" s="450">
        <v>0.0</v>
      </c>
      <c r="BP2" s="450">
        <v>0.0</v>
      </c>
      <c r="BQ2" s="450">
        <v>0.0</v>
      </c>
      <c r="BR2" s="450">
        <v>0.0</v>
      </c>
      <c r="BS2" s="615">
        <f t="array" ref="BS2">XLOOKUP(D2,'PL TOTAL XP'!A:A,'PL TOTAL XP'!C:C,"0")</f>
        <v>0</v>
      </c>
      <c r="BT2" s="616"/>
    </row>
    <row r="3" ht="15.75" customHeight="1">
      <c r="A3" s="183" t="s">
        <v>3820</v>
      </c>
      <c r="B3" s="78" t="s">
        <v>3825</v>
      </c>
      <c r="C3" s="617" t="s">
        <v>3826</v>
      </c>
      <c r="D3" s="522">
        <v>4653733.0</v>
      </c>
      <c r="E3" s="522" t="s">
        <v>18</v>
      </c>
      <c r="F3" s="522" t="s">
        <v>29</v>
      </c>
      <c r="G3" s="522" t="s">
        <v>3827</v>
      </c>
      <c r="H3" s="522" t="str">
        <f>IFERROR(VLOOKUP(G3,'Cadastro de assessores'!A:B,2,FALSE),"Não Cadastrado")</f>
        <v>17679</v>
      </c>
      <c r="I3" s="522"/>
      <c r="J3" s="51" t="s">
        <v>186</v>
      </c>
      <c r="K3" s="522" t="s">
        <v>2563</v>
      </c>
      <c r="L3" s="618">
        <v>44186.0</v>
      </c>
      <c r="M3" s="618">
        <v>44186.0</v>
      </c>
      <c r="N3" s="619">
        <v>44456.0</v>
      </c>
      <c r="O3" s="522" t="s">
        <v>3828</v>
      </c>
      <c r="P3" s="612">
        <v>0.015</v>
      </c>
      <c r="Q3" s="620" t="s">
        <v>3829</v>
      </c>
      <c r="R3" s="613"/>
      <c r="S3" s="522" t="str">
        <f t="shared" si="1"/>
        <v/>
      </c>
      <c r="T3" s="522" t="s">
        <v>108</v>
      </c>
      <c r="U3" s="522" t="s">
        <v>2623</v>
      </c>
      <c r="V3" s="522" t="s">
        <v>29</v>
      </c>
      <c r="W3" s="614" t="s">
        <v>3830</v>
      </c>
      <c r="X3" s="614" t="s">
        <v>3830</v>
      </c>
      <c r="Y3" s="614" t="s">
        <v>3830</v>
      </c>
      <c r="Z3" s="614" t="s">
        <v>3830</v>
      </c>
      <c r="AA3" s="614" t="s">
        <v>3830</v>
      </c>
      <c r="AB3" s="614" t="s">
        <v>3830</v>
      </c>
      <c r="AC3" s="614" t="s">
        <v>3830</v>
      </c>
      <c r="AD3" s="614" t="s">
        <v>3830</v>
      </c>
      <c r="AE3" s="614" t="s">
        <v>3830</v>
      </c>
      <c r="AF3" s="614" t="s">
        <v>3830</v>
      </c>
      <c r="AG3" s="614" t="s">
        <v>3830</v>
      </c>
      <c r="AH3" s="614" t="s">
        <v>3830</v>
      </c>
      <c r="AI3" s="614" t="s">
        <v>3830</v>
      </c>
      <c r="AJ3" s="614" t="s">
        <v>3830</v>
      </c>
      <c r="AK3" s="450">
        <v>100649.04</v>
      </c>
      <c r="AL3" s="450">
        <v>99628.9</v>
      </c>
      <c r="AM3" s="450">
        <v>96436.89</v>
      </c>
      <c r="AN3" s="450">
        <v>96168.94</v>
      </c>
      <c r="AO3" s="450">
        <v>99059.92</v>
      </c>
      <c r="AP3" s="450">
        <v>99757.35</v>
      </c>
      <c r="AQ3" s="450">
        <v>99387.09</v>
      </c>
      <c r="AR3" s="450">
        <v>101755.71</v>
      </c>
      <c r="AS3" s="450">
        <v>101052.42</v>
      </c>
      <c r="AT3" s="450">
        <v>99114.69</v>
      </c>
      <c r="AU3" s="450">
        <v>98559.47</v>
      </c>
      <c r="AV3" s="450"/>
      <c r="AW3" s="450"/>
      <c r="AX3" s="450"/>
      <c r="AY3" s="450"/>
      <c r="AZ3" s="450"/>
      <c r="BA3" s="450">
        <v>0.0</v>
      </c>
      <c r="BB3" s="450">
        <v>0.0</v>
      </c>
      <c r="BC3" s="450"/>
      <c r="BD3" s="450" t="s">
        <v>2566</v>
      </c>
      <c r="BE3" s="450" t="s">
        <v>2566</v>
      </c>
      <c r="BF3" s="450">
        <v>0.0</v>
      </c>
      <c r="BG3" s="450">
        <v>0.0</v>
      </c>
      <c r="BH3" s="450">
        <v>0.0</v>
      </c>
      <c r="BI3" s="450">
        <v>0.0</v>
      </c>
      <c r="BJ3" s="450">
        <v>0.0</v>
      </c>
      <c r="BK3" s="450">
        <v>0.0</v>
      </c>
      <c r="BL3" s="450">
        <v>0.0</v>
      </c>
      <c r="BM3" s="450">
        <v>0.0</v>
      </c>
      <c r="BN3" s="450">
        <v>0.0</v>
      </c>
      <c r="BO3" s="450">
        <v>0.0</v>
      </c>
      <c r="BP3" s="450">
        <v>0.0</v>
      </c>
      <c r="BQ3" s="450">
        <v>0.0</v>
      </c>
      <c r="BR3" s="450">
        <v>0.0</v>
      </c>
      <c r="BS3" s="615" t="str">
        <f t="array" ref="BS3">XLOOKUP(D3,'PL TOTAL XP'!A:A,'PL TOTAL XP'!C:C,"0")</f>
        <v>0</v>
      </c>
      <c r="BT3" s="616"/>
    </row>
    <row r="4" ht="15.75" customHeight="1">
      <c r="A4" s="183" t="s">
        <v>3820</v>
      </c>
      <c r="B4" s="78" t="s">
        <v>3831</v>
      </c>
      <c r="C4" s="621" t="s">
        <v>3832</v>
      </c>
      <c r="D4" s="512">
        <v>4084071.0</v>
      </c>
      <c r="E4" s="512" t="s">
        <v>18</v>
      </c>
      <c r="F4" s="512" t="s">
        <v>29</v>
      </c>
      <c r="G4" s="512" t="s">
        <v>3833</v>
      </c>
      <c r="H4" s="512">
        <f>IFERROR(VLOOKUP(G4,'Cadastro de assessores'!A:B,2,FALSE),"Não Cadastrado")</f>
        <v>12336</v>
      </c>
      <c r="I4" s="512"/>
      <c r="J4" s="51" t="s">
        <v>3823</v>
      </c>
      <c r="K4" s="522" t="s">
        <v>107</v>
      </c>
      <c r="L4" s="610">
        <v>44323.0</v>
      </c>
      <c r="M4" s="610">
        <v>44326.0</v>
      </c>
      <c r="N4" s="522"/>
      <c r="O4" s="566" t="s">
        <v>3834</v>
      </c>
      <c r="P4" s="568">
        <v>0.007</v>
      </c>
      <c r="Q4" s="622"/>
      <c r="R4" s="613"/>
      <c r="S4" s="522" t="str">
        <f t="shared" si="1"/>
        <v>Não Qualificado</v>
      </c>
      <c r="T4" s="522" t="s">
        <v>108</v>
      </c>
      <c r="U4" s="522" t="s">
        <v>2811</v>
      </c>
      <c r="V4" s="522" t="s">
        <v>29</v>
      </c>
      <c r="W4" s="614"/>
      <c r="X4" s="614"/>
      <c r="Y4" s="614"/>
      <c r="Z4" s="614"/>
      <c r="AA4" s="614"/>
      <c r="AB4" s="614"/>
      <c r="AC4" s="614"/>
      <c r="AD4" s="614"/>
      <c r="AE4" s="614"/>
      <c r="AF4" s="614"/>
      <c r="AG4" s="614"/>
      <c r="AH4" s="614"/>
      <c r="AI4" s="614"/>
      <c r="AJ4" s="614"/>
      <c r="AK4" s="450"/>
      <c r="AL4" s="450"/>
      <c r="AM4" s="450"/>
      <c r="AN4" s="450"/>
      <c r="AO4" s="450"/>
      <c r="AP4" s="450"/>
      <c r="AQ4" s="450"/>
      <c r="AR4" s="450">
        <v>203522.45</v>
      </c>
      <c r="AS4" s="450">
        <v>202401.02</v>
      </c>
      <c r="AT4" s="450">
        <v>198315.41</v>
      </c>
      <c r="AU4" s="450">
        <v>197175.62</v>
      </c>
      <c r="AV4" s="450">
        <v>143976.94</v>
      </c>
      <c r="AW4" s="450">
        <v>139370.09</v>
      </c>
      <c r="AX4" s="450">
        <v>139313.39</v>
      </c>
      <c r="AY4" s="450">
        <v>140925.14</v>
      </c>
      <c r="AZ4" s="450">
        <v>144419.1</v>
      </c>
      <c r="BA4" s="450">
        <v>145659.2</v>
      </c>
      <c r="BB4" s="450">
        <v>150095.81</v>
      </c>
      <c r="BC4" s="450">
        <v>703678.73</v>
      </c>
      <c r="BD4" s="450">
        <v>133106.58</v>
      </c>
      <c r="BE4" s="450">
        <v>315.11</v>
      </c>
      <c r="BF4" s="450">
        <v>266.53</v>
      </c>
      <c r="BG4" s="450">
        <v>339.38</v>
      </c>
      <c r="BH4" s="450">
        <v>339.38</v>
      </c>
      <c r="BI4" s="450">
        <v>339.38</v>
      </c>
      <c r="BJ4" s="450">
        <v>339.38</v>
      </c>
      <c r="BK4" s="450">
        <v>339.38</v>
      </c>
      <c r="BL4" s="450">
        <v>543.45</v>
      </c>
      <c r="BM4" s="450">
        <v>543.45</v>
      </c>
      <c r="BN4" s="450">
        <v>543.45</v>
      </c>
      <c r="BO4" s="450">
        <v>543.45</v>
      </c>
      <c r="BP4" s="450">
        <v>543.45</v>
      </c>
      <c r="BQ4" s="450">
        <v>543.45</v>
      </c>
      <c r="BR4" s="450">
        <v>543.45</v>
      </c>
      <c r="BS4" s="615">
        <f t="array" ref="BS4">XLOOKUP(D4,'PL TOTAL XP'!A:A,'PL TOTAL XP'!C:C,"0")</f>
        <v>0</v>
      </c>
      <c r="BT4" s="616"/>
    </row>
    <row r="5" ht="15.75" customHeight="1">
      <c r="A5" s="183" t="s">
        <v>3820</v>
      </c>
      <c r="B5" s="78" t="s">
        <v>133</v>
      </c>
      <c r="C5" s="564" t="s">
        <v>3835</v>
      </c>
      <c r="D5" s="623">
        <v>2602612.0</v>
      </c>
      <c r="E5" s="512" t="s">
        <v>18</v>
      </c>
      <c r="F5" s="512" t="s">
        <v>19</v>
      </c>
      <c r="G5" s="512" t="s">
        <v>20</v>
      </c>
      <c r="H5" s="512">
        <f>IFERROR(VLOOKUP(G5,'Cadastro de assessores'!A:B,2,FALSE),"Não Cadastrado")</f>
        <v>12331</v>
      </c>
      <c r="I5" s="512"/>
      <c r="J5" s="51" t="s">
        <v>3823</v>
      </c>
      <c r="K5" s="522" t="s">
        <v>107</v>
      </c>
      <c r="L5" s="624">
        <v>44642.0</v>
      </c>
      <c r="M5" s="624">
        <v>44642.0</v>
      </c>
      <c r="N5" s="566"/>
      <c r="O5" s="566" t="s">
        <v>3836</v>
      </c>
      <c r="P5" s="612">
        <v>0.012</v>
      </c>
      <c r="Q5" s="622" t="s">
        <v>3837</v>
      </c>
      <c r="R5" s="613"/>
      <c r="S5" s="522" t="str">
        <f t="shared" si="1"/>
        <v>Não Qualificado</v>
      </c>
      <c r="T5" s="522" t="s">
        <v>108</v>
      </c>
      <c r="U5" s="522"/>
      <c r="V5" s="522" t="s">
        <v>19</v>
      </c>
      <c r="W5" s="614"/>
      <c r="X5" s="614"/>
      <c r="Y5" s="614"/>
      <c r="Z5" s="614"/>
      <c r="AA5" s="614"/>
      <c r="AB5" s="614"/>
      <c r="AC5" s="614"/>
      <c r="AD5" s="614"/>
      <c r="AE5" s="614"/>
      <c r="AF5" s="614"/>
      <c r="AG5" s="614"/>
      <c r="AH5" s="614"/>
      <c r="AI5" s="614"/>
      <c r="AJ5" s="614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>
        <v>612277.07</v>
      </c>
      <c r="BD5" s="450">
        <v>809132.82</v>
      </c>
      <c r="BE5" s="450">
        <v>785256.96</v>
      </c>
      <c r="BF5" s="450">
        <v>807670.01</v>
      </c>
      <c r="BG5" s="450">
        <v>819930.3965</v>
      </c>
      <c r="BH5" s="450">
        <v>817886.77</v>
      </c>
      <c r="BI5" s="450">
        <v>837354.72</v>
      </c>
      <c r="BJ5" s="450">
        <v>841120.48</v>
      </c>
      <c r="BK5" s="450">
        <v>834772.66</v>
      </c>
      <c r="BL5" s="450">
        <v>835832.58</v>
      </c>
      <c r="BM5" s="450">
        <v>840857.7</v>
      </c>
      <c r="BN5" s="450">
        <v>26.58</v>
      </c>
      <c r="BO5" s="450">
        <v>26.58</v>
      </c>
      <c r="BP5" s="450">
        <v>26.58</v>
      </c>
      <c r="BQ5" s="450">
        <v>26.58</v>
      </c>
      <c r="BR5" s="450">
        <v>26.58</v>
      </c>
      <c r="BS5" s="615">
        <f t="array" ref="BS5">XLOOKUP(D5,'PL TOTAL XP'!A:A,'PL TOTAL XP'!C:C,"0")</f>
        <v>0</v>
      </c>
      <c r="BT5" s="616"/>
    </row>
    <row r="6" ht="15.75" customHeight="1">
      <c r="A6" s="183" t="s">
        <v>3820</v>
      </c>
      <c r="B6" s="78" t="s">
        <v>3838</v>
      </c>
      <c r="C6" s="625" t="s">
        <v>3839</v>
      </c>
      <c r="D6" s="626">
        <v>4442405.0</v>
      </c>
      <c r="E6" s="512" t="s">
        <v>18</v>
      </c>
      <c r="F6" s="512" t="s">
        <v>19</v>
      </c>
      <c r="G6" s="512" t="s">
        <v>256</v>
      </c>
      <c r="H6" s="512" t="str">
        <f>IFERROR(VLOOKUP(G6,'Cadastro de assessores'!A:B,2,FALSE),"Não Cadastrado")</f>
        <v>18009</v>
      </c>
      <c r="I6" s="512"/>
      <c r="J6" s="51" t="s">
        <v>3823</v>
      </c>
      <c r="K6" s="522" t="s">
        <v>107</v>
      </c>
      <c r="L6" s="610">
        <v>44084.0</v>
      </c>
      <c r="M6" s="610">
        <v>44084.0</v>
      </c>
      <c r="N6" s="522"/>
      <c r="O6" s="522" t="s">
        <v>3840</v>
      </c>
      <c r="P6" s="612">
        <v>0.025</v>
      </c>
      <c r="Q6" s="622" t="s">
        <v>3841</v>
      </c>
      <c r="R6" s="613"/>
      <c r="S6" s="522" t="str">
        <f t="shared" si="1"/>
        <v>Não Qualificado</v>
      </c>
      <c r="T6" s="522" t="s">
        <v>108</v>
      </c>
      <c r="U6" s="522" t="s">
        <v>2602</v>
      </c>
      <c r="V6" s="522" t="s">
        <v>29</v>
      </c>
      <c r="W6" s="614" t="s">
        <v>3830</v>
      </c>
      <c r="X6" s="614" t="s">
        <v>3830</v>
      </c>
      <c r="Y6" s="614" t="s">
        <v>3830</v>
      </c>
      <c r="Z6" s="614" t="s">
        <v>3830</v>
      </c>
      <c r="AA6" s="614" t="s">
        <v>3830</v>
      </c>
      <c r="AB6" s="614" t="s">
        <v>3830</v>
      </c>
      <c r="AC6" s="614" t="s">
        <v>3830</v>
      </c>
      <c r="AD6" s="614" t="s">
        <v>3830</v>
      </c>
      <c r="AE6" s="614" t="s">
        <v>3830</v>
      </c>
      <c r="AF6" s="614" t="s">
        <v>3830</v>
      </c>
      <c r="AG6" s="614" t="s">
        <v>3830</v>
      </c>
      <c r="AH6" s="614" t="s">
        <v>3842</v>
      </c>
      <c r="AI6" s="614" t="s">
        <v>3843</v>
      </c>
      <c r="AJ6" s="614" t="s">
        <v>3844</v>
      </c>
      <c r="AK6" s="450">
        <v>344817.66</v>
      </c>
      <c r="AL6" s="450">
        <v>330077.48</v>
      </c>
      <c r="AM6" s="450">
        <v>306962.09</v>
      </c>
      <c r="AN6" s="450">
        <v>304921.19</v>
      </c>
      <c r="AO6" s="450">
        <v>330112.72</v>
      </c>
      <c r="AP6" s="450">
        <v>334482.83</v>
      </c>
      <c r="AQ6" s="450">
        <v>331002.11</v>
      </c>
      <c r="AR6" s="450">
        <v>605334.2</v>
      </c>
      <c r="AS6" s="450">
        <v>738371.21</v>
      </c>
      <c r="AT6" s="450">
        <v>698930.16</v>
      </c>
      <c r="AU6" s="450">
        <v>682628.01</v>
      </c>
      <c r="AV6" s="450">
        <v>642724.51</v>
      </c>
      <c r="AW6" s="450">
        <v>594862.12</v>
      </c>
      <c r="AX6" s="450">
        <v>588418.12</v>
      </c>
      <c r="AY6" s="450">
        <v>594700.22</v>
      </c>
      <c r="AZ6" s="450">
        <v>637599.92</v>
      </c>
      <c r="BA6" s="450">
        <v>644225.03</v>
      </c>
      <c r="BB6" s="450">
        <v>616369.29</v>
      </c>
      <c r="BC6" s="450">
        <v>95442.29</v>
      </c>
      <c r="BD6" s="450">
        <v>7052.6</v>
      </c>
      <c r="BE6" s="450">
        <v>7174.74</v>
      </c>
      <c r="BF6" s="450">
        <v>67.18</v>
      </c>
      <c r="BG6" s="450">
        <v>991.14</v>
      </c>
      <c r="BH6" s="450">
        <v>991.14</v>
      </c>
      <c r="BI6" s="450">
        <v>991.14</v>
      </c>
      <c r="BJ6" s="450">
        <v>991.14</v>
      </c>
      <c r="BK6" s="450">
        <v>1.14</v>
      </c>
      <c r="BL6" s="450">
        <v>524.85</v>
      </c>
      <c r="BM6" s="450">
        <v>39.44</v>
      </c>
      <c r="BN6" s="450">
        <v>40.17</v>
      </c>
      <c r="BO6" s="450">
        <v>41.08</v>
      </c>
      <c r="BP6" s="450">
        <v>42.03</v>
      </c>
      <c r="BQ6" s="450">
        <v>45.95</v>
      </c>
      <c r="BR6" s="450">
        <v>44.27</v>
      </c>
      <c r="BS6" s="615">
        <f t="array" ref="BS6">XLOOKUP(D6,'PL TOTAL XP'!A:A,'PL TOTAL XP'!C:C,"0")</f>
        <v>0.14</v>
      </c>
      <c r="BT6" s="616"/>
    </row>
    <row r="7" ht="15.75" customHeight="1">
      <c r="A7" s="183" t="s">
        <v>3820</v>
      </c>
      <c r="B7" s="78" t="s">
        <v>3729</v>
      </c>
      <c r="C7" s="621" t="s">
        <v>3728</v>
      </c>
      <c r="D7" s="512">
        <v>4461647.0</v>
      </c>
      <c r="E7" s="512" t="s">
        <v>18</v>
      </c>
      <c r="F7" s="512" t="s">
        <v>29</v>
      </c>
      <c r="G7" s="512" t="s">
        <v>60</v>
      </c>
      <c r="H7" s="512">
        <f>IFERROR(VLOOKUP(G7,'Cadastro de assessores'!A:B,2,FALSE),"Não Cadastrado")</f>
        <v>12332</v>
      </c>
      <c r="I7" s="512"/>
      <c r="J7" s="51" t="s">
        <v>3823</v>
      </c>
      <c r="K7" s="522" t="s">
        <v>107</v>
      </c>
      <c r="L7" s="610">
        <v>44090.0</v>
      </c>
      <c r="M7" s="610">
        <v>44092.0</v>
      </c>
      <c r="N7" s="522"/>
      <c r="O7" s="522" t="s">
        <v>3836</v>
      </c>
      <c r="P7" s="612">
        <v>0.012</v>
      </c>
      <c r="Q7" s="622" t="s">
        <v>3845</v>
      </c>
      <c r="R7" s="613"/>
      <c r="S7" s="522" t="str">
        <f t="shared" si="1"/>
        <v/>
      </c>
      <c r="T7" s="522" t="s">
        <v>108</v>
      </c>
      <c r="U7" s="522" t="s">
        <v>2591</v>
      </c>
      <c r="V7" s="522" t="s">
        <v>29</v>
      </c>
      <c r="W7" s="614" t="s">
        <v>3830</v>
      </c>
      <c r="X7" s="614" t="s">
        <v>3830</v>
      </c>
      <c r="Y7" s="614" t="s">
        <v>3830</v>
      </c>
      <c r="Z7" s="614" t="s">
        <v>3830</v>
      </c>
      <c r="AA7" s="614" t="s">
        <v>3830</v>
      </c>
      <c r="AB7" s="614" t="s">
        <v>3830</v>
      </c>
      <c r="AC7" s="614" t="s">
        <v>3830</v>
      </c>
      <c r="AD7" s="614" t="s">
        <v>3830</v>
      </c>
      <c r="AE7" s="614" t="s">
        <v>3830</v>
      </c>
      <c r="AF7" s="614" t="s">
        <v>3830</v>
      </c>
      <c r="AG7" s="614" t="s">
        <v>3830</v>
      </c>
      <c r="AH7" s="614" t="s">
        <v>3846</v>
      </c>
      <c r="AI7" s="614" t="s">
        <v>3847</v>
      </c>
      <c r="AJ7" s="614" t="s">
        <v>3848</v>
      </c>
      <c r="AK7" s="450">
        <v>363397.84</v>
      </c>
      <c r="AL7" s="450">
        <v>359498.99</v>
      </c>
      <c r="AM7" s="450">
        <v>352376.48</v>
      </c>
      <c r="AN7" s="450">
        <v>350686.02</v>
      </c>
      <c r="AO7" s="450">
        <v>355491.38</v>
      </c>
      <c r="AP7" s="450">
        <v>356674.15</v>
      </c>
      <c r="AQ7" s="450">
        <v>356027.31</v>
      </c>
      <c r="AR7" s="450">
        <v>360268.09</v>
      </c>
      <c r="AS7" s="450">
        <v>359567.88</v>
      </c>
      <c r="AT7" s="450">
        <v>356696.73</v>
      </c>
      <c r="AU7" s="450">
        <v>356464.05</v>
      </c>
      <c r="AV7" s="450">
        <v>403728.88</v>
      </c>
      <c r="AW7" s="450">
        <v>392764.94</v>
      </c>
      <c r="AX7" s="450">
        <v>396765.66</v>
      </c>
      <c r="AY7" s="450">
        <v>402295.61</v>
      </c>
      <c r="AZ7" s="450">
        <v>407270.58</v>
      </c>
      <c r="BA7" s="450">
        <v>408882.88</v>
      </c>
      <c r="BB7" s="450">
        <v>420273.26</v>
      </c>
      <c r="BC7" s="450"/>
      <c r="BD7" s="450">
        <v>427985.26</v>
      </c>
      <c r="BE7" s="450">
        <v>429182.03</v>
      </c>
      <c r="BF7" s="450">
        <v>434748.64</v>
      </c>
      <c r="BG7" s="450">
        <v>436369.8711</v>
      </c>
      <c r="BH7" s="450">
        <v>437723.9</v>
      </c>
      <c r="BI7" s="450">
        <v>445414.97</v>
      </c>
      <c r="BJ7" s="450">
        <v>446016.38</v>
      </c>
      <c r="BK7" s="450">
        <v>449211.57</v>
      </c>
      <c r="BL7" s="450">
        <v>453569.69</v>
      </c>
      <c r="BM7" s="450">
        <v>455013.65</v>
      </c>
      <c r="BN7" s="450">
        <v>124724.97</v>
      </c>
      <c r="BO7" s="450">
        <v>832.0</v>
      </c>
      <c r="BP7" s="450">
        <v>0.0</v>
      </c>
      <c r="BQ7" s="450">
        <v>0.0</v>
      </c>
      <c r="BR7" s="450">
        <v>0.0</v>
      </c>
      <c r="BS7" s="615">
        <f t="array" ref="BS7">XLOOKUP(D7,'PL TOTAL XP'!A:A,'PL TOTAL XP'!C:C,"0")</f>
        <v>0.01</v>
      </c>
      <c r="BT7" s="616"/>
    </row>
    <row r="8" ht="15.75" customHeight="1">
      <c r="A8" s="183" t="s">
        <v>3820</v>
      </c>
      <c r="B8" s="78" t="s">
        <v>3729</v>
      </c>
      <c r="C8" s="621" t="s">
        <v>3728</v>
      </c>
      <c r="D8" s="512">
        <v>3345620.0</v>
      </c>
      <c r="E8" s="512" t="s">
        <v>18</v>
      </c>
      <c r="F8" s="512" t="s">
        <v>29</v>
      </c>
      <c r="G8" s="512" t="s">
        <v>60</v>
      </c>
      <c r="H8" s="512">
        <f>IFERROR(VLOOKUP(G8,'Cadastro de assessores'!A:B,2,FALSE),"Não Cadastrado")</f>
        <v>12332</v>
      </c>
      <c r="I8" s="512"/>
      <c r="J8" s="46" t="s">
        <v>107</v>
      </c>
      <c r="K8" s="522"/>
      <c r="L8" s="610"/>
      <c r="M8" s="610">
        <v>44960.0</v>
      </c>
      <c r="N8" s="522"/>
      <c r="O8" s="522" t="s">
        <v>3834</v>
      </c>
      <c r="P8" s="612">
        <v>0.01</v>
      </c>
      <c r="Q8" s="622"/>
      <c r="R8" s="613"/>
      <c r="S8" s="522"/>
      <c r="T8" s="522"/>
      <c r="U8" s="522"/>
      <c r="V8" s="522" t="s">
        <v>504</v>
      </c>
      <c r="W8" s="614"/>
      <c r="X8" s="614"/>
      <c r="Y8" s="614"/>
      <c r="Z8" s="614"/>
      <c r="AA8" s="614"/>
      <c r="AB8" s="614"/>
      <c r="AC8" s="614"/>
      <c r="AD8" s="614"/>
      <c r="AE8" s="614"/>
      <c r="AF8" s="614"/>
      <c r="AG8" s="614"/>
      <c r="AH8" s="614"/>
      <c r="AI8" s="614"/>
      <c r="AJ8" s="614"/>
      <c r="AK8" s="4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  <c r="BD8" s="450"/>
      <c r="BE8" s="450"/>
      <c r="BF8" s="450"/>
      <c r="BG8" s="450"/>
      <c r="BH8" s="450"/>
      <c r="BI8" s="450"/>
      <c r="BJ8" s="450">
        <v>0.0</v>
      </c>
      <c r="BK8" s="450">
        <v>1737168.97</v>
      </c>
      <c r="BL8" s="450">
        <v>1760272.19</v>
      </c>
      <c r="BM8" s="450">
        <v>1769009.75</v>
      </c>
      <c r="BN8" s="450">
        <v>774232.52</v>
      </c>
      <c r="BO8" s="450">
        <v>775749.75</v>
      </c>
      <c r="BP8" s="450">
        <v>470109.41</v>
      </c>
      <c r="BQ8" s="450">
        <v>473139.71</v>
      </c>
      <c r="BR8" s="450">
        <v>446787.16</v>
      </c>
      <c r="BS8" s="615">
        <f t="array" ref="BS8">XLOOKUP(D8,'PL TOTAL XP'!A:A,'PL TOTAL XP'!C:C,"0")</f>
        <v>217877.09</v>
      </c>
      <c r="BT8" s="616"/>
    </row>
    <row r="9" ht="15.75" customHeight="1">
      <c r="A9" s="183" t="s">
        <v>3820</v>
      </c>
      <c r="B9" s="78" t="s">
        <v>3849</v>
      </c>
      <c r="C9" s="617" t="s">
        <v>3850</v>
      </c>
      <c r="D9" s="512">
        <v>3679808.0</v>
      </c>
      <c r="E9" s="512" t="s">
        <v>18</v>
      </c>
      <c r="F9" s="512" t="s">
        <v>19</v>
      </c>
      <c r="G9" s="512" t="s">
        <v>1805</v>
      </c>
      <c r="H9" s="512">
        <f>IFERROR(VLOOKUP(G9,'Cadastro de assessores'!A:B,2,FALSE),"Não Cadastrado")</f>
        <v>12350</v>
      </c>
      <c r="I9" s="512" t="s">
        <v>3851</v>
      </c>
      <c r="J9" s="51" t="s">
        <v>3823</v>
      </c>
      <c r="K9" s="522"/>
      <c r="L9" s="610"/>
      <c r="M9" s="610"/>
      <c r="N9" s="522"/>
      <c r="O9" s="522" t="s">
        <v>3828</v>
      </c>
      <c r="P9" s="612">
        <v>0.015</v>
      </c>
      <c r="Q9" s="622"/>
      <c r="R9" s="613"/>
      <c r="S9" s="522"/>
      <c r="T9" s="522"/>
      <c r="U9" s="522"/>
      <c r="V9" s="522" t="s">
        <v>19</v>
      </c>
      <c r="W9" s="614"/>
      <c r="X9" s="614"/>
      <c r="Y9" s="614"/>
      <c r="Z9" s="614"/>
      <c r="AA9" s="614"/>
      <c r="AB9" s="614"/>
      <c r="AC9" s="614"/>
      <c r="AD9" s="614"/>
      <c r="AE9" s="614"/>
      <c r="AF9" s="614"/>
      <c r="AG9" s="614"/>
      <c r="AH9" s="614"/>
      <c r="AI9" s="614"/>
      <c r="AJ9" s="614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>
        <v>0.0</v>
      </c>
      <c r="BI9" s="450">
        <v>0.0</v>
      </c>
      <c r="BJ9" s="450">
        <v>0.0</v>
      </c>
      <c r="BK9" s="450">
        <v>0.0</v>
      </c>
      <c r="BL9" s="450">
        <v>0.0</v>
      </c>
      <c r="BM9" s="450">
        <v>0.0</v>
      </c>
      <c r="BN9" s="450">
        <v>0.0</v>
      </c>
      <c r="BO9" s="450">
        <v>0.0</v>
      </c>
      <c r="BP9" s="450">
        <v>0.0</v>
      </c>
      <c r="BQ9" s="450">
        <v>0.0</v>
      </c>
      <c r="BR9" s="450">
        <v>0.0</v>
      </c>
      <c r="BS9" s="615">
        <f t="array" ref="BS9">XLOOKUP(D9,'PL TOTAL XP'!A:A,'PL TOTAL XP'!C:C,"0")</f>
        <v>0</v>
      </c>
      <c r="BT9" s="616"/>
    </row>
    <row r="10" ht="15.75" customHeight="1">
      <c r="A10" s="183" t="s">
        <v>3820</v>
      </c>
      <c r="B10" s="78" t="s">
        <v>143</v>
      </c>
      <c r="C10" s="617" t="s">
        <v>141</v>
      </c>
      <c r="D10" s="512">
        <v>2204868.0</v>
      </c>
      <c r="E10" s="512" t="s">
        <v>18</v>
      </c>
      <c r="F10" s="512" t="s">
        <v>29</v>
      </c>
      <c r="G10" s="512" t="s">
        <v>2213</v>
      </c>
      <c r="H10" s="512" t="str">
        <f>IFERROR(VLOOKUP(G10,'Cadastro de assessores'!A:B,2,FALSE),"Não Cadastrado")</f>
        <v>18256</v>
      </c>
      <c r="I10" s="512"/>
      <c r="J10" s="51" t="s">
        <v>3823</v>
      </c>
      <c r="K10" s="522" t="s">
        <v>107</v>
      </c>
      <c r="L10" s="610">
        <v>44252.0</v>
      </c>
      <c r="M10" s="610">
        <v>44252.0</v>
      </c>
      <c r="N10" s="522"/>
      <c r="O10" s="522" t="s">
        <v>3828</v>
      </c>
      <c r="P10" s="612">
        <v>0.015</v>
      </c>
      <c r="Q10" s="622" t="s">
        <v>3852</v>
      </c>
      <c r="R10" s="613"/>
      <c r="S10" s="522" t="str">
        <f t="shared" ref="S10:S12" si="2">IF(BC10&lt;=0,"",IF(BC10&lt;=1000000,"Não Qualificado",IF(AND(BC10&gt;1000000,BC10&lt;=10000000),"Qualificado","Profissional")))</f>
        <v>Não Qualificado</v>
      </c>
      <c r="T10" s="522" t="s">
        <v>108</v>
      </c>
      <c r="U10" s="522" t="s">
        <v>2565</v>
      </c>
      <c r="V10" s="522" t="s">
        <v>29</v>
      </c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  <c r="AH10" s="614"/>
      <c r="AI10" s="614"/>
      <c r="AJ10" s="614"/>
      <c r="AK10" s="450"/>
      <c r="AL10" s="450"/>
      <c r="AM10" s="450">
        <v>235876.29</v>
      </c>
      <c r="AN10" s="450">
        <v>235783.9</v>
      </c>
      <c r="AO10" s="450">
        <v>250539.16</v>
      </c>
      <c r="AP10" s="450">
        <v>252073.3</v>
      </c>
      <c r="AQ10" s="450">
        <v>250679.05</v>
      </c>
      <c r="AR10" s="450">
        <v>257713.82</v>
      </c>
      <c r="AS10" s="450">
        <v>255353.62</v>
      </c>
      <c r="AT10" s="450">
        <v>249407.39</v>
      </c>
      <c r="AU10" s="450">
        <v>247206.51</v>
      </c>
      <c r="AV10" s="450">
        <v>241313.65</v>
      </c>
      <c r="AW10" s="450">
        <v>233732.72</v>
      </c>
      <c r="AX10" s="450">
        <v>233329.88</v>
      </c>
      <c r="AY10" s="450">
        <v>235669.41</v>
      </c>
      <c r="AZ10" s="450">
        <v>244081.21</v>
      </c>
      <c r="BA10" s="450">
        <v>246240.27</v>
      </c>
      <c r="BB10" s="450">
        <v>255112.93</v>
      </c>
      <c r="BC10" s="450">
        <v>846942.76</v>
      </c>
      <c r="BD10" s="450">
        <v>251995.16</v>
      </c>
      <c r="BE10" s="450">
        <v>250785.8</v>
      </c>
      <c r="BF10" s="450">
        <v>256570.19</v>
      </c>
      <c r="BG10" s="450">
        <v>259308.6609</v>
      </c>
      <c r="BH10" s="450">
        <v>466391.38</v>
      </c>
      <c r="BI10" s="450">
        <v>503023.88</v>
      </c>
      <c r="BJ10" s="450">
        <v>498973.71</v>
      </c>
      <c r="BK10" s="450">
        <v>498101.01</v>
      </c>
      <c r="BL10" s="450">
        <v>506337.29</v>
      </c>
      <c r="BM10" s="450">
        <v>311708.79</v>
      </c>
      <c r="BN10" s="450">
        <v>275.96</v>
      </c>
      <c r="BO10" s="450">
        <v>0.0</v>
      </c>
      <c r="BP10" s="450">
        <v>0.0</v>
      </c>
      <c r="BQ10" s="450">
        <v>0.0</v>
      </c>
      <c r="BR10" s="450">
        <v>0.0</v>
      </c>
      <c r="BS10" s="615">
        <f t="array" ref="BS10">XLOOKUP(D10,'PL TOTAL XP'!A:A,'PL TOTAL XP'!C:C,"0")</f>
        <v>0</v>
      </c>
      <c r="BT10" s="616"/>
    </row>
    <row r="11" ht="15.75" customHeight="1">
      <c r="A11" s="183" t="s">
        <v>3820</v>
      </c>
      <c r="B11" s="78" t="s">
        <v>3853</v>
      </c>
      <c r="C11" s="564" t="s">
        <v>3854</v>
      </c>
      <c r="D11" s="566">
        <v>2697792.0</v>
      </c>
      <c r="E11" s="522" t="s">
        <v>18</v>
      </c>
      <c r="F11" s="522" t="s">
        <v>29</v>
      </c>
      <c r="G11" s="522" t="s">
        <v>3708</v>
      </c>
      <c r="H11" s="522" t="str">
        <f>IFERROR(VLOOKUP(G11,'Cadastro de assessores'!A:B,2,FALSE),"Não Cadastrado")</f>
        <v>18266</v>
      </c>
      <c r="I11" s="522"/>
      <c r="J11" s="51" t="s">
        <v>186</v>
      </c>
      <c r="K11" s="522" t="s">
        <v>2563</v>
      </c>
      <c r="L11" s="619">
        <v>44302.0</v>
      </c>
      <c r="M11" s="619">
        <v>44302.0</v>
      </c>
      <c r="N11" s="619">
        <v>44473.0</v>
      </c>
      <c r="O11" s="522" t="s">
        <v>3840</v>
      </c>
      <c r="P11" s="612">
        <v>0.025</v>
      </c>
      <c r="Q11" s="620" t="s">
        <v>3855</v>
      </c>
      <c r="R11" s="613"/>
      <c r="S11" s="522" t="str">
        <f t="shared" si="2"/>
        <v/>
      </c>
      <c r="T11" s="522" t="s">
        <v>108</v>
      </c>
      <c r="U11" s="522" t="s">
        <v>3856</v>
      </c>
      <c r="V11" s="522" t="s">
        <v>3857</v>
      </c>
      <c r="W11" s="614"/>
      <c r="X11" s="614"/>
      <c r="Y11" s="614"/>
      <c r="Z11" s="614"/>
      <c r="AA11" s="614"/>
      <c r="AB11" s="614"/>
      <c r="AC11" s="614"/>
      <c r="AD11" s="614"/>
      <c r="AE11" s="614"/>
      <c r="AF11" s="614"/>
      <c r="AG11" s="614"/>
      <c r="AH11" s="614"/>
      <c r="AI11" s="614"/>
      <c r="AJ11" s="614"/>
      <c r="AK11" s="450"/>
      <c r="AL11" s="450"/>
      <c r="AM11" s="450"/>
      <c r="AN11" s="450"/>
      <c r="AO11" s="450"/>
      <c r="AP11" s="450">
        <v>109781.09</v>
      </c>
      <c r="AQ11" s="450">
        <v>108552.3</v>
      </c>
      <c r="AR11" s="450">
        <v>114860.59</v>
      </c>
      <c r="AS11" s="450">
        <v>112212.72</v>
      </c>
      <c r="AT11" s="450">
        <v>106275.8</v>
      </c>
      <c r="AU11" s="450">
        <v>103775.39</v>
      </c>
      <c r="AV11" s="450">
        <v>97752.81</v>
      </c>
      <c r="AW11" s="450"/>
      <c r="AX11" s="450"/>
      <c r="AY11" s="450"/>
      <c r="AZ11" s="450"/>
      <c r="BA11" s="450">
        <v>0.0</v>
      </c>
      <c r="BB11" s="450">
        <v>0.0</v>
      </c>
      <c r="BC11" s="450"/>
      <c r="BD11" s="450" t="s">
        <v>2566</v>
      </c>
      <c r="BE11" s="450" t="s">
        <v>2566</v>
      </c>
      <c r="BF11" s="450">
        <v>0.0</v>
      </c>
      <c r="BG11" s="450">
        <v>0.0</v>
      </c>
      <c r="BH11" s="450">
        <v>0.0</v>
      </c>
      <c r="BI11" s="450">
        <v>0.0</v>
      </c>
      <c r="BJ11" s="450">
        <v>0.0</v>
      </c>
      <c r="BK11" s="450">
        <v>0.0</v>
      </c>
      <c r="BL11" s="450">
        <v>0.0</v>
      </c>
      <c r="BM11" s="450">
        <v>0.0</v>
      </c>
      <c r="BN11" s="450">
        <v>0.0</v>
      </c>
      <c r="BO11" s="450">
        <v>0.0</v>
      </c>
      <c r="BP11" s="450">
        <v>0.0</v>
      </c>
      <c r="BQ11" s="450">
        <v>0.0</v>
      </c>
      <c r="BR11" s="450">
        <v>0.0</v>
      </c>
      <c r="BS11" s="615" t="str">
        <f t="array" ref="BS11">XLOOKUP(D11,'PL TOTAL XP'!A:A,'PL TOTAL XP'!C:C,"0")</f>
        <v>0</v>
      </c>
      <c r="BT11" s="616"/>
    </row>
    <row r="12" ht="15.75" customHeight="1">
      <c r="A12" s="183" t="s">
        <v>3820</v>
      </c>
      <c r="B12" s="78" t="s">
        <v>3858</v>
      </c>
      <c r="C12" s="617" t="s">
        <v>3859</v>
      </c>
      <c r="D12" s="522">
        <v>4447856.0</v>
      </c>
      <c r="E12" s="522" t="s">
        <v>105</v>
      </c>
      <c r="F12" s="522" t="s">
        <v>29</v>
      </c>
      <c r="G12" s="522" t="s">
        <v>3660</v>
      </c>
      <c r="H12" s="522" t="str">
        <f>IFERROR(VLOOKUP(G12,'Cadastro de assessores'!A:B,2,FALSE),"Não Cadastrado")</f>
        <v>14574</v>
      </c>
      <c r="I12" s="522"/>
      <c r="J12" s="51" t="s">
        <v>186</v>
      </c>
      <c r="K12" s="522" t="s">
        <v>2563</v>
      </c>
      <c r="L12" s="619">
        <v>44085.0</v>
      </c>
      <c r="M12" s="619">
        <v>44085.0</v>
      </c>
      <c r="N12" s="619">
        <v>44396.0</v>
      </c>
      <c r="O12" s="522" t="s">
        <v>3836</v>
      </c>
      <c r="P12" s="612">
        <v>0.012</v>
      </c>
      <c r="Q12" s="620" t="s">
        <v>3860</v>
      </c>
      <c r="R12" s="613"/>
      <c r="S12" s="522" t="str">
        <f t="shared" si="2"/>
        <v/>
      </c>
      <c r="T12" s="522" t="s">
        <v>108</v>
      </c>
      <c r="U12" s="522" t="s">
        <v>2614</v>
      </c>
      <c r="V12" s="522" t="s">
        <v>29</v>
      </c>
      <c r="W12" s="614" t="s">
        <v>3830</v>
      </c>
      <c r="X12" s="614" t="s">
        <v>3830</v>
      </c>
      <c r="Y12" s="614" t="s">
        <v>3830</v>
      </c>
      <c r="Z12" s="614" t="s">
        <v>3830</v>
      </c>
      <c r="AA12" s="614" t="s">
        <v>3830</v>
      </c>
      <c r="AB12" s="614" t="s">
        <v>3830</v>
      </c>
      <c r="AC12" s="614" t="s">
        <v>3830</v>
      </c>
      <c r="AD12" s="614" t="s">
        <v>3830</v>
      </c>
      <c r="AE12" s="614" t="s">
        <v>3830</v>
      </c>
      <c r="AF12" s="614" t="s">
        <v>3830</v>
      </c>
      <c r="AG12" s="614" t="s">
        <v>3830</v>
      </c>
      <c r="AH12" s="614" t="s">
        <v>3861</v>
      </c>
      <c r="AI12" s="614" t="s">
        <v>3862</v>
      </c>
      <c r="AJ12" s="614" t="s">
        <v>3863</v>
      </c>
      <c r="AK12" s="450">
        <v>102877.4</v>
      </c>
      <c r="AL12" s="450">
        <v>102062.38</v>
      </c>
      <c r="AM12" s="450">
        <v>100464.93</v>
      </c>
      <c r="AN12" s="450">
        <v>99977.53</v>
      </c>
      <c r="AO12" s="450">
        <v>101115.81</v>
      </c>
      <c r="AP12" s="450">
        <v>101403.53</v>
      </c>
      <c r="AQ12" s="450">
        <v>101179.05</v>
      </c>
      <c r="AR12" s="450">
        <v>102507.44</v>
      </c>
      <c r="AS12" s="450">
        <v>102285.21</v>
      </c>
      <c r="AT12" s="450"/>
      <c r="AU12" s="450"/>
      <c r="AV12" s="450"/>
      <c r="AW12" s="450"/>
      <c r="AX12" s="450"/>
      <c r="AY12" s="450"/>
      <c r="AZ12" s="450"/>
      <c r="BA12" s="450">
        <v>0.0</v>
      </c>
      <c r="BB12" s="450">
        <v>0.0</v>
      </c>
      <c r="BC12" s="450"/>
      <c r="BD12" s="450" t="s">
        <v>2566</v>
      </c>
      <c r="BE12" s="450" t="s">
        <v>2566</v>
      </c>
      <c r="BF12" s="450">
        <v>0.0</v>
      </c>
      <c r="BG12" s="450">
        <v>0.0</v>
      </c>
      <c r="BH12" s="450">
        <v>0.0</v>
      </c>
      <c r="BI12" s="450">
        <v>0.0</v>
      </c>
      <c r="BJ12" s="450">
        <v>0.0</v>
      </c>
      <c r="BK12" s="450">
        <v>0.0</v>
      </c>
      <c r="BL12" s="450">
        <v>0.0</v>
      </c>
      <c r="BM12" s="450">
        <v>0.0</v>
      </c>
      <c r="BN12" s="450">
        <v>0.0</v>
      </c>
      <c r="BO12" s="450">
        <v>0.0</v>
      </c>
      <c r="BP12" s="450">
        <v>0.0</v>
      </c>
      <c r="BQ12" s="450">
        <v>0.0</v>
      </c>
      <c r="BR12" s="450">
        <v>0.0</v>
      </c>
      <c r="BS12" s="615" t="str">
        <f t="array" ref="BS12">XLOOKUP(D12,'PL TOTAL XP'!A:A,'PL TOTAL XP'!C:C,"0")</f>
        <v>0</v>
      </c>
      <c r="BT12" s="616"/>
    </row>
    <row r="13" ht="15.75" customHeight="1">
      <c r="A13" s="183" t="s">
        <v>3820</v>
      </c>
      <c r="B13" s="78" t="s">
        <v>3864</v>
      </c>
      <c r="C13" s="564" t="s">
        <v>3865</v>
      </c>
      <c r="D13" s="623">
        <v>8227775.0</v>
      </c>
      <c r="E13" s="512" t="s">
        <v>18</v>
      </c>
      <c r="F13" s="512" t="s">
        <v>29</v>
      </c>
      <c r="G13" s="512" t="s">
        <v>168</v>
      </c>
      <c r="H13" s="512">
        <f>IFERROR(VLOOKUP(G13,'Cadastro de assessores'!A:B,2,FALSE),"Não Cadastrado")</f>
        <v>12344</v>
      </c>
      <c r="I13" s="512"/>
      <c r="J13" s="51" t="s">
        <v>3823</v>
      </c>
      <c r="K13" s="522" t="s">
        <v>107</v>
      </c>
      <c r="L13" s="624">
        <v>44652.0</v>
      </c>
      <c r="M13" s="624">
        <v>44652.0</v>
      </c>
      <c r="N13" s="566"/>
      <c r="O13" s="566" t="s">
        <v>3834</v>
      </c>
      <c r="P13" s="568">
        <v>0.007</v>
      </c>
      <c r="Q13" s="622"/>
      <c r="R13" s="613"/>
      <c r="S13" s="522"/>
      <c r="T13" s="522" t="s">
        <v>108</v>
      </c>
      <c r="U13" s="522" t="s">
        <v>2602</v>
      </c>
      <c r="V13" s="522" t="s">
        <v>29</v>
      </c>
      <c r="W13" s="468"/>
      <c r="X13" s="468"/>
      <c r="Y13" s="468"/>
      <c r="Z13" s="46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50"/>
      <c r="AL13" s="450"/>
      <c r="AM13" s="450"/>
      <c r="AN13" s="450"/>
      <c r="AO13" s="450"/>
      <c r="AP13" s="450"/>
      <c r="AQ13" s="468"/>
      <c r="AR13" s="449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136876.82</v>
      </c>
      <c r="BE13" s="450">
        <v>137953.28</v>
      </c>
      <c r="BF13" s="450">
        <v>102958.08</v>
      </c>
      <c r="BG13" s="450">
        <v>104407.2682</v>
      </c>
      <c r="BH13" s="450">
        <v>44714.22</v>
      </c>
      <c r="BI13" s="450">
        <v>45094.14</v>
      </c>
      <c r="BJ13" s="450">
        <v>45513.52</v>
      </c>
      <c r="BK13" s="450">
        <v>38793.25</v>
      </c>
      <c r="BL13" s="450">
        <v>0.76</v>
      </c>
      <c r="BM13" s="450">
        <v>0.76</v>
      </c>
      <c r="BN13" s="450">
        <v>0.76</v>
      </c>
      <c r="BO13" s="450">
        <v>0.76</v>
      </c>
      <c r="BP13" s="450">
        <v>0.76</v>
      </c>
      <c r="BQ13" s="450">
        <v>0.76</v>
      </c>
      <c r="BR13" s="450">
        <v>0.76</v>
      </c>
      <c r="BS13" s="615">
        <f t="array" ref="BS13">XLOOKUP(D13,'PL TOTAL XP'!A:A,'PL TOTAL XP'!C:C,"0")</f>
        <v>0</v>
      </c>
      <c r="BT13" s="616"/>
    </row>
    <row r="14" ht="15.75" customHeight="1">
      <c r="A14" s="183" t="s">
        <v>3820</v>
      </c>
      <c r="B14" s="78" t="s">
        <v>3866</v>
      </c>
      <c r="C14" s="564" t="s">
        <v>3867</v>
      </c>
      <c r="D14" s="623">
        <v>2406947.0</v>
      </c>
      <c r="E14" s="609" t="s">
        <v>18</v>
      </c>
      <c r="F14" s="609" t="s">
        <v>19</v>
      </c>
      <c r="G14" s="512" t="s">
        <v>20</v>
      </c>
      <c r="H14" s="512">
        <f>IFERROR(VLOOKUP(G14,'Cadastro de assessores'!A:B,2,FALSE),"Não Cadastrado")</f>
        <v>12331</v>
      </c>
      <c r="I14" s="512" t="s">
        <v>3851</v>
      </c>
      <c r="J14" s="51" t="s">
        <v>3823</v>
      </c>
      <c r="K14" s="522" t="s">
        <v>107</v>
      </c>
      <c r="L14" s="624">
        <v>44453.0</v>
      </c>
      <c r="M14" s="624">
        <v>44609.0</v>
      </c>
      <c r="N14" s="627"/>
      <c r="O14" s="627" t="s">
        <v>3836</v>
      </c>
      <c r="P14" s="612">
        <v>0.012</v>
      </c>
      <c r="Q14" s="622" t="s">
        <v>3868</v>
      </c>
      <c r="R14" s="613"/>
      <c r="S14" s="522" t="str">
        <f t="shared" ref="S14:S17" si="3">IF(BC14&lt;=0,"",IF(BC14&lt;=1000000,"Não Qualificado",IF(AND(BC14&gt;1000000,BC14&lt;=10000000),"Qualificado","Profissional")))</f>
        <v/>
      </c>
      <c r="T14" s="522" t="s">
        <v>108</v>
      </c>
      <c r="U14" s="522" t="s">
        <v>2652</v>
      </c>
      <c r="V14" s="566" t="s">
        <v>19</v>
      </c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614"/>
      <c r="AH14" s="614"/>
      <c r="AI14" s="614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68"/>
      <c r="AY14" s="468"/>
      <c r="AZ14" s="614"/>
      <c r="BA14" s="614">
        <v>481706.07</v>
      </c>
      <c r="BB14" s="614">
        <v>407735.87</v>
      </c>
      <c r="BC14" s="614"/>
      <c r="BD14" s="450">
        <v>269449.12</v>
      </c>
      <c r="BE14" s="450">
        <v>271768.98</v>
      </c>
      <c r="BF14" s="450">
        <v>159421.38</v>
      </c>
      <c r="BG14" s="450">
        <v>160461.0477</v>
      </c>
      <c r="BH14" s="450">
        <v>161648.38</v>
      </c>
      <c r="BI14" s="450">
        <v>109528.2</v>
      </c>
      <c r="BJ14" s="450">
        <v>77368.19</v>
      </c>
      <c r="BK14" s="450">
        <v>67768.72</v>
      </c>
      <c r="BL14" s="450">
        <v>68568.02</v>
      </c>
      <c r="BM14" s="450">
        <v>68896.9</v>
      </c>
      <c r="BN14" s="450">
        <v>59941.78</v>
      </c>
      <c r="BO14" s="450">
        <v>60529.78</v>
      </c>
      <c r="BP14" s="450">
        <v>16907.35</v>
      </c>
      <c r="BQ14" s="450">
        <v>16968.02</v>
      </c>
      <c r="BR14" s="450">
        <v>17040.28</v>
      </c>
      <c r="BS14" s="615" t="str">
        <f t="array" ref="BS14">XLOOKUP(D14,'PL TOTAL XP'!A:A,'PL TOTAL XP'!C:C,"0")</f>
        <v>0</v>
      </c>
      <c r="BT14" s="616"/>
    </row>
    <row r="15" ht="15.75" customHeight="1">
      <c r="A15" s="183" t="s">
        <v>3820</v>
      </c>
      <c r="B15" s="78" t="s">
        <v>188</v>
      </c>
      <c r="C15" s="564" t="s">
        <v>184</v>
      </c>
      <c r="D15" s="609">
        <v>3952119.0</v>
      </c>
      <c r="E15" s="512" t="s">
        <v>18</v>
      </c>
      <c r="F15" s="512" t="s">
        <v>29</v>
      </c>
      <c r="G15" s="512" t="s">
        <v>2931</v>
      </c>
      <c r="H15" s="512" t="str">
        <f>IFERROR(VLOOKUP(G15,'Cadastro de assessores'!A:B,2,FALSE),"Não Cadastrado")</f>
        <v>13444</v>
      </c>
      <c r="I15" s="512"/>
      <c r="J15" s="51" t="s">
        <v>3823</v>
      </c>
      <c r="K15" s="522" t="s">
        <v>107</v>
      </c>
      <c r="L15" s="610">
        <v>44335.0</v>
      </c>
      <c r="M15" s="610">
        <v>44335.0</v>
      </c>
      <c r="N15" s="566"/>
      <c r="O15" s="566" t="s">
        <v>3869</v>
      </c>
      <c r="P15" s="568">
        <v>0.008</v>
      </c>
      <c r="Q15" s="622"/>
      <c r="R15" s="613"/>
      <c r="S15" s="522" t="str">
        <f t="shared" si="3"/>
        <v>Não Qualificado</v>
      </c>
      <c r="T15" s="522" t="s">
        <v>108</v>
      </c>
      <c r="U15" s="522" t="s">
        <v>2623</v>
      </c>
      <c r="V15" s="522" t="s">
        <v>29</v>
      </c>
      <c r="W15" s="468"/>
      <c r="X15" s="468"/>
      <c r="Y15" s="468"/>
      <c r="Z15" s="46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50"/>
      <c r="AL15" s="450"/>
      <c r="AM15" s="450"/>
      <c r="AN15" s="450"/>
      <c r="AO15" s="450"/>
      <c r="AP15" s="450"/>
      <c r="AQ15" s="468"/>
      <c r="AR15" s="449">
        <v>138241.87</v>
      </c>
      <c r="AS15" s="450">
        <v>135092.06</v>
      </c>
      <c r="AT15" s="450">
        <v>137880.15</v>
      </c>
      <c r="AU15" s="450">
        <v>133766.76</v>
      </c>
      <c r="AV15" s="450">
        <v>132368.95</v>
      </c>
      <c r="AW15" s="450">
        <v>131061.88</v>
      </c>
      <c r="AX15" s="450">
        <v>124496.91</v>
      </c>
      <c r="AY15" s="450">
        <v>133048.61</v>
      </c>
      <c r="AZ15" s="450">
        <v>130485.14</v>
      </c>
      <c r="BA15" s="450">
        <v>128528.17</v>
      </c>
      <c r="BB15" s="450">
        <v>119627.14</v>
      </c>
      <c r="BC15" s="450">
        <v>210246.24</v>
      </c>
      <c r="BD15" s="450">
        <v>109168.84</v>
      </c>
      <c r="BE15" s="450">
        <v>104575.21</v>
      </c>
      <c r="BF15" s="450">
        <v>99122.67</v>
      </c>
      <c r="BG15" s="450">
        <v>96890.72</v>
      </c>
      <c r="BH15" s="450">
        <v>95722.23</v>
      </c>
      <c r="BI15" s="450">
        <v>91282.74</v>
      </c>
      <c r="BJ15" s="450">
        <v>82471.48</v>
      </c>
      <c r="BK15" s="450">
        <v>77339.87</v>
      </c>
      <c r="BL15" s="450">
        <v>66911.42</v>
      </c>
      <c r="BM15" s="450">
        <v>62772.9</v>
      </c>
      <c r="BN15" s="450">
        <v>59018.35</v>
      </c>
      <c r="BO15" s="450">
        <v>60744.01</v>
      </c>
      <c r="BP15" s="450">
        <v>63083.38</v>
      </c>
      <c r="BQ15" s="450">
        <v>65613.43</v>
      </c>
      <c r="BR15" s="450">
        <v>67382.42</v>
      </c>
      <c r="BS15" s="615" t="str">
        <f t="array" ref="BS15">XLOOKUP(D15,'PL TOTAL XP'!A:A,'PL TOTAL XP'!C:C,"0")</f>
        <v>0</v>
      </c>
      <c r="BT15" s="616"/>
    </row>
    <row r="16" ht="15.75" customHeight="1">
      <c r="A16" s="183" t="s">
        <v>3820</v>
      </c>
      <c r="B16" s="78" t="s">
        <v>3870</v>
      </c>
      <c r="C16" s="132" t="s">
        <v>3871</v>
      </c>
      <c r="D16" s="566">
        <v>7435703.0</v>
      </c>
      <c r="E16" s="522" t="s">
        <v>18</v>
      </c>
      <c r="F16" s="511" t="s">
        <v>19</v>
      </c>
      <c r="G16" s="522" t="s">
        <v>256</v>
      </c>
      <c r="H16" s="522" t="str">
        <f>IFERROR(VLOOKUP(G16,'Cadastro de assessores'!A:B,2,FALSE),"Não Cadastrado")</f>
        <v>18009</v>
      </c>
      <c r="I16" s="522" t="s">
        <v>3851</v>
      </c>
      <c r="J16" s="51" t="s">
        <v>186</v>
      </c>
      <c r="K16" s="522"/>
      <c r="L16" s="618">
        <v>44547.0</v>
      </c>
      <c r="M16" s="618">
        <v>44547.0</v>
      </c>
      <c r="N16" s="567">
        <v>44664.0</v>
      </c>
      <c r="O16" s="566" t="s">
        <v>3840</v>
      </c>
      <c r="P16" s="612">
        <v>0.025</v>
      </c>
      <c r="Q16" s="620" t="s">
        <v>3872</v>
      </c>
      <c r="R16" s="613"/>
      <c r="S16" s="522" t="str">
        <f t="shared" si="3"/>
        <v>Não Qualificado</v>
      </c>
      <c r="T16" s="522" t="s">
        <v>108</v>
      </c>
      <c r="U16" s="522" t="s">
        <v>2619</v>
      </c>
      <c r="V16" s="566" t="s">
        <v>152</v>
      </c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614"/>
      <c r="AH16" s="614"/>
      <c r="AI16" s="614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0"/>
      <c r="AU16" s="450"/>
      <c r="AV16" s="450"/>
      <c r="AW16" s="450"/>
      <c r="AX16" s="468"/>
      <c r="AY16" s="468"/>
      <c r="AZ16" s="614"/>
      <c r="BA16" s="614">
        <v>0.0</v>
      </c>
      <c r="BB16" s="614">
        <v>67365.6</v>
      </c>
      <c r="BC16" s="614">
        <v>542216.27</v>
      </c>
      <c r="BD16" s="450" t="s">
        <v>2566</v>
      </c>
      <c r="BE16" s="450" t="s">
        <v>2566</v>
      </c>
      <c r="BF16" s="450">
        <v>0.0</v>
      </c>
      <c r="BG16" s="450">
        <v>0.0</v>
      </c>
      <c r="BH16" s="450">
        <v>0.0</v>
      </c>
      <c r="BI16" s="450">
        <v>0.0</v>
      </c>
      <c r="BJ16" s="450">
        <v>0.0</v>
      </c>
      <c r="BK16" s="450">
        <v>0.0</v>
      </c>
      <c r="BL16" s="450">
        <v>0.0</v>
      </c>
      <c r="BM16" s="450">
        <v>0.0</v>
      </c>
      <c r="BN16" s="450">
        <v>0.0</v>
      </c>
      <c r="BO16" s="450">
        <v>0.0</v>
      </c>
      <c r="BP16" s="450">
        <v>0.0</v>
      </c>
      <c r="BQ16" s="450">
        <v>0.0</v>
      </c>
      <c r="BR16" s="450">
        <v>0.0</v>
      </c>
      <c r="BS16" s="615" t="str">
        <f t="array" ref="BS16">XLOOKUP(D16,'PL TOTAL XP'!A:A,'PL TOTAL XP'!C:C,"0")</f>
        <v>0</v>
      </c>
      <c r="BT16" s="616"/>
    </row>
    <row r="17" ht="15.75" customHeight="1">
      <c r="A17" s="183" t="s">
        <v>3820</v>
      </c>
      <c r="B17" s="78" t="s">
        <v>210</v>
      </c>
      <c r="C17" s="617" t="s">
        <v>207</v>
      </c>
      <c r="D17" s="522">
        <v>4831456.0</v>
      </c>
      <c r="E17" s="512" t="s">
        <v>105</v>
      </c>
      <c r="F17" s="512" t="s">
        <v>29</v>
      </c>
      <c r="G17" s="512" t="s">
        <v>3873</v>
      </c>
      <c r="H17" s="512" t="str">
        <f>IFERROR(VLOOKUP(G17,'Cadastro de assessores'!A:B,2,FALSE),"Não Cadastrado")</f>
        <v>12624</v>
      </c>
      <c r="I17" s="512"/>
      <c r="J17" s="51" t="s">
        <v>3823</v>
      </c>
      <c r="K17" s="522" t="s">
        <v>107</v>
      </c>
      <c r="L17" s="610">
        <v>44231.0</v>
      </c>
      <c r="M17" s="610">
        <v>44231.0</v>
      </c>
      <c r="N17" s="522"/>
      <c r="O17" s="522" t="s">
        <v>3840</v>
      </c>
      <c r="P17" s="612">
        <v>0.025</v>
      </c>
      <c r="Q17" s="622" t="s">
        <v>3874</v>
      </c>
      <c r="R17" s="613"/>
      <c r="S17" s="522" t="str">
        <f t="shared" si="3"/>
        <v>Não Qualificado</v>
      </c>
      <c r="T17" s="522" t="s">
        <v>108</v>
      </c>
      <c r="U17" s="522" t="s">
        <v>2575</v>
      </c>
      <c r="V17" s="522" t="s">
        <v>29</v>
      </c>
      <c r="W17" s="614"/>
      <c r="X17" s="614"/>
      <c r="Y17" s="614"/>
      <c r="Z17" s="614"/>
      <c r="AA17" s="614"/>
      <c r="AB17" s="614"/>
      <c r="AC17" s="614"/>
      <c r="AD17" s="614"/>
      <c r="AE17" s="614"/>
      <c r="AF17" s="614"/>
      <c r="AG17" s="614"/>
      <c r="AH17" s="614"/>
      <c r="AI17" s="614"/>
      <c r="AJ17" s="614"/>
      <c r="AK17" s="450"/>
      <c r="AL17" s="450"/>
      <c r="AM17" s="450">
        <v>267665.98</v>
      </c>
      <c r="AN17" s="450">
        <v>266717.03</v>
      </c>
      <c r="AO17" s="450">
        <v>290348.86</v>
      </c>
      <c r="AP17" s="450">
        <v>294231.02</v>
      </c>
      <c r="AQ17" s="450">
        <v>291134.42</v>
      </c>
      <c r="AR17" s="450">
        <v>308071.32</v>
      </c>
      <c r="AS17" s="450">
        <v>300926.9</v>
      </c>
      <c r="AT17" s="450">
        <v>284923.16</v>
      </c>
      <c r="AU17" s="450">
        <v>278963.11</v>
      </c>
      <c r="AV17" s="450">
        <v>262666.62</v>
      </c>
      <c r="AW17" s="450">
        <v>243197.59</v>
      </c>
      <c r="AX17" s="450">
        <v>240932.76</v>
      </c>
      <c r="AY17" s="450">
        <v>245429.22</v>
      </c>
      <c r="AZ17" s="450">
        <v>262984.51</v>
      </c>
      <c r="BA17" s="450">
        <v>265615.61</v>
      </c>
      <c r="BB17" s="450">
        <v>283473.14</v>
      </c>
      <c r="BC17" s="450">
        <v>48857.02</v>
      </c>
      <c r="BD17" s="450">
        <v>266623.35</v>
      </c>
      <c r="BE17" s="450">
        <v>254758.57</v>
      </c>
      <c r="BF17" s="450">
        <v>286396.77</v>
      </c>
      <c r="BG17" s="450">
        <v>285394.8071</v>
      </c>
      <c r="BH17" s="450">
        <v>284620.64</v>
      </c>
      <c r="BI17" s="450">
        <v>310154.31</v>
      </c>
      <c r="BJ17" s="450">
        <v>300412.03</v>
      </c>
      <c r="BK17" s="450">
        <v>299135.56</v>
      </c>
      <c r="BL17" s="450">
        <v>305347.01</v>
      </c>
      <c r="BM17" s="450">
        <v>292288.46</v>
      </c>
      <c r="BN17" s="450">
        <v>288807.23</v>
      </c>
      <c r="BO17" s="450">
        <v>285078.29</v>
      </c>
      <c r="BP17" s="450">
        <v>291212.69</v>
      </c>
      <c r="BQ17" s="450">
        <v>308909.05</v>
      </c>
      <c r="BR17" s="450">
        <v>319939.46</v>
      </c>
      <c r="BS17" s="615">
        <f t="array" ref="BS17">XLOOKUP(D17,'PL TOTAL XP'!A:A,'PL TOTAL XP'!C:C,"0")</f>
        <v>0</v>
      </c>
      <c r="BT17" s="616"/>
    </row>
    <row r="18" ht="15.75" customHeight="1">
      <c r="A18" s="183" t="s">
        <v>3820</v>
      </c>
      <c r="B18" s="78" t="s">
        <v>3875</v>
      </c>
      <c r="C18" s="621" t="s">
        <v>3876</v>
      </c>
      <c r="D18" s="628">
        <v>8742121.0</v>
      </c>
      <c r="E18" s="512" t="s">
        <v>18</v>
      </c>
      <c r="F18" s="512" t="s">
        <v>19</v>
      </c>
      <c r="G18" s="512" t="s">
        <v>213</v>
      </c>
      <c r="H18" s="512" t="str">
        <f>IFERROR(VLOOKUP(G18,'Cadastro de assessores'!A:B,2,FALSE),"Não Cadastrado")</f>
        <v>17831</v>
      </c>
      <c r="I18" s="512"/>
      <c r="J18" s="51" t="s">
        <v>3823</v>
      </c>
      <c r="K18" s="522" t="s">
        <v>107</v>
      </c>
      <c r="L18" s="610">
        <v>44722.0</v>
      </c>
      <c r="M18" s="610">
        <v>44729.0</v>
      </c>
      <c r="N18" s="522"/>
      <c r="O18" s="522" t="s">
        <v>3836</v>
      </c>
      <c r="P18" s="612">
        <v>0.012</v>
      </c>
      <c r="Q18" s="620"/>
      <c r="R18" s="613"/>
      <c r="S18" s="522" t="s">
        <v>119</v>
      </c>
      <c r="T18" s="522" t="s">
        <v>108</v>
      </c>
      <c r="U18" s="522" t="s">
        <v>2602</v>
      </c>
      <c r="V18" s="522" t="s">
        <v>29</v>
      </c>
      <c r="W18" s="614"/>
      <c r="X18" s="614"/>
      <c r="Y18" s="614"/>
      <c r="Z18" s="614"/>
      <c r="AA18" s="614"/>
      <c r="AB18" s="614"/>
      <c r="AC18" s="614"/>
      <c r="AD18" s="614"/>
      <c r="AE18" s="614"/>
      <c r="AF18" s="614"/>
      <c r="AG18" s="614"/>
      <c r="AH18" s="614"/>
      <c r="AI18" s="614"/>
      <c r="AJ18" s="614"/>
      <c r="AK18" s="450"/>
      <c r="AL18" s="450"/>
      <c r="AM18" s="450"/>
      <c r="AN18" s="450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  <c r="BD18" s="450"/>
      <c r="BE18" s="450" t="s">
        <v>2566</v>
      </c>
      <c r="BF18" s="450">
        <v>76529.02</v>
      </c>
      <c r="BG18" s="450">
        <v>77300.90347</v>
      </c>
      <c r="BH18" s="450">
        <v>77735.58</v>
      </c>
      <c r="BI18" s="450">
        <v>78284.52</v>
      </c>
      <c r="BJ18" s="450">
        <v>78894.65</v>
      </c>
      <c r="BK18" s="450">
        <v>79605.9</v>
      </c>
      <c r="BL18" s="450">
        <v>80513.39</v>
      </c>
      <c r="BM18" s="450">
        <v>73613.56</v>
      </c>
      <c r="BN18" s="450">
        <v>0.5</v>
      </c>
      <c r="BO18" s="450">
        <v>0.5</v>
      </c>
      <c r="BP18" s="450">
        <v>0.5</v>
      </c>
      <c r="BQ18" s="450">
        <v>0.5</v>
      </c>
      <c r="BR18" s="450">
        <v>0.5</v>
      </c>
      <c r="BS18" s="615">
        <f t="array" ref="BS18">XLOOKUP(D18,'PL TOTAL XP'!A:A,'PL TOTAL XP'!C:C,"0")</f>
        <v>0</v>
      </c>
      <c r="BT18" s="616"/>
    </row>
    <row r="19" ht="15.75" customHeight="1">
      <c r="A19" s="183" t="s">
        <v>3820</v>
      </c>
      <c r="B19" s="78" t="s">
        <v>220</v>
      </c>
      <c r="C19" s="621" t="s">
        <v>3877</v>
      </c>
      <c r="D19" s="512">
        <v>2931994.0</v>
      </c>
      <c r="E19" s="512" t="s">
        <v>105</v>
      </c>
      <c r="F19" s="512" t="s">
        <v>29</v>
      </c>
      <c r="G19" s="512" t="s">
        <v>3878</v>
      </c>
      <c r="H19" s="512" t="str">
        <f>IFERROR(VLOOKUP(G19,'Cadastro de assessores'!A:B,2,FALSE),"Não Cadastrado")</f>
        <v>1441</v>
      </c>
      <c r="I19" s="512"/>
      <c r="J19" s="46" t="s">
        <v>107</v>
      </c>
      <c r="K19" s="522" t="s">
        <v>107</v>
      </c>
      <c r="L19" s="610">
        <v>44134.0</v>
      </c>
      <c r="M19" s="610">
        <v>44138.0</v>
      </c>
      <c r="N19" s="522"/>
      <c r="O19" s="522" t="s">
        <v>3840</v>
      </c>
      <c r="P19" s="612">
        <v>0.025</v>
      </c>
      <c r="Q19" s="620"/>
      <c r="R19" s="613"/>
      <c r="S19" s="522" t="str">
        <f t="shared" ref="S19:S33" si="4">IF(BC19&lt;=0,"",IF(BC19&lt;=1000000,"Não Qualificado",IF(AND(BC19&gt;1000000,BC19&lt;=10000000),"Qualificado","Profissional")))</f>
        <v>Não Qualificado</v>
      </c>
      <c r="T19" s="522" t="s">
        <v>108</v>
      </c>
      <c r="U19" s="522" t="s">
        <v>2602</v>
      </c>
      <c r="V19" s="522" t="s">
        <v>29</v>
      </c>
      <c r="W19" s="614" t="s">
        <v>3830</v>
      </c>
      <c r="X19" s="614" t="s">
        <v>3830</v>
      </c>
      <c r="Y19" s="614" t="s">
        <v>3830</v>
      </c>
      <c r="Z19" s="614" t="s">
        <v>3830</v>
      </c>
      <c r="AA19" s="614" t="s">
        <v>3830</v>
      </c>
      <c r="AB19" s="614" t="s">
        <v>3830</v>
      </c>
      <c r="AC19" s="614" t="s">
        <v>3830</v>
      </c>
      <c r="AD19" s="614" t="s">
        <v>3830</v>
      </c>
      <c r="AE19" s="614" t="s">
        <v>3830</v>
      </c>
      <c r="AF19" s="614" t="s">
        <v>3830</v>
      </c>
      <c r="AG19" s="614" t="s">
        <v>3830</v>
      </c>
      <c r="AH19" s="614" t="s">
        <v>3830</v>
      </c>
      <c r="AI19" s="614" t="s">
        <v>3879</v>
      </c>
      <c r="AJ19" s="614" t="s">
        <v>3880</v>
      </c>
      <c r="AK19" s="450">
        <v>102228.8</v>
      </c>
      <c r="AL19" s="450">
        <v>97365.65</v>
      </c>
      <c r="AM19" s="450">
        <v>90381.4</v>
      </c>
      <c r="AN19" s="450">
        <v>89560.07</v>
      </c>
      <c r="AO19" s="450">
        <v>95848.65</v>
      </c>
      <c r="AP19" s="450">
        <v>97123.35</v>
      </c>
      <c r="AQ19" s="450">
        <v>96126.83</v>
      </c>
      <c r="AR19" s="450">
        <v>101535.73</v>
      </c>
      <c r="AS19" s="450">
        <v>99180.92</v>
      </c>
      <c r="AT19" s="450">
        <v>93953.16</v>
      </c>
      <c r="AU19" s="450">
        <v>91973.81</v>
      </c>
      <c r="AV19" s="450">
        <v>86541.37</v>
      </c>
      <c r="AW19" s="450">
        <v>80264.05</v>
      </c>
      <c r="AX19" s="450">
        <v>79455.08</v>
      </c>
      <c r="AY19" s="450">
        <v>80870.74</v>
      </c>
      <c r="AZ19" s="450">
        <v>85730.27</v>
      </c>
      <c r="BA19" s="450">
        <v>86683.25</v>
      </c>
      <c r="BB19" s="450">
        <v>92742.3</v>
      </c>
      <c r="BC19" s="450">
        <v>583300.94</v>
      </c>
      <c r="BD19" s="450">
        <v>86873.03</v>
      </c>
      <c r="BE19" s="450">
        <v>83070.8</v>
      </c>
      <c r="BF19" s="450">
        <v>87198.12</v>
      </c>
      <c r="BG19" s="450">
        <v>88178.86</v>
      </c>
      <c r="BH19" s="450">
        <v>86831.14</v>
      </c>
      <c r="BI19" s="450">
        <v>94906.0</v>
      </c>
      <c r="BJ19" s="450">
        <v>91668.82</v>
      </c>
      <c r="BK19" s="450">
        <v>91104.12</v>
      </c>
      <c r="BL19" s="450">
        <v>93005.87</v>
      </c>
      <c r="BM19" s="450">
        <v>89810.7</v>
      </c>
      <c r="BN19" s="450">
        <v>60618.77</v>
      </c>
      <c r="BO19" s="450">
        <v>59028.55</v>
      </c>
      <c r="BP19" s="450">
        <v>22934.65</v>
      </c>
      <c r="BQ19" s="450">
        <v>24395.32</v>
      </c>
      <c r="BR19" s="450">
        <v>25745.65</v>
      </c>
      <c r="BS19" s="615">
        <f t="array" ref="BS19">XLOOKUP(D19,'PL TOTAL XP'!A:A,'PL TOTAL XP'!C:C,"0")</f>
        <v>79.98</v>
      </c>
      <c r="BT19" s="616"/>
    </row>
    <row r="20" ht="15.75" customHeight="1">
      <c r="A20" s="183" t="s">
        <v>3820</v>
      </c>
      <c r="B20" s="78" t="s">
        <v>3881</v>
      </c>
      <c r="C20" s="621" t="s">
        <v>3882</v>
      </c>
      <c r="D20" s="512">
        <v>4608802.0</v>
      </c>
      <c r="E20" s="512" t="s">
        <v>2550</v>
      </c>
      <c r="F20" s="512" t="s">
        <v>29</v>
      </c>
      <c r="G20" s="512" t="s">
        <v>2550</v>
      </c>
      <c r="H20" s="512" t="str">
        <f>IFERROR(VLOOKUP(G20,'Cadastro de assessores'!A:B,2,FALSE),"Não Cadastrado")</f>
        <v>18986</v>
      </c>
      <c r="I20" s="512" t="s">
        <v>3851</v>
      </c>
      <c r="J20" s="46" t="s">
        <v>107</v>
      </c>
      <c r="K20" s="522" t="s">
        <v>107</v>
      </c>
      <c r="L20" s="611">
        <v>44158.0</v>
      </c>
      <c r="M20" s="611">
        <v>44180.0</v>
      </c>
      <c r="N20" s="522"/>
      <c r="O20" s="522" t="s">
        <v>3828</v>
      </c>
      <c r="P20" s="612">
        <v>0.015</v>
      </c>
      <c r="Q20" s="622" t="s">
        <v>3883</v>
      </c>
      <c r="R20" s="613"/>
      <c r="S20" s="522" t="str">
        <f t="shared" si="4"/>
        <v/>
      </c>
      <c r="T20" s="512" t="s">
        <v>108</v>
      </c>
      <c r="U20" s="512" t="s">
        <v>3884</v>
      </c>
      <c r="V20" s="512" t="s">
        <v>29</v>
      </c>
      <c r="W20" s="614" t="s">
        <v>3830</v>
      </c>
      <c r="X20" s="614" t="s">
        <v>3830</v>
      </c>
      <c r="Y20" s="614" t="s">
        <v>3830</v>
      </c>
      <c r="Z20" s="614" t="s">
        <v>3830</v>
      </c>
      <c r="AA20" s="614" t="s">
        <v>3830</v>
      </c>
      <c r="AB20" s="614" t="s">
        <v>3830</v>
      </c>
      <c r="AC20" s="614" t="s">
        <v>3830</v>
      </c>
      <c r="AD20" s="614" t="s">
        <v>3830</v>
      </c>
      <c r="AE20" s="614" t="s">
        <v>3830</v>
      </c>
      <c r="AF20" s="614" t="s">
        <v>3830</v>
      </c>
      <c r="AG20" s="614" t="s">
        <v>3830</v>
      </c>
      <c r="AH20" s="614" t="s">
        <v>3830</v>
      </c>
      <c r="AI20" s="614" t="s">
        <v>3830</v>
      </c>
      <c r="AJ20" s="614" t="s">
        <v>3830</v>
      </c>
      <c r="AK20" s="450">
        <v>401271.13</v>
      </c>
      <c r="AL20" s="450">
        <v>396313.99</v>
      </c>
      <c r="AM20" s="450">
        <v>307499.44</v>
      </c>
      <c r="AN20" s="450">
        <v>307069.45</v>
      </c>
      <c r="AO20" s="450">
        <v>369448.21</v>
      </c>
      <c r="AP20" s="450">
        <v>370825.15</v>
      </c>
      <c r="AQ20" s="450">
        <v>369468.12</v>
      </c>
      <c r="AR20" s="450">
        <v>377254.61</v>
      </c>
      <c r="AS20" s="450">
        <v>374638.27</v>
      </c>
      <c r="AT20" s="450">
        <v>368914.18</v>
      </c>
      <c r="AU20" s="450">
        <v>223937.74</v>
      </c>
      <c r="AV20" s="450">
        <v>163700.43</v>
      </c>
      <c r="AW20" s="450">
        <v>210533.37</v>
      </c>
      <c r="AX20" s="450">
        <v>210191.29</v>
      </c>
      <c r="AY20" s="450">
        <v>206664.23</v>
      </c>
      <c r="AZ20" s="450">
        <v>213218.31</v>
      </c>
      <c r="BA20" s="450">
        <v>215505.02</v>
      </c>
      <c r="BB20" s="450">
        <v>215388.52</v>
      </c>
      <c r="BC20" s="450"/>
      <c r="BD20" s="450">
        <v>152784.15</v>
      </c>
      <c r="BE20" s="450">
        <v>141838.81</v>
      </c>
      <c r="BF20" s="450">
        <v>74081.33</v>
      </c>
      <c r="BG20" s="450">
        <v>309287.2032</v>
      </c>
      <c r="BH20" s="450">
        <v>295712.94</v>
      </c>
      <c r="BI20" s="450">
        <v>289884.55</v>
      </c>
      <c r="BJ20" s="450">
        <v>267259.66</v>
      </c>
      <c r="BK20" s="450">
        <v>220827.66</v>
      </c>
      <c r="BL20" s="450">
        <v>221933.93</v>
      </c>
      <c r="BM20" s="450">
        <v>202768.87</v>
      </c>
      <c r="BN20" s="450">
        <v>181541.28</v>
      </c>
      <c r="BO20" s="450">
        <v>159695.08</v>
      </c>
      <c r="BP20" s="450">
        <v>129017.97</v>
      </c>
      <c r="BQ20" s="450">
        <v>109362.56</v>
      </c>
      <c r="BR20" s="450">
        <v>43209.01</v>
      </c>
      <c r="BS20" s="615">
        <f t="array" ref="BS20">XLOOKUP(D20,'PL TOTAL XP'!A:A,'PL TOTAL XP'!C:C,"0")</f>
        <v>101644.2</v>
      </c>
      <c r="BT20" s="616"/>
    </row>
    <row r="21" ht="15.75" customHeight="1">
      <c r="A21" s="183" t="s">
        <v>3820</v>
      </c>
      <c r="B21" s="78" t="s">
        <v>3885</v>
      </c>
      <c r="C21" s="621" t="s">
        <v>3886</v>
      </c>
      <c r="D21" s="512">
        <v>4441469.0</v>
      </c>
      <c r="E21" s="512" t="s">
        <v>105</v>
      </c>
      <c r="F21" s="512" t="s">
        <v>29</v>
      </c>
      <c r="G21" s="512" t="s">
        <v>3887</v>
      </c>
      <c r="H21" s="512" t="str">
        <f>IFERROR(VLOOKUP(G21,'Cadastro de assessores'!A:B,2,FALSE),"Não Cadastrado")</f>
        <v>1298</v>
      </c>
      <c r="I21" s="512"/>
      <c r="J21" s="51" t="s">
        <v>3823</v>
      </c>
      <c r="K21" s="522" t="s">
        <v>107</v>
      </c>
      <c r="L21" s="610">
        <v>44078.0</v>
      </c>
      <c r="M21" s="610">
        <v>44085.0</v>
      </c>
      <c r="N21" s="522"/>
      <c r="O21" s="522" t="s">
        <v>3828</v>
      </c>
      <c r="P21" s="612">
        <v>0.015</v>
      </c>
      <c r="Q21" s="620" t="s">
        <v>3888</v>
      </c>
      <c r="R21" s="613"/>
      <c r="S21" s="522" t="str">
        <f t="shared" si="4"/>
        <v>Não Qualificado</v>
      </c>
      <c r="T21" s="522" t="s">
        <v>108</v>
      </c>
      <c r="U21" s="522" t="s">
        <v>2811</v>
      </c>
      <c r="V21" s="522" t="s">
        <v>29</v>
      </c>
      <c r="W21" s="614" t="s">
        <v>3830</v>
      </c>
      <c r="X21" s="614" t="s">
        <v>3830</v>
      </c>
      <c r="Y21" s="614" t="s">
        <v>3830</v>
      </c>
      <c r="Z21" s="614" t="s">
        <v>3830</v>
      </c>
      <c r="AA21" s="614" t="s">
        <v>3830</v>
      </c>
      <c r="AB21" s="614" t="s">
        <v>3830</v>
      </c>
      <c r="AC21" s="614" t="s">
        <v>3830</v>
      </c>
      <c r="AD21" s="614" t="s">
        <v>3830</v>
      </c>
      <c r="AE21" s="614" t="s">
        <v>3830</v>
      </c>
      <c r="AF21" s="614" t="s">
        <v>3830</v>
      </c>
      <c r="AG21" s="614" t="s">
        <v>3830</v>
      </c>
      <c r="AH21" s="614" t="s">
        <v>3889</v>
      </c>
      <c r="AI21" s="614" t="s">
        <v>3890</v>
      </c>
      <c r="AJ21" s="614" t="s">
        <v>3891</v>
      </c>
      <c r="AK21" s="450">
        <v>264767.33</v>
      </c>
      <c r="AL21" s="450">
        <v>259012.26</v>
      </c>
      <c r="AM21" s="450">
        <v>249285.97</v>
      </c>
      <c r="AN21" s="450">
        <v>247929.82</v>
      </c>
      <c r="AO21" s="450">
        <v>254949.24</v>
      </c>
      <c r="AP21" s="450">
        <v>256376.85</v>
      </c>
      <c r="AQ21" s="450">
        <v>255350.8</v>
      </c>
      <c r="AR21" s="450">
        <v>261557.37</v>
      </c>
      <c r="AS21" s="450">
        <v>259503.84</v>
      </c>
      <c r="AT21" s="450">
        <v>255390.95</v>
      </c>
      <c r="AU21" s="450">
        <v>254967.87</v>
      </c>
      <c r="AV21" s="450">
        <v>251257.88</v>
      </c>
      <c r="AW21" s="450">
        <v>242466.76</v>
      </c>
      <c r="AX21" s="450">
        <v>243049.79</v>
      </c>
      <c r="AY21" s="450">
        <v>220912.08</v>
      </c>
      <c r="AZ21" s="450">
        <v>226611.95</v>
      </c>
      <c r="BA21" s="450">
        <v>228849.42</v>
      </c>
      <c r="BB21" s="450">
        <v>237539.78</v>
      </c>
      <c r="BC21" s="450">
        <v>47275.83</v>
      </c>
      <c r="BD21" s="450">
        <v>236661.8</v>
      </c>
      <c r="BE21" s="450">
        <v>221097.64</v>
      </c>
      <c r="BF21" s="450">
        <v>225018.96</v>
      </c>
      <c r="BG21" s="450">
        <v>226465.7362</v>
      </c>
      <c r="BH21" s="450">
        <v>228108.02</v>
      </c>
      <c r="BI21" s="450">
        <v>237354.06</v>
      </c>
      <c r="BJ21" s="450">
        <v>220948.95</v>
      </c>
      <c r="BK21" s="450">
        <v>222500.43</v>
      </c>
      <c r="BL21" s="450">
        <v>207079.45</v>
      </c>
      <c r="BM21" s="450">
        <v>9958.58</v>
      </c>
      <c r="BN21" s="450">
        <v>10191.6</v>
      </c>
      <c r="BO21" s="450">
        <v>9433.02</v>
      </c>
      <c r="BP21" s="450">
        <v>9524.42</v>
      </c>
      <c r="BQ21" s="450">
        <v>9594.53</v>
      </c>
      <c r="BR21" s="450">
        <v>9665.62</v>
      </c>
      <c r="BS21" s="615">
        <f t="array" ref="BS21">XLOOKUP(D21,'PL TOTAL XP'!A:A,'PL TOTAL XP'!C:C,"0")</f>
        <v>0</v>
      </c>
      <c r="BT21" s="616"/>
    </row>
    <row r="22" ht="15.75" customHeight="1">
      <c r="A22" s="183" t="s">
        <v>3820</v>
      </c>
      <c r="B22" s="78" t="s">
        <v>3892</v>
      </c>
      <c r="C22" s="132" t="s">
        <v>3893</v>
      </c>
      <c r="D22" s="627">
        <v>6032020.0</v>
      </c>
      <c r="E22" s="512" t="s">
        <v>18</v>
      </c>
      <c r="F22" s="609" t="s">
        <v>29</v>
      </c>
      <c r="G22" s="627" t="s">
        <v>2213</v>
      </c>
      <c r="H22" s="512" t="str">
        <f>IFERROR(VLOOKUP(G22,'Cadastro de assessores'!A:B,2,FALSE),"Não Cadastrado")</f>
        <v>18256</v>
      </c>
      <c r="I22" s="512"/>
      <c r="J22" s="51" t="s">
        <v>3823</v>
      </c>
      <c r="K22" s="522" t="s">
        <v>107</v>
      </c>
      <c r="L22" s="610">
        <v>44537.0</v>
      </c>
      <c r="M22" s="610">
        <v>44537.0</v>
      </c>
      <c r="N22" s="627"/>
      <c r="O22" s="627" t="s">
        <v>3834</v>
      </c>
      <c r="P22" s="568">
        <v>0.007</v>
      </c>
      <c r="Q22" s="482" t="s">
        <v>3894</v>
      </c>
      <c r="R22" s="613"/>
      <c r="S22" s="522" t="str">
        <f t="shared" si="4"/>
        <v>Não Qualificado</v>
      </c>
      <c r="T22" s="522" t="s">
        <v>108</v>
      </c>
      <c r="U22" s="522" t="s">
        <v>2623</v>
      </c>
      <c r="V22" s="522" t="s">
        <v>29</v>
      </c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614"/>
      <c r="AH22" s="614"/>
      <c r="AI22" s="614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68"/>
      <c r="AX22" s="449"/>
      <c r="AY22" s="449"/>
      <c r="AZ22" s="450"/>
      <c r="BA22" s="450">
        <v>0.0</v>
      </c>
      <c r="BB22" s="450">
        <v>155318.27</v>
      </c>
      <c r="BC22" s="450">
        <v>142474.3</v>
      </c>
      <c r="BD22" s="450">
        <v>201310.21</v>
      </c>
      <c r="BE22" s="450">
        <v>225266.76</v>
      </c>
      <c r="BF22" s="450">
        <v>243152.66</v>
      </c>
      <c r="BG22" s="450">
        <v>239039.0034</v>
      </c>
      <c r="BH22" s="450">
        <v>243799.78</v>
      </c>
      <c r="BI22" s="450">
        <v>252666.44</v>
      </c>
      <c r="BJ22" s="450">
        <v>257862.03</v>
      </c>
      <c r="BK22" s="450">
        <v>263023.17</v>
      </c>
      <c r="BL22" s="450">
        <v>268890.96</v>
      </c>
      <c r="BM22" s="450">
        <v>273823.68</v>
      </c>
      <c r="BN22" s="450">
        <v>184078.57</v>
      </c>
      <c r="BO22" s="450">
        <v>0.0</v>
      </c>
      <c r="BP22" s="450">
        <v>0.0</v>
      </c>
      <c r="BQ22" s="450">
        <v>0.0</v>
      </c>
      <c r="BR22" s="450">
        <v>0.0</v>
      </c>
      <c r="BS22" s="615">
        <f t="array" ref="BS22">XLOOKUP(D22,'PL TOTAL XP'!A:A,'PL TOTAL XP'!C:C,"0")</f>
        <v>0</v>
      </c>
      <c r="BT22" s="616"/>
    </row>
    <row r="23" ht="15.75" customHeight="1">
      <c r="A23" s="183" t="s">
        <v>3820</v>
      </c>
      <c r="B23" s="78" t="s">
        <v>3895</v>
      </c>
      <c r="C23" s="617" t="s">
        <v>3896</v>
      </c>
      <c r="D23" s="522">
        <v>4656935.0</v>
      </c>
      <c r="E23" s="522" t="s">
        <v>105</v>
      </c>
      <c r="F23" s="522" t="s">
        <v>29</v>
      </c>
      <c r="G23" s="522" t="s">
        <v>3897</v>
      </c>
      <c r="H23" s="522" t="str">
        <f>IFERROR(VLOOKUP(G23,'Cadastro de assessores'!A:B,2,FALSE),"Não Cadastrado")</f>
        <v>13598</v>
      </c>
      <c r="I23" s="522"/>
      <c r="J23" s="51" t="s">
        <v>186</v>
      </c>
      <c r="K23" s="522" t="s">
        <v>2563</v>
      </c>
      <c r="L23" s="618">
        <v>44180.0</v>
      </c>
      <c r="M23" s="618">
        <v>44180.0</v>
      </c>
      <c r="N23" s="619">
        <v>44705.0</v>
      </c>
      <c r="O23" s="522" t="s">
        <v>3836</v>
      </c>
      <c r="P23" s="612">
        <v>0.012</v>
      </c>
      <c r="Q23" s="620" t="s">
        <v>3898</v>
      </c>
      <c r="R23" s="613"/>
      <c r="S23" s="522" t="str">
        <f t="shared" si="4"/>
        <v>Não Qualificado</v>
      </c>
      <c r="T23" s="522" t="s">
        <v>108</v>
      </c>
      <c r="U23" s="522" t="s">
        <v>2591</v>
      </c>
      <c r="V23" s="522" t="s">
        <v>29</v>
      </c>
      <c r="W23" s="614" t="s">
        <v>3830</v>
      </c>
      <c r="X23" s="614" t="s">
        <v>3830</v>
      </c>
      <c r="Y23" s="614" t="s">
        <v>3830</v>
      </c>
      <c r="Z23" s="614" t="s">
        <v>3830</v>
      </c>
      <c r="AA23" s="614" t="s">
        <v>3830</v>
      </c>
      <c r="AB23" s="614" t="s">
        <v>3830</v>
      </c>
      <c r="AC23" s="614" t="s">
        <v>3830</v>
      </c>
      <c r="AD23" s="614" t="s">
        <v>3830</v>
      </c>
      <c r="AE23" s="614" t="s">
        <v>3830</v>
      </c>
      <c r="AF23" s="614" t="s">
        <v>3830</v>
      </c>
      <c r="AG23" s="614" t="s">
        <v>3830</v>
      </c>
      <c r="AH23" s="614" t="s">
        <v>3830</v>
      </c>
      <c r="AI23" s="614" t="s">
        <v>3830</v>
      </c>
      <c r="AJ23" s="614" t="s">
        <v>3830</v>
      </c>
      <c r="AK23" s="450">
        <v>151252.96</v>
      </c>
      <c r="AL23" s="450">
        <v>147982.23</v>
      </c>
      <c r="AM23" s="450">
        <v>140940.63</v>
      </c>
      <c r="AN23" s="450">
        <v>140161.95</v>
      </c>
      <c r="AO23" s="450">
        <v>146044.08</v>
      </c>
      <c r="AP23" s="450">
        <v>168451.95</v>
      </c>
      <c r="AQ23" s="450">
        <v>610692.63</v>
      </c>
      <c r="AR23" s="450">
        <v>617674.96</v>
      </c>
      <c r="AS23" s="450">
        <v>508732.5</v>
      </c>
      <c r="AT23" s="450">
        <v>498845.63</v>
      </c>
      <c r="AU23" s="450">
        <v>459251.31</v>
      </c>
      <c r="AV23" s="450">
        <v>418847.74</v>
      </c>
      <c r="AW23" s="450">
        <v>397558.29</v>
      </c>
      <c r="AX23" s="450">
        <v>377822.42</v>
      </c>
      <c r="AY23" s="450">
        <v>398271.58</v>
      </c>
      <c r="AZ23" s="450">
        <v>397830.43</v>
      </c>
      <c r="BA23" s="450">
        <v>406699.46</v>
      </c>
      <c r="BB23" s="450">
        <v>392121.08</v>
      </c>
      <c r="BC23" s="450">
        <v>126423.01</v>
      </c>
      <c r="BD23" s="450">
        <v>141061.48</v>
      </c>
      <c r="BE23" s="450">
        <v>208.96</v>
      </c>
      <c r="BF23" s="450">
        <v>209.34</v>
      </c>
      <c r="BG23" s="450">
        <v>209.81</v>
      </c>
      <c r="BH23" s="450">
        <v>210.29</v>
      </c>
      <c r="BI23" s="450">
        <v>211.34</v>
      </c>
      <c r="BJ23" s="450">
        <v>210.06</v>
      </c>
      <c r="BK23" s="450">
        <v>210.06</v>
      </c>
      <c r="BL23" s="450">
        <v>210.06</v>
      </c>
      <c r="BM23" s="450">
        <v>210.06</v>
      </c>
      <c r="BN23" s="450">
        <v>210.06</v>
      </c>
      <c r="BO23" s="450">
        <v>210.06</v>
      </c>
      <c r="BP23" s="450">
        <v>210.06</v>
      </c>
      <c r="BQ23" s="450">
        <v>210.06</v>
      </c>
      <c r="BR23" s="450">
        <v>210.06</v>
      </c>
      <c r="BS23" s="615">
        <f t="array" ref="BS23">XLOOKUP(D23,'PL TOTAL XP'!A:A,'PL TOTAL XP'!C:C,"0")</f>
        <v>0</v>
      </c>
      <c r="BT23" s="616"/>
    </row>
    <row r="24" ht="15.75" customHeight="1">
      <c r="A24" s="183" t="s">
        <v>3820</v>
      </c>
      <c r="B24" s="78" t="s">
        <v>3899</v>
      </c>
      <c r="C24" s="564" t="s">
        <v>3900</v>
      </c>
      <c r="D24" s="623">
        <v>7988957.0</v>
      </c>
      <c r="E24" s="512" t="s">
        <v>105</v>
      </c>
      <c r="F24" s="512" t="s">
        <v>29</v>
      </c>
      <c r="G24" s="512" t="s">
        <v>3901</v>
      </c>
      <c r="H24" s="512">
        <f>IFERROR(VLOOKUP(G24,'Cadastro de assessores'!A:B,2,FALSE),"Não Cadastrado")</f>
        <v>12356</v>
      </c>
      <c r="I24" s="512"/>
      <c r="J24" s="51" t="s">
        <v>3823</v>
      </c>
      <c r="K24" s="522" t="s">
        <v>107</v>
      </c>
      <c r="L24" s="610">
        <v>44636.0</v>
      </c>
      <c r="M24" s="610">
        <v>44655.0</v>
      </c>
      <c r="N24" s="522"/>
      <c r="O24" s="522" t="s">
        <v>3902</v>
      </c>
      <c r="P24" s="612">
        <v>0.01</v>
      </c>
      <c r="Q24" s="620" t="s">
        <v>3903</v>
      </c>
      <c r="R24" s="613"/>
      <c r="S24" s="522" t="str">
        <f t="shared" si="4"/>
        <v>Não Qualificado</v>
      </c>
      <c r="T24" s="522" t="s">
        <v>108</v>
      </c>
      <c r="U24" s="522" t="s">
        <v>2565</v>
      </c>
      <c r="V24" s="522" t="s">
        <v>29</v>
      </c>
      <c r="W24" s="614"/>
      <c r="X24" s="614"/>
      <c r="Y24" s="614"/>
      <c r="Z24" s="614"/>
      <c r="AA24" s="614"/>
      <c r="AB24" s="614"/>
      <c r="AC24" s="614"/>
      <c r="AD24" s="614"/>
      <c r="AE24" s="614"/>
      <c r="AF24" s="614"/>
      <c r="AG24" s="614"/>
      <c r="AH24" s="614"/>
      <c r="AI24" s="614"/>
      <c r="AJ24" s="614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>
        <v>3303.44</v>
      </c>
      <c r="BD24" s="450">
        <v>709680.93</v>
      </c>
      <c r="BE24" s="450">
        <v>714295.99</v>
      </c>
      <c r="BF24" s="450">
        <v>720720.5</v>
      </c>
      <c r="BG24" s="450">
        <v>727499.4628</v>
      </c>
      <c r="BH24" s="450">
        <v>730970.42</v>
      </c>
      <c r="BI24" s="450">
        <v>736705.21</v>
      </c>
      <c r="BJ24" s="450">
        <v>735918.15</v>
      </c>
      <c r="BK24" s="450">
        <v>740808.97</v>
      </c>
      <c r="BL24" s="450">
        <v>747866.14</v>
      </c>
      <c r="BM24" s="450">
        <v>750050.8</v>
      </c>
      <c r="BN24" s="450">
        <v>752302.16</v>
      </c>
      <c r="BO24" s="450">
        <v>224182.06</v>
      </c>
      <c r="BP24" s="450">
        <v>3898.87</v>
      </c>
      <c r="BQ24" s="450">
        <v>3923.69</v>
      </c>
      <c r="BR24" s="450">
        <v>3959.71</v>
      </c>
      <c r="BS24" s="615">
        <f t="array" ref="BS24">XLOOKUP(D24,'PL TOTAL XP'!A:A,'PL TOTAL XP'!C:C,"0")</f>
        <v>0</v>
      </c>
      <c r="BT24" s="616"/>
    </row>
    <row r="25" ht="15.75" customHeight="1">
      <c r="A25" s="183" t="s">
        <v>3820</v>
      </c>
      <c r="B25" s="78" t="s">
        <v>3904</v>
      </c>
      <c r="C25" s="621" t="s">
        <v>3905</v>
      </c>
      <c r="D25" s="512">
        <v>97869.0</v>
      </c>
      <c r="E25" s="512" t="s">
        <v>2550</v>
      </c>
      <c r="F25" s="512" t="s">
        <v>29</v>
      </c>
      <c r="G25" s="512" t="s">
        <v>2550</v>
      </c>
      <c r="H25" s="512" t="str">
        <f>IFERROR(VLOOKUP(G25,'Cadastro de assessores'!A:B,2,FALSE),"Não Cadastrado")</f>
        <v>18986</v>
      </c>
      <c r="I25" s="512" t="s">
        <v>3851</v>
      </c>
      <c r="J25" s="51" t="s">
        <v>3823</v>
      </c>
      <c r="K25" s="522" t="s">
        <v>107</v>
      </c>
      <c r="L25" s="610">
        <v>44218.0</v>
      </c>
      <c r="M25" s="610">
        <v>44218.0</v>
      </c>
      <c r="N25" s="522"/>
      <c r="O25" s="522" t="s">
        <v>3828</v>
      </c>
      <c r="P25" s="612">
        <v>0.015</v>
      </c>
      <c r="Q25" s="620"/>
      <c r="R25" s="613"/>
      <c r="S25" s="522" t="str">
        <f t="shared" si="4"/>
        <v/>
      </c>
      <c r="T25" s="522" t="s">
        <v>108</v>
      </c>
      <c r="U25" s="522" t="s">
        <v>2602</v>
      </c>
      <c r="V25" s="522" t="s">
        <v>29</v>
      </c>
      <c r="W25" s="614"/>
      <c r="X25" s="614"/>
      <c r="Y25" s="614"/>
      <c r="Z25" s="614"/>
      <c r="AA25" s="614"/>
      <c r="AB25" s="614"/>
      <c r="AC25" s="614"/>
      <c r="AD25" s="614"/>
      <c r="AE25" s="614"/>
      <c r="AF25" s="614"/>
      <c r="AG25" s="614"/>
      <c r="AH25" s="614"/>
      <c r="AI25" s="614" t="s">
        <v>3830</v>
      </c>
      <c r="AJ25" s="614" t="s">
        <v>3830</v>
      </c>
      <c r="AK25" s="450">
        <v>115943.78</v>
      </c>
      <c r="AL25" s="450">
        <v>369135.68</v>
      </c>
      <c r="AM25" s="450">
        <v>163967.03</v>
      </c>
      <c r="AN25" s="450">
        <v>164324.57</v>
      </c>
      <c r="AO25" s="450">
        <v>168508.7</v>
      </c>
      <c r="AP25" s="450">
        <v>169484.21</v>
      </c>
      <c r="AQ25" s="450">
        <v>168835.53</v>
      </c>
      <c r="AR25" s="450">
        <v>172591.57</v>
      </c>
      <c r="AS25" s="450">
        <v>171439.82</v>
      </c>
      <c r="AT25" s="450">
        <v>168018.81</v>
      </c>
      <c r="AU25" s="450">
        <v>166976.08</v>
      </c>
      <c r="AV25" s="450">
        <v>164044.25</v>
      </c>
      <c r="AW25" s="450">
        <v>158768.71</v>
      </c>
      <c r="AX25" s="450">
        <v>158857.02</v>
      </c>
      <c r="AY25" s="450">
        <v>160919.97</v>
      </c>
      <c r="AZ25" s="450">
        <v>164311.6</v>
      </c>
      <c r="BA25" s="450">
        <v>165435.02</v>
      </c>
      <c r="BB25" s="450">
        <v>171561.3</v>
      </c>
      <c r="BC25" s="450"/>
      <c r="BD25" s="450">
        <v>170632.13</v>
      </c>
      <c r="BE25" s="450">
        <v>170023.95</v>
      </c>
      <c r="BF25" s="450">
        <v>172501.33</v>
      </c>
      <c r="BG25" s="450">
        <v>173236.4658</v>
      </c>
      <c r="BH25" s="450">
        <v>174010.16</v>
      </c>
      <c r="BI25" s="450">
        <v>179769.65</v>
      </c>
      <c r="BJ25" s="450">
        <v>179139.56</v>
      </c>
      <c r="BK25" s="450">
        <v>180104.75</v>
      </c>
      <c r="BL25" s="450">
        <v>181741.75</v>
      </c>
      <c r="BM25" s="450">
        <v>155111.39</v>
      </c>
      <c r="BN25" s="450">
        <v>0.0</v>
      </c>
      <c r="BO25" s="450">
        <v>0.0</v>
      </c>
      <c r="BP25" s="450">
        <v>0.0</v>
      </c>
      <c r="BQ25" s="450">
        <v>0.0</v>
      </c>
      <c r="BR25" s="450">
        <v>0.0</v>
      </c>
      <c r="BS25" s="615" t="str">
        <f t="array" ref="BS25">XLOOKUP(D25,'PL TOTAL XP'!A:A,'PL TOTAL XP'!C:C,"0")</f>
        <v>0</v>
      </c>
      <c r="BT25" s="616"/>
    </row>
    <row r="26" ht="15.75" customHeight="1">
      <c r="A26" s="183" t="s">
        <v>3820</v>
      </c>
      <c r="B26" s="78" t="s">
        <v>3906</v>
      </c>
      <c r="C26" s="564" t="s">
        <v>3907</v>
      </c>
      <c r="D26" s="566">
        <v>5959474.0</v>
      </c>
      <c r="E26" s="522" t="s">
        <v>18</v>
      </c>
      <c r="F26" s="511" t="s">
        <v>19</v>
      </c>
      <c r="G26" s="522" t="s">
        <v>256</v>
      </c>
      <c r="H26" s="511" t="str">
        <f>IFERROR(VLOOKUP(G26,'Cadastro de assessores'!A:B,2,FALSE),"Não Cadastrado")</f>
        <v>18009</v>
      </c>
      <c r="I26" s="511" t="s">
        <v>3851</v>
      </c>
      <c r="J26" s="51" t="s">
        <v>186</v>
      </c>
      <c r="K26" s="522" t="s">
        <v>2563</v>
      </c>
      <c r="L26" s="619">
        <v>44405.0</v>
      </c>
      <c r="M26" s="619">
        <v>44405.0</v>
      </c>
      <c r="N26" s="566"/>
      <c r="O26" s="566" t="s">
        <v>3840</v>
      </c>
      <c r="P26" s="612">
        <v>0.025</v>
      </c>
      <c r="Q26" s="224"/>
      <c r="R26" s="613"/>
      <c r="S26" s="522" t="str">
        <f t="shared" si="4"/>
        <v/>
      </c>
      <c r="T26" s="522" t="s">
        <v>108</v>
      </c>
      <c r="U26" s="522" t="s">
        <v>2596</v>
      </c>
      <c r="V26" s="522" t="s">
        <v>3908</v>
      </c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614"/>
      <c r="AI26" s="614"/>
      <c r="AJ26" s="450"/>
      <c r="AK26" s="450"/>
      <c r="AL26" s="450"/>
      <c r="AM26" s="450"/>
      <c r="AN26" s="450"/>
      <c r="AO26" s="450"/>
      <c r="AP26" s="450"/>
      <c r="AQ26" s="450"/>
      <c r="AR26" s="450"/>
      <c r="AS26" s="468"/>
      <c r="AT26" s="449">
        <v>38940.84</v>
      </c>
      <c r="AU26" s="449">
        <v>37977.25</v>
      </c>
      <c r="AV26" s="450">
        <v>35890.83</v>
      </c>
      <c r="AW26" s="450">
        <v>33015.63</v>
      </c>
      <c r="AX26" s="450">
        <v>32611.57</v>
      </c>
      <c r="AY26" s="450">
        <v>33155.74</v>
      </c>
      <c r="AZ26" s="450">
        <v>35146.96</v>
      </c>
      <c r="BA26" s="450">
        <v>35605.08</v>
      </c>
      <c r="BB26" s="450">
        <v>37741.27</v>
      </c>
      <c r="BC26" s="450"/>
      <c r="BD26" s="450">
        <v>35606.26</v>
      </c>
      <c r="BE26" s="450" t="s">
        <v>2566</v>
      </c>
      <c r="BF26" s="450">
        <v>0.0</v>
      </c>
      <c r="BG26" s="450">
        <v>0.0</v>
      </c>
      <c r="BH26" s="450">
        <v>0.0</v>
      </c>
      <c r="BI26" s="450">
        <v>0.0</v>
      </c>
      <c r="BJ26" s="450">
        <v>0.0</v>
      </c>
      <c r="BK26" s="450">
        <v>0.0</v>
      </c>
      <c r="BL26" s="450">
        <v>0.0</v>
      </c>
      <c r="BM26" s="450">
        <v>0.0</v>
      </c>
      <c r="BN26" s="450">
        <v>0.0</v>
      </c>
      <c r="BO26" s="450">
        <v>0.0</v>
      </c>
      <c r="BP26" s="450">
        <v>0.0</v>
      </c>
      <c r="BQ26" s="450">
        <v>0.0</v>
      </c>
      <c r="BR26" s="450">
        <v>0.0</v>
      </c>
      <c r="BS26" s="615" t="str">
        <f t="array" ref="BS26">XLOOKUP(D26,'PL TOTAL XP'!A:A,'PL TOTAL XP'!C:C,"0")</f>
        <v>0</v>
      </c>
      <c r="BT26" s="616"/>
    </row>
    <row r="27" ht="15.75" customHeight="1">
      <c r="A27" s="183" t="s">
        <v>3820</v>
      </c>
      <c r="B27" s="78" t="s">
        <v>3909</v>
      </c>
      <c r="C27" s="617" t="s">
        <v>3910</v>
      </c>
      <c r="D27" s="522">
        <v>4701151.0</v>
      </c>
      <c r="E27" s="522" t="s">
        <v>18</v>
      </c>
      <c r="F27" s="522" t="s">
        <v>29</v>
      </c>
      <c r="G27" s="522" t="s">
        <v>3827</v>
      </c>
      <c r="H27" s="522" t="str">
        <f>IFERROR(VLOOKUP(G27,'Cadastro de assessores'!A:B,2,FALSE),"Não Cadastrado")</f>
        <v>17679</v>
      </c>
      <c r="I27" s="522"/>
      <c r="J27" s="51" t="s">
        <v>186</v>
      </c>
      <c r="K27" s="522" t="s">
        <v>2563</v>
      </c>
      <c r="L27" s="619">
        <v>44245.0</v>
      </c>
      <c r="M27" s="619">
        <v>44245.0</v>
      </c>
      <c r="N27" s="619">
        <v>44442.0</v>
      </c>
      <c r="O27" s="522" t="s">
        <v>3828</v>
      </c>
      <c r="P27" s="612">
        <v>0.015</v>
      </c>
      <c r="Q27" s="620" t="s">
        <v>3911</v>
      </c>
      <c r="R27" s="613"/>
      <c r="S27" s="522" t="str">
        <f t="shared" si="4"/>
        <v>Não Qualificado</v>
      </c>
      <c r="T27" s="522" t="s">
        <v>108</v>
      </c>
      <c r="U27" s="522" t="s">
        <v>2623</v>
      </c>
      <c r="V27" s="522" t="s">
        <v>29</v>
      </c>
      <c r="W27" s="614"/>
      <c r="X27" s="614"/>
      <c r="Y27" s="614"/>
      <c r="Z27" s="614"/>
      <c r="AA27" s="614"/>
      <c r="AB27" s="614"/>
      <c r="AC27" s="614"/>
      <c r="AD27" s="614"/>
      <c r="AE27" s="614"/>
      <c r="AF27" s="614"/>
      <c r="AG27" s="614"/>
      <c r="AH27" s="614"/>
      <c r="AI27" s="614"/>
      <c r="AJ27" s="614"/>
      <c r="AK27" s="450"/>
      <c r="AL27" s="450"/>
      <c r="AM27" s="450">
        <v>96886.21</v>
      </c>
      <c r="AN27" s="450">
        <v>96864.77</v>
      </c>
      <c r="AO27" s="450">
        <v>99825.95</v>
      </c>
      <c r="AP27" s="450">
        <v>100391.23</v>
      </c>
      <c r="AQ27" s="450">
        <v>100053.73</v>
      </c>
      <c r="AR27" s="450">
        <v>102215.22</v>
      </c>
      <c r="AS27" s="450">
        <v>101594.81</v>
      </c>
      <c r="AT27" s="450">
        <v>99699.55</v>
      </c>
      <c r="AU27" s="450">
        <v>99154.98</v>
      </c>
      <c r="AV27" s="450"/>
      <c r="AW27" s="450"/>
      <c r="AX27" s="450"/>
      <c r="AY27" s="450"/>
      <c r="AZ27" s="450"/>
      <c r="BA27" s="450">
        <v>0.0</v>
      </c>
      <c r="BB27" s="450">
        <v>0.0</v>
      </c>
      <c r="BC27" s="450">
        <v>128936.35</v>
      </c>
      <c r="BD27" s="450" t="s">
        <v>2566</v>
      </c>
      <c r="BE27" s="450" t="s">
        <v>2566</v>
      </c>
      <c r="BF27" s="450">
        <v>0.0</v>
      </c>
      <c r="BG27" s="450">
        <v>0.0</v>
      </c>
      <c r="BH27" s="450">
        <v>0.0</v>
      </c>
      <c r="BI27" s="450">
        <v>0.0</v>
      </c>
      <c r="BJ27" s="450">
        <v>0.0</v>
      </c>
      <c r="BK27" s="450">
        <v>0.0</v>
      </c>
      <c r="BL27" s="450">
        <v>0.0</v>
      </c>
      <c r="BM27" s="450">
        <v>0.0</v>
      </c>
      <c r="BN27" s="450">
        <v>0.0</v>
      </c>
      <c r="BO27" s="450">
        <v>0.0</v>
      </c>
      <c r="BP27" s="450">
        <v>0.0</v>
      </c>
      <c r="BQ27" s="450">
        <v>0.0</v>
      </c>
      <c r="BR27" s="450">
        <v>0.0</v>
      </c>
      <c r="BS27" s="615" t="str">
        <f t="array" ref="BS27">XLOOKUP(D27,'PL TOTAL XP'!A:A,'PL TOTAL XP'!C:C,"0")</f>
        <v>0</v>
      </c>
      <c r="BT27" s="616"/>
    </row>
    <row r="28" ht="15.75" customHeight="1">
      <c r="A28" s="183" t="s">
        <v>3820</v>
      </c>
      <c r="B28" s="78" t="s">
        <v>3912</v>
      </c>
      <c r="C28" s="617" t="s">
        <v>3913</v>
      </c>
      <c r="D28" s="522">
        <v>4711937.0</v>
      </c>
      <c r="E28" s="522" t="s">
        <v>105</v>
      </c>
      <c r="F28" s="522" t="s">
        <v>29</v>
      </c>
      <c r="G28" s="522" t="s">
        <v>3914</v>
      </c>
      <c r="H28" s="522" t="str">
        <f>IFERROR(VLOOKUP(G28,'Cadastro de assessores'!A:B,2,FALSE),"Não Cadastrado")</f>
        <v>14284</v>
      </c>
      <c r="I28" s="522"/>
      <c r="J28" s="51" t="s">
        <v>186</v>
      </c>
      <c r="K28" s="522" t="s">
        <v>2563</v>
      </c>
      <c r="L28" s="619">
        <v>44202.0</v>
      </c>
      <c r="M28" s="619">
        <v>44202.0</v>
      </c>
      <c r="N28" s="522" t="s">
        <v>3915</v>
      </c>
      <c r="O28" s="522" t="s">
        <v>3824</v>
      </c>
      <c r="P28" s="612">
        <v>0.02</v>
      </c>
      <c r="Q28" s="620" t="s">
        <v>3916</v>
      </c>
      <c r="R28" s="613"/>
      <c r="S28" s="522" t="str">
        <f t="shared" si="4"/>
        <v>Não Qualificado</v>
      </c>
      <c r="T28" s="522" t="s">
        <v>108</v>
      </c>
      <c r="U28" s="522" t="s">
        <v>2591</v>
      </c>
      <c r="V28" s="522" t="s">
        <v>29</v>
      </c>
      <c r="W28" s="614"/>
      <c r="X28" s="614"/>
      <c r="Y28" s="614"/>
      <c r="Z28" s="614"/>
      <c r="AA28" s="614"/>
      <c r="AB28" s="614"/>
      <c r="AC28" s="614"/>
      <c r="AD28" s="614"/>
      <c r="AE28" s="614"/>
      <c r="AF28" s="614"/>
      <c r="AG28" s="614"/>
      <c r="AH28" s="614"/>
      <c r="AI28" s="614"/>
      <c r="AJ28" s="614"/>
      <c r="AK28" s="450"/>
      <c r="AL28" s="450">
        <v>195090.84</v>
      </c>
      <c r="AM28" s="450">
        <v>187715.54</v>
      </c>
      <c r="AN28" s="450">
        <v>187485.57</v>
      </c>
      <c r="AO28" s="450">
        <v>195621.78</v>
      </c>
      <c r="AP28" s="450">
        <v>197272.33</v>
      </c>
      <c r="AQ28" s="450">
        <v>196049.93</v>
      </c>
      <c r="AR28" s="450">
        <v>202928.14</v>
      </c>
      <c r="AS28" s="450">
        <v>200256.6</v>
      </c>
      <c r="AT28" s="450">
        <v>193919.94</v>
      </c>
      <c r="AU28" s="450">
        <v>191767.5</v>
      </c>
      <c r="AV28" s="450">
        <v>185697.92</v>
      </c>
      <c r="AW28" s="450">
        <v>177793.09</v>
      </c>
      <c r="AX28" s="450">
        <v>139706.64</v>
      </c>
      <c r="AY28" s="450">
        <v>96399.59</v>
      </c>
      <c r="AZ28" s="450"/>
      <c r="BA28" s="450">
        <v>0.0</v>
      </c>
      <c r="BB28" s="450">
        <v>0.0</v>
      </c>
      <c r="BC28" s="450">
        <v>39418.34</v>
      </c>
      <c r="BD28" s="450" t="s">
        <v>2566</v>
      </c>
      <c r="BE28" s="450" t="s">
        <v>2566</v>
      </c>
      <c r="BF28" s="450">
        <v>0.0</v>
      </c>
      <c r="BG28" s="450">
        <v>0.0</v>
      </c>
      <c r="BH28" s="450">
        <v>0.0</v>
      </c>
      <c r="BI28" s="450">
        <v>0.0</v>
      </c>
      <c r="BJ28" s="450">
        <v>0.0</v>
      </c>
      <c r="BK28" s="450">
        <v>0.0</v>
      </c>
      <c r="BL28" s="450">
        <v>0.0</v>
      </c>
      <c r="BM28" s="450">
        <v>0.0</v>
      </c>
      <c r="BN28" s="450">
        <v>0.0</v>
      </c>
      <c r="BO28" s="450">
        <v>0.0</v>
      </c>
      <c r="BP28" s="450">
        <v>0.0</v>
      </c>
      <c r="BQ28" s="450">
        <v>0.0</v>
      </c>
      <c r="BR28" s="450">
        <v>0.0</v>
      </c>
      <c r="BS28" s="615" t="str">
        <f t="array" ref="BS28">XLOOKUP(D28,'PL TOTAL XP'!A:A,'PL TOTAL XP'!C:C,"0")</f>
        <v>0</v>
      </c>
      <c r="BT28" s="616"/>
    </row>
    <row r="29" ht="15.75" customHeight="1">
      <c r="A29" s="183" t="s">
        <v>3820</v>
      </c>
      <c r="B29" s="78" t="s">
        <v>3917</v>
      </c>
      <c r="C29" s="564" t="s">
        <v>3918</v>
      </c>
      <c r="D29" s="566">
        <v>5251498.0</v>
      </c>
      <c r="E29" s="512" t="s">
        <v>18</v>
      </c>
      <c r="F29" s="609" t="s">
        <v>19</v>
      </c>
      <c r="G29" s="512" t="s">
        <v>256</v>
      </c>
      <c r="H29" s="512" t="str">
        <f>IFERROR(VLOOKUP(G29,'Cadastro de assessores'!A:B,2,FALSE),"Não Cadastrado")</f>
        <v>18009</v>
      </c>
      <c r="I29" s="512"/>
      <c r="J29" s="51" t="s">
        <v>3823</v>
      </c>
      <c r="K29" s="522" t="s">
        <v>107</v>
      </c>
      <c r="L29" s="610">
        <v>44671.0</v>
      </c>
      <c r="M29" s="610">
        <v>44308.0</v>
      </c>
      <c r="N29" s="522"/>
      <c r="O29" s="522" t="s">
        <v>3840</v>
      </c>
      <c r="P29" s="612">
        <v>0.025</v>
      </c>
      <c r="Q29" s="224"/>
      <c r="R29" s="613"/>
      <c r="S29" s="522" t="str">
        <f t="shared" si="4"/>
        <v/>
      </c>
      <c r="T29" s="522" t="s">
        <v>108</v>
      </c>
      <c r="U29" s="522" t="s">
        <v>2619</v>
      </c>
      <c r="V29" s="566" t="s">
        <v>152</v>
      </c>
      <c r="W29" s="468"/>
      <c r="X29" s="468"/>
      <c r="Y29" s="46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50"/>
      <c r="AM29" s="450"/>
      <c r="AN29" s="450"/>
      <c r="AO29" s="450"/>
      <c r="AP29" s="450">
        <v>99413.12</v>
      </c>
      <c r="AQ29" s="450">
        <v>98282.49</v>
      </c>
      <c r="AR29" s="450">
        <v>103900.21</v>
      </c>
      <c r="AS29" s="450">
        <v>101484.62</v>
      </c>
      <c r="AT29" s="450">
        <v>96116.45</v>
      </c>
      <c r="AU29" s="450">
        <v>94096.92</v>
      </c>
      <c r="AV29" s="450">
        <v>88664.81</v>
      </c>
      <c r="AW29" s="450">
        <v>82049.96</v>
      </c>
      <c r="AX29" s="450">
        <v>81209.57</v>
      </c>
      <c r="AY29" s="450">
        <v>82486.52</v>
      </c>
      <c r="AZ29" s="450">
        <v>88378.28</v>
      </c>
      <c r="BA29" s="450">
        <v>89166.49</v>
      </c>
      <c r="BB29" s="450">
        <v>94891.31</v>
      </c>
      <c r="BC29" s="450"/>
      <c r="BD29" s="450">
        <v>89481.06</v>
      </c>
      <c r="BE29" s="450">
        <v>85465.52</v>
      </c>
      <c r="BF29" s="450">
        <v>90119.39</v>
      </c>
      <c r="BG29" s="450">
        <v>91444.67</v>
      </c>
      <c r="BH29" s="450">
        <v>89642.39</v>
      </c>
      <c r="BI29" s="450">
        <v>97387.51</v>
      </c>
      <c r="BJ29" s="450">
        <v>93998.24</v>
      </c>
      <c r="BK29" s="450">
        <v>93356.77</v>
      </c>
      <c r="BL29" s="450">
        <v>95762.9</v>
      </c>
      <c r="BM29" s="450">
        <v>92157.19</v>
      </c>
      <c r="BN29" s="450">
        <v>91325.47</v>
      </c>
      <c r="BO29" s="450">
        <v>90565.57</v>
      </c>
      <c r="BP29" s="450">
        <v>92344.64</v>
      </c>
      <c r="BQ29" s="450">
        <v>96934.01</v>
      </c>
      <c r="BR29" s="450">
        <v>0.0</v>
      </c>
      <c r="BS29" s="615" t="str">
        <f t="array" ref="BS29">XLOOKUP(D29,'PL TOTAL XP'!A:A,'PL TOTAL XP'!C:C,"0")</f>
        <v>0</v>
      </c>
      <c r="BT29" s="616"/>
    </row>
    <row r="30" ht="15.75" customHeight="1">
      <c r="A30" s="183" t="s">
        <v>3820</v>
      </c>
      <c r="B30" s="78" t="s">
        <v>314</v>
      </c>
      <c r="C30" s="621" t="s">
        <v>2644</v>
      </c>
      <c r="D30" s="512">
        <v>3403198.0</v>
      </c>
      <c r="E30" s="512" t="s">
        <v>18</v>
      </c>
      <c r="F30" s="512" t="s">
        <v>29</v>
      </c>
      <c r="G30" s="512" t="s">
        <v>373</v>
      </c>
      <c r="H30" s="512" t="str">
        <f>IFERROR(VLOOKUP(G30,'Cadastro de assessores'!A:B,2,FALSE),"Não Cadastrado")</f>
        <v>18993</v>
      </c>
      <c r="I30" s="512"/>
      <c r="J30" s="51" t="s">
        <v>3823</v>
      </c>
      <c r="K30" s="522" t="s">
        <v>107</v>
      </c>
      <c r="L30" s="610">
        <v>44188.0</v>
      </c>
      <c r="M30" s="610">
        <v>43675.0</v>
      </c>
      <c r="N30" s="522"/>
      <c r="O30" s="522" t="s">
        <v>3834</v>
      </c>
      <c r="P30" s="629">
        <v>1.0E-4</v>
      </c>
      <c r="Q30" s="620"/>
      <c r="R30" s="613"/>
      <c r="S30" s="522" t="str">
        <f t="shared" si="4"/>
        <v/>
      </c>
      <c r="T30" s="522" t="s">
        <v>108</v>
      </c>
      <c r="U30" s="522" t="s">
        <v>2591</v>
      </c>
      <c r="V30" s="522" t="s">
        <v>29</v>
      </c>
      <c r="W30" s="614" t="s">
        <v>3830</v>
      </c>
      <c r="X30" s="614" t="s">
        <v>3830</v>
      </c>
      <c r="Y30" s="614" t="s">
        <v>3830</v>
      </c>
      <c r="Z30" s="614" t="s">
        <v>3830</v>
      </c>
      <c r="AA30" s="614" t="s">
        <v>3830</v>
      </c>
      <c r="AB30" s="614" t="s">
        <v>3830</v>
      </c>
      <c r="AC30" s="614" t="s">
        <v>3830</v>
      </c>
      <c r="AD30" s="614" t="s">
        <v>3830</v>
      </c>
      <c r="AE30" s="614" t="s">
        <v>3830</v>
      </c>
      <c r="AF30" s="614" t="s">
        <v>3830</v>
      </c>
      <c r="AG30" s="614" t="s">
        <v>3830</v>
      </c>
      <c r="AH30" s="614"/>
      <c r="AI30" s="614"/>
      <c r="AJ30" s="614"/>
      <c r="AK30" s="450"/>
      <c r="AL30" s="450"/>
      <c r="AM30" s="450">
        <v>349437.65</v>
      </c>
      <c r="AN30" s="450">
        <v>350668.31</v>
      </c>
      <c r="AO30" s="450">
        <v>358395.3</v>
      </c>
      <c r="AP30" s="450">
        <v>475557.0</v>
      </c>
      <c r="AQ30" s="450">
        <v>476961.66</v>
      </c>
      <c r="AR30" s="450">
        <v>744057.52</v>
      </c>
      <c r="AS30" s="450">
        <v>739002.53</v>
      </c>
      <c r="AT30" s="450">
        <v>725600.33</v>
      </c>
      <c r="AU30" s="450">
        <v>713749.76</v>
      </c>
      <c r="AV30" s="450">
        <v>1219096.25</v>
      </c>
      <c r="AW30" s="450">
        <v>685634.25</v>
      </c>
      <c r="AX30" s="450">
        <v>669690.19</v>
      </c>
      <c r="AY30" s="450">
        <v>681523.28</v>
      </c>
      <c r="AZ30" s="450">
        <v>690523.35</v>
      </c>
      <c r="BA30" s="450">
        <v>681092.42</v>
      </c>
      <c r="BB30" s="450">
        <v>721330.63</v>
      </c>
      <c r="BC30" s="450"/>
      <c r="BD30" s="450">
        <v>1211442.63</v>
      </c>
      <c r="BE30" s="450">
        <v>1170781.43</v>
      </c>
      <c r="BF30" s="450">
        <v>1206989.31</v>
      </c>
      <c r="BG30" s="450">
        <v>1236418.08</v>
      </c>
      <c r="BH30" s="450">
        <v>1231761.34</v>
      </c>
      <c r="BI30" s="450">
        <v>1301969.04</v>
      </c>
      <c r="BJ30" s="450">
        <v>1290695.65</v>
      </c>
      <c r="BK30" s="450">
        <v>1289815.17</v>
      </c>
      <c r="BL30" s="450">
        <v>1307327.88</v>
      </c>
      <c r="BM30" s="450">
        <v>690123.72</v>
      </c>
      <c r="BN30" s="450">
        <v>669957.45</v>
      </c>
      <c r="BO30" s="450">
        <v>668590.21</v>
      </c>
      <c r="BP30" s="450">
        <v>650609.21</v>
      </c>
      <c r="BQ30" s="450">
        <v>671682.15</v>
      </c>
      <c r="BR30" s="450">
        <v>690180.51</v>
      </c>
      <c r="BS30" s="615">
        <f t="array" ref="BS30">XLOOKUP(D30,'PL TOTAL XP'!A:A,'PL TOTAL XP'!C:C,"0")</f>
        <v>0</v>
      </c>
      <c r="BT30" s="616"/>
    </row>
    <row r="31" ht="15.75" customHeight="1">
      <c r="A31" s="183" t="s">
        <v>3820</v>
      </c>
      <c r="B31" s="78" t="s">
        <v>3919</v>
      </c>
      <c r="C31" s="564" t="s">
        <v>3920</v>
      </c>
      <c r="D31" s="566">
        <v>8446035.0</v>
      </c>
      <c r="E31" s="512" t="s">
        <v>18</v>
      </c>
      <c r="F31" s="512" t="s">
        <v>19</v>
      </c>
      <c r="G31" s="566" t="s">
        <v>213</v>
      </c>
      <c r="H31" s="512" t="str">
        <f>IFERROR(VLOOKUP(G31,'Cadastro de assessores'!A:B,2,FALSE),"Não Cadastrado")</f>
        <v>17831</v>
      </c>
      <c r="I31" s="512" t="s">
        <v>3851</v>
      </c>
      <c r="J31" s="51" t="s">
        <v>3823</v>
      </c>
      <c r="K31" s="522" t="s">
        <v>147</v>
      </c>
      <c r="L31" s="512" t="s">
        <v>3921</v>
      </c>
      <c r="M31" s="610">
        <v>44692.0</v>
      </c>
      <c r="N31" s="566"/>
      <c r="O31" s="566" t="s">
        <v>3828</v>
      </c>
      <c r="P31" s="612">
        <v>0.015</v>
      </c>
      <c r="Q31" s="224" t="s">
        <v>3922</v>
      </c>
      <c r="R31" s="613"/>
      <c r="S31" s="522" t="str">
        <f t="shared" si="4"/>
        <v>Não Qualificado</v>
      </c>
      <c r="T31" s="522" t="s">
        <v>108</v>
      </c>
      <c r="U31" s="522" t="s">
        <v>2652</v>
      </c>
      <c r="V31" s="566" t="s">
        <v>19</v>
      </c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50"/>
      <c r="AL31" s="450"/>
      <c r="AM31" s="450"/>
      <c r="AN31" s="450"/>
      <c r="AO31" s="450"/>
      <c r="AP31" s="450"/>
      <c r="AQ31" s="468"/>
      <c r="AR31" s="449"/>
      <c r="AS31" s="450"/>
      <c r="AT31" s="450"/>
      <c r="AU31" s="450"/>
      <c r="AV31" s="450"/>
      <c r="AW31" s="450"/>
      <c r="AX31" s="450"/>
      <c r="AY31" s="450"/>
      <c r="AZ31" s="450"/>
      <c r="BA31" s="450"/>
      <c r="BB31" s="450"/>
      <c r="BC31" s="450">
        <v>216.25</v>
      </c>
      <c r="BD31" s="450" t="s">
        <v>2566</v>
      </c>
      <c r="BE31" s="450" t="s">
        <v>2566</v>
      </c>
      <c r="BF31" s="450">
        <v>0.0</v>
      </c>
      <c r="BG31" s="450">
        <v>0.0</v>
      </c>
      <c r="BH31" s="450">
        <v>0.0</v>
      </c>
      <c r="BI31" s="450">
        <v>0.0</v>
      </c>
      <c r="BJ31" s="450">
        <v>0.0</v>
      </c>
      <c r="BK31" s="450">
        <v>0.0</v>
      </c>
      <c r="BL31" s="450">
        <v>0.0</v>
      </c>
      <c r="BM31" s="450">
        <v>0.0</v>
      </c>
      <c r="BN31" s="450">
        <v>0.0</v>
      </c>
      <c r="BO31" s="450">
        <v>0.0</v>
      </c>
      <c r="BP31" s="450">
        <v>0.0</v>
      </c>
      <c r="BQ31" s="450">
        <v>0.0</v>
      </c>
      <c r="BR31" s="450">
        <v>0.0</v>
      </c>
      <c r="BS31" s="615">
        <f t="array" ref="BS31">XLOOKUP(D31,'PL TOTAL XP'!A:A,'PL TOTAL XP'!C:C,"0")</f>
        <v>0</v>
      </c>
      <c r="BT31" s="616"/>
    </row>
    <row r="32" ht="15.75" customHeight="1">
      <c r="A32" s="183" t="s">
        <v>3820</v>
      </c>
      <c r="B32" s="78" t="s">
        <v>317</v>
      </c>
      <c r="C32" s="621" t="s">
        <v>3923</v>
      </c>
      <c r="D32" s="512">
        <v>4425564.0</v>
      </c>
      <c r="E32" s="512" t="s">
        <v>18</v>
      </c>
      <c r="F32" s="512" t="s">
        <v>29</v>
      </c>
      <c r="G32" s="512" t="s">
        <v>294</v>
      </c>
      <c r="H32" s="512">
        <f>IFERROR(VLOOKUP(G32,'Cadastro de assessores'!A:B,2,FALSE),"Não Cadastrado")</f>
        <v>12359</v>
      </c>
      <c r="I32" s="512"/>
      <c r="J32" s="51" t="s">
        <v>3823</v>
      </c>
      <c r="K32" s="522" t="s">
        <v>107</v>
      </c>
      <c r="L32" s="610">
        <v>44076.0</v>
      </c>
      <c r="M32" s="610">
        <v>44076.0</v>
      </c>
      <c r="N32" s="522"/>
      <c r="O32" s="522" t="s">
        <v>3836</v>
      </c>
      <c r="P32" s="612">
        <v>0.012</v>
      </c>
      <c r="Q32" s="620" t="s">
        <v>3924</v>
      </c>
      <c r="R32" s="613"/>
      <c r="S32" s="522" t="str">
        <f t="shared" si="4"/>
        <v>Não Qualificado</v>
      </c>
      <c r="T32" s="522" t="s">
        <v>108</v>
      </c>
      <c r="U32" s="522" t="s">
        <v>2565</v>
      </c>
      <c r="V32" s="522" t="s">
        <v>29</v>
      </c>
      <c r="W32" s="614" t="s">
        <v>3830</v>
      </c>
      <c r="X32" s="614" t="s">
        <v>3830</v>
      </c>
      <c r="Y32" s="614" t="s">
        <v>3830</v>
      </c>
      <c r="Z32" s="614" t="s">
        <v>3830</v>
      </c>
      <c r="AA32" s="614" t="s">
        <v>3830</v>
      </c>
      <c r="AB32" s="614" t="s">
        <v>3830</v>
      </c>
      <c r="AC32" s="614" t="s">
        <v>3830</v>
      </c>
      <c r="AD32" s="614" t="s">
        <v>3830</v>
      </c>
      <c r="AE32" s="614" t="s">
        <v>3830</v>
      </c>
      <c r="AF32" s="614" t="s">
        <v>3830</v>
      </c>
      <c r="AG32" s="614" t="s">
        <v>3830</v>
      </c>
      <c r="AH32" s="614" t="s">
        <v>3925</v>
      </c>
      <c r="AI32" s="614" t="s">
        <v>3926</v>
      </c>
      <c r="AJ32" s="614" t="s">
        <v>3927</v>
      </c>
      <c r="AK32" s="450">
        <v>254941.98</v>
      </c>
      <c r="AL32" s="450">
        <v>253262.16</v>
      </c>
      <c r="AM32" s="450">
        <v>249263.64</v>
      </c>
      <c r="AN32" s="450">
        <v>248948.93</v>
      </c>
      <c r="AO32" s="450">
        <v>251186.63</v>
      </c>
      <c r="AP32" s="450">
        <v>251872.27</v>
      </c>
      <c r="AQ32" s="450">
        <v>251391.08</v>
      </c>
      <c r="AR32" s="450">
        <v>254760.48</v>
      </c>
      <c r="AS32" s="450">
        <v>254184.18</v>
      </c>
      <c r="AT32" s="450">
        <v>252202.53</v>
      </c>
      <c r="AU32" s="450">
        <v>251972.25</v>
      </c>
      <c r="AV32" s="450">
        <v>250092.59</v>
      </c>
      <c r="AW32" s="450">
        <v>244727.38</v>
      </c>
      <c r="AX32" s="450">
        <v>246998.73</v>
      </c>
      <c r="AY32" s="450">
        <v>250019.17</v>
      </c>
      <c r="AZ32" s="450">
        <v>253895.54</v>
      </c>
      <c r="BA32" s="450">
        <v>255364.64</v>
      </c>
      <c r="BB32" s="450">
        <v>262495.58</v>
      </c>
      <c r="BC32" s="450">
        <v>918261.13</v>
      </c>
      <c r="BD32" s="450">
        <v>266074.01</v>
      </c>
      <c r="BE32" s="450">
        <v>266511.04</v>
      </c>
      <c r="BF32" s="450">
        <v>270063.66</v>
      </c>
      <c r="BG32" s="450">
        <v>271001.3259</v>
      </c>
      <c r="BH32" s="450">
        <v>210219.07</v>
      </c>
      <c r="BI32" s="450">
        <v>215197.72</v>
      </c>
      <c r="BJ32" s="450">
        <v>215095.97</v>
      </c>
      <c r="BK32" s="450">
        <v>204777.37</v>
      </c>
      <c r="BL32" s="450">
        <v>207016.67</v>
      </c>
      <c r="BM32" s="450">
        <v>5.73</v>
      </c>
      <c r="BN32" s="450">
        <v>9.45</v>
      </c>
      <c r="BO32" s="450">
        <v>9.45</v>
      </c>
      <c r="BP32" s="450">
        <v>9.45</v>
      </c>
      <c r="BQ32" s="450">
        <v>9.45</v>
      </c>
      <c r="BR32" s="450">
        <v>9.45</v>
      </c>
      <c r="BS32" s="615">
        <f t="array" ref="BS32">XLOOKUP(D32,'PL TOTAL XP'!A:A,'PL TOTAL XP'!C:C,"0")</f>
        <v>0</v>
      </c>
      <c r="BT32" s="616"/>
    </row>
    <row r="33" ht="15.75" customHeight="1">
      <c r="A33" s="183" t="s">
        <v>3820</v>
      </c>
      <c r="B33" s="78" t="s">
        <v>320</v>
      </c>
      <c r="C33" s="564" t="s">
        <v>3928</v>
      </c>
      <c r="D33" s="566">
        <v>5613795.0</v>
      </c>
      <c r="E33" s="512" t="s">
        <v>18</v>
      </c>
      <c r="F33" s="609" t="s">
        <v>19</v>
      </c>
      <c r="G33" s="566" t="s">
        <v>213</v>
      </c>
      <c r="H33" s="566" t="str">
        <f>IFERROR(VLOOKUP(G33,'Cadastro de assessores'!A:B,2,FALSE),"Não Cadastrado")</f>
        <v>17831</v>
      </c>
      <c r="I33" s="566" t="s">
        <v>3851</v>
      </c>
      <c r="J33" s="51" t="s">
        <v>3823</v>
      </c>
      <c r="K33" s="522" t="s">
        <v>107</v>
      </c>
      <c r="L33" s="610">
        <v>44351.0</v>
      </c>
      <c r="M33" s="610">
        <v>44351.0</v>
      </c>
      <c r="N33" s="522"/>
      <c r="O33" s="522" t="s">
        <v>3828</v>
      </c>
      <c r="P33" s="612">
        <v>0.015</v>
      </c>
      <c r="Q33" s="224"/>
      <c r="R33" s="613"/>
      <c r="S33" s="522" t="str">
        <f t="shared" si="4"/>
        <v>Não Qualificado</v>
      </c>
      <c r="T33" s="522" t="s">
        <v>108</v>
      </c>
      <c r="U33" s="522" t="s">
        <v>3929</v>
      </c>
      <c r="V33" s="566" t="s">
        <v>19</v>
      </c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50"/>
      <c r="AL33" s="450"/>
      <c r="AM33" s="450"/>
      <c r="AN33" s="450"/>
      <c r="AO33" s="450"/>
      <c r="AP33" s="450"/>
      <c r="AQ33" s="468"/>
      <c r="AR33" s="449"/>
      <c r="AS33" s="450">
        <v>591790.74</v>
      </c>
      <c r="AT33" s="450">
        <v>580263.58</v>
      </c>
      <c r="AU33" s="450">
        <v>576592.41</v>
      </c>
      <c r="AV33" s="450">
        <v>566416.04</v>
      </c>
      <c r="AW33" s="450">
        <v>548375.7</v>
      </c>
      <c r="AX33" s="450">
        <v>547804.19</v>
      </c>
      <c r="AY33" s="450">
        <v>554567.83</v>
      </c>
      <c r="AZ33" s="450">
        <v>569903.58</v>
      </c>
      <c r="BA33" s="450">
        <v>575013.71</v>
      </c>
      <c r="BB33" s="450">
        <v>593874.88</v>
      </c>
      <c r="BC33" s="450">
        <v>902.16</v>
      </c>
      <c r="BD33" s="450">
        <v>588230.86</v>
      </c>
      <c r="BE33" s="450">
        <v>585525.8</v>
      </c>
      <c r="BF33" s="450">
        <v>595743.05</v>
      </c>
      <c r="BG33" s="450">
        <v>598695.0913</v>
      </c>
      <c r="BH33" s="450">
        <v>599894.14</v>
      </c>
      <c r="BI33" s="450">
        <v>614556.17</v>
      </c>
      <c r="BJ33" s="450">
        <v>621739.31</v>
      </c>
      <c r="BK33" s="450">
        <v>625782.7</v>
      </c>
      <c r="BL33" s="450">
        <v>143996.39</v>
      </c>
      <c r="BM33" s="450">
        <v>138481.49</v>
      </c>
      <c r="BN33" s="450">
        <v>24.75</v>
      </c>
      <c r="BO33" s="450">
        <v>24.75</v>
      </c>
      <c r="BP33" s="450">
        <v>24.75</v>
      </c>
      <c r="BQ33" s="450">
        <v>24.75</v>
      </c>
      <c r="BR33" s="450">
        <v>24.75</v>
      </c>
      <c r="BS33" s="615">
        <f t="array" ref="BS33">XLOOKUP(D33,'PL TOTAL XP'!A:A,'PL TOTAL XP'!C:C,"0")</f>
        <v>0</v>
      </c>
      <c r="BT33" s="616"/>
    </row>
    <row r="34" ht="15.75" customHeight="1">
      <c r="A34" s="183" t="s">
        <v>3820</v>
      </c>
      <c r="B34" s="78" t="s">
        <v>3930</v>
      </c>
      <c r="C34" s="564" t="s">
        <v>325</v>
      </c>
      <c r="D34" s="566">
        <v>429563.0</v>
      </c>
      <c r="E34" s="512" t="s">
        <v>18</v>
      </c>
      <c r="F34" s="512" t="s">
        <v>19</v>
      </c>
      <c r="G34" s="512" t="s">
        <v>20</v>
      </c>
      <c r="H34" s="566">
        <f>IFERROR(VLOOKUP(G34,'Cadastro de assessores'!A:B,2,FALSE),"Não Cadastrado")</f>
        <v>12331</v>
      </c>
      <c r="I34" s="512" t="s">
        <v>3851</v>
      </c>
      <c r="J34" s="51" t="s">
        <v>3823</v>
      </c>
      <c r="K34" s="522" t="s">
        <v>107</v>
      </c>
      <c r="L34" s="624">
        <v>44820.0</v>
      </c>
      <c r="M34" s="624">
        <v>44820.0</v>
      </c>
      <c r="N34" s="522"/>
      <c r="O34" s="522" t="s">
        <v>3828</v>
      </c>
      <c r="P34" s="612">
        <v>0.015</v>
      </c>
      <c r="Q34" s="620"/>
      <c r="R34" s="613"/>
      <c r="S34" s="522"/>
      <c r="T34" s="522"/>
      <c r="U34" s="522"/>
      <c r="V34" s="522" t="s">
        <v>19</v>
      </c>
      <c r="W34" s="614"/>
      <c r="X34" s="614"/>
      <c r="Y34" s="614"/>
      <c r="Z34" s="614"/>
      <c r="AA34" s="614"/>
      <c r="AB34" s="614"/>
      <c r="AC34" s="614"/>
      <c r="AD34" s="614"/>
      <c r="AE34" s="614"/>
      <c r="AF34" s="614"/>
      <c r="AG34" s="614"/>
      <c r="AH34" s="614"/>
      <c r="AI34" s="614"/>
      <c r="AJ34" s="614"/>
      <c r="AK34" s="450"/>
      <c r="AL34" s="450"/>
      <c r="AM34" s="450"/>
      <c r="AN34" s="450"/>
      <c r="AO34" s="450"/>
      <c r="AP34" s="450"/>
      <c r="AQ34" s="450"/>
      <c r="AR34" s="450"/>
      <c r="AS34" s="450"/>
      <c r="AT34" s="450"/>
      <c r="AU34" s="450"/>
      <c r="AV34" s="450"/>
      <c r="AW34" s="450"/>
      <c r="AX34" s="450"/>
      <c r="AY34" s="450"/>
      <c r="AZ34" s="450"/>
      <c r="BA34" s="450"/>
      <c r="BB34" s="450"/>
      <c r="BC34" s="450"/>
      <c r="BD34" s="450"/>
      <c r="BE34" s="450"/>
      <c r="BF34" s="450"/>
      <c r="BG34" s="450"/>
      <c r="BH34" s="450">
        <v>407621.49</v>
      </c>
      <c r="BI34" s="450">
        <v>424331.63</v>
      </c>
      <c r="BJ34" s="450">
        <v>424926.19</v>
      </c>
      <c r="BK34" s="450">
        <v>425582.54</v>
      </c>
      <c r="BL34" s="450">
        <v>424317.48</v>
      </c>
      <c r="BM34" s="450">
        <v>32166.13</v>
      </c>
      <c r="BN34" s="450">
        <v>549.65</v>
      </c>
      <c r="BO34" s="450">
        <v>0.0</v>
      </c>
      <c r="BP34" s="450">
        <v>0.0</v>
      </c>
      <c r="BQ34" s="450">
        <v>0.0</v>
      </c>
      <c r="BR34" s="450">
        <v>0.0</v>
      </c>
      <c r="BS34" s="615">
        <f t="array" ref="BS34">XLOOKUP(D34,'PL TOTAL XP'!A:A,'PL TOTAL XP'!C:C,"0")</f>
        <v>0</v>
      </c>
      <c r="BT34" s="616"/>
    </row>
    <row r="35" ht="15.75" customHeight="1">
      <c r="A35" s="183" t="s">
        <v>3820</v>
      </c>
      <c r="B35" s="78" t="s">
        <v>338</v>
      </c>
      <c r="C35" s="564" t="s">
        <v>336</v>
      </c>
      <c r="D35" s="566">
        <v>4085020.0</v>
      </c>
      <c r="E35" s="512" t="s">
        <v>18</v>
      </c>
      <c r="F35" s="512" t="s">
        <v>19</v>
      </c>
      <c r="G35" s="512" t="s">
        <v>122</v>
      </c>
      <c r="H35" s="512" t="s">
        <v>3931</v>
      </c>
      <c r="I35" s="512" t="s">
        <v>3851</v>
      </c>
      <c r="J35" s="46" t="s">
        <v>107</v>
      </c>
      <c r="K35" s="522" t="s">
        <v>107</v>
      </c>
      <c r="L35" s="624">
        <v>44767.0</v>
      </c>
      <c r="M35" s="624">
        <v>44767.0</v>
      </c>
      <c r="N35" s="522"/>
      <c r="O35" s="522" t="s">
        <v>3834</v>
      </c>
      <c r="P35" s="612">
        <v>0.007</v>
      </c>
      <c r="Q35" s="620" t="s">
        <v>3932</v>
      </c>
      <c r="R35" s="613"/>
      <c r="S35" s="522" t="s">
        <v>119</v>
      </c>
      <c r="T35" s="522" t="s">
        <v>108</v>
      </c>
      <c r="U35" s="522" t="s">
        <v>2652</v>
      </c>
      <c r="V35" s="522" t="s">
        <v>19</v>
      </c>
      <c r="W35" s="614"/>
      <c r="X35" s="614"/>
      <c r="Y35" s="614"/>
      <c r="Z35" s="614"/>
      <c r="AA35" s="614"/>
      <c r="AB35" s="614"/>
      <c r="AC35" s="614"/>
      <c r="AD35" s="614"/>
      <c r="AE35" s="614"/>
      <c r="AF35" s="614"/>
      <c r="AG35" s="614"/>
      <c r="AH35" s="614"/>
      <c r="AI35" s="614"/>
      <c r="AJ35" s="614"/>
      <c r="AK35" s="450"/>
      <c r="AL35" s="450"/>
      <c r="AM35" s="450"/>
      <c r="AN35" s="450"/>
      <c r="AO35" s="450"/>
      <c r="AP35" s="450"/>
      <c r="AQ35" s="450"/>
      <c r="AR35" s="450"/>
      <c r="AS35" s="450"/>
      <c r="AT35" s="450"/>
      <c r="AU35" s="450"/>
      <c r="AV35" s="450"/>
      <c r="AW35" s="450"/>
      <c r="AX35" s="450"/>
      <c r="AY35" s="450"/>
      <c r="AZ35" s="450"/>
      <c r="BA35" s="450"/>
      <c r="BB35" s="450"/>
      <c r="BC35" s="450"/>
      <c r="BD35" s="450" t="s">
        <v>2566</v>
      </c>
      <c r="BE35" s="450" t="s">
        <v>2566</v>
      </c>
      <c r="BF35" s="450">
        <v>31252.78</v>
      </c>
      <c r="BG35" s="450">
        <v>31613.26501</v>
      </c>
      <c r="BH35" s="450">
        <v>25479.87</v>
      </c>
      <c r="BI35" s="450">
        <v>25721.85</v>
      </c>
      <c r="BJ35" s="450">
        <v>19838.91</v>
      </c>
      <c r="BK35" s="450">
        <v>19997.22</v>
      </c>
      <c r="BL35" s="450">
        <v>14121.87</v>
      </c>
      <c r="BM35" s="450">
        <v>8703.53</v>
      </c>
      <c r="BN35" s="450">
        <v>3353.39</v>
      </c>
      <c r="BO35" s="450">
        <v>3383.83</v>
      </c>
      <c r="BP35" s="450">
        <v>3382.7</v>
      </c>
      <c r="BQ35" s="450">
        <v>3402.97</v>
      </c>
      <c r="BR35" s="450">
        <v>3439.16</v>
      </c>
      <c r="BS35" s="615">
        <f t="array" ref="BS35">XLOOKUP(D35,'PL TOTAL XP'!A:A,'PL TOTAL XP'!C:C,"0")</f>
        <v>3479.5</v>
      </c>
      <c r="BT35" s="616"/>
    </row>
    <row r="36" ht="15.75" customHeight="1">
      <c r="A36" s="183" t="s">
        <v>3820</v>
      </c>
      <c r="B36" s="78" t="s">
        <v>3933</v>
      </c>
      <c r="C36" s="564" t="s">
        <v>3934</v>
      </c>
      <c r="D36" s="566">
        <v>6582452.0</v>
      </c>
      <c r="E36" s="512" t="s">
        <v>18</v>
      </c>
      <c r="F36" s="609" t="s">
        <v>19</v>
      </c>
      <c r="G36" s="512" t="s">
        <v>256</v>
      </c>
      <c r="H36" s="566" t="str">
        <f>IFERROR(VLOOKUP(G36,'Cadastro de assessores'!A:B,2,FALSE),"Não Cadastrado")</f>
        <v>18009</v>
      </c>
      <c r="I36" s="512" t="s">
        <v>3851</v>
      </c>
      <c r="J36" s="51" t="s">
        <v>186</v>
      </c>
      <c r="K36" s="522" t="s">
        <v>107</v>
      </c>
      <c r="L36" s="567">
        <v>44454.0</v>
      </c>
      <c r="M36" s="567">
        <v>44460.0</v>
      </c>
      <c r="N36" s="630">
        <v>44838.0</v>
      </c>
      <c r="O36" s="627" t="s">
        <v>3935</v>
      </c>
      <c r="P36" s="612">
        <v>0.008</v>
      </c>
      <c r="Q36" s="224" t="s">
        <v>3936</v>
      </c>
      <c r="R36" s="613"/>
      <c r="S36" s="522" t="str">
        <f t="shared" ref="S36:S37" si="5">IF(BC36&lt;=0,"",IF(BC36&lt;=1000000,"Não Qualificado",IF(AND(BC36&gt;1000000,BC36&lt;=10000000),"Qualificado","Profissional")))</f>
        <v>Não Qualificado</v>
      </c>
      <c r="T36" s="522" t="s">
        <v>108</v>
      </c>
      <c r="U36" s="522" t="s">
        <v>2619</v>
      </c>
      <c r="V36" s="566" t="s">
        <v>152</v>
      </c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614"/>
      <c r="AH36" s="614"/>
      <c r="AI36" s="614"/>
      <c r="AJ36" s="450"/>
      <c r="AK36" s="450"/>
      <c r="AL36" s="450"/>
      <c r="AM36" s="450"/>
      <c r="AN36" s="450"/>
      <c r="AO36" s="450"/>
      <c r="AP36" s="450"/>
      <c r="AQ36" s="450"/>
      <c r="AR36" s="450"/>
      <c r="AS36" s="450"/>
      <c r="AT36" s="450"/>
      <c r="AU36" s="468"/>
      <c r="AV36" s="450"/>
      <c r="AW36" s="450" t="s">
        <v>3937</v>
      </c>
      <c r="AX36" s="450">
        <v>1012285.33</v>
      </c>
      <c r="AY36" s="450">
        <v>1019262.4</v>
      </c>
      <c r="AZ36" s="450">
        <v>1026250.25</v>
      </c>
      <c r="BA36" s="450">
        <v>1034164.92</v>
      </c>
      <c r="BB36" s="450">
        <v>1046873.4</v>
      </c>
      <c r="BC36" s="450">
        <v>352.33</v>
      </c>
      <c r="BD36" s="450">
        <v>1066405.59</v>
      </c>
      <c r="BE36" s="450">
        <v>102419.4</v>
      </c>
      <c r="BF36" s="450">
        <v>103121.06</v>
      </c>
      <c r="BG36" s="450">
        <v>103618.6016</v>
      </c>
      <c r="BH36" s="450">
        <v>104144.81</v>
      </c>
      <c r="BI36" s="450">
        <v>0.0</v>
      </c>
      <c r="BJ36" s="450">
        <v>0.0</v>
      </c>
      <c r="BK36" s="450">
        <v>0.0</v>
      </c>
      <c r="BL36" s="450">
        <v>0.0</v>
      </c>
      <c r="BM36" s="450">
        <v>0.0</v>
      </c>
      <c r="BN36" s="450">
        <v>0.0</v>
      </c>
      <c r="BO36" s="450">
        <v>0.0</v>
      </c>
      <c r="BP36" s="450">
        <v>0.0</v>
      </c>
      <c r="BQ36" s="450">
        <v>0.0</v>
      </c>
      <c r="BR36" s="450">
        <v>0.0</v>
      </c>
      <c r="BS36" s="615" t="str">
        <f t="array" ref="BS36">XLOOKUP(D36,'PL TOTAL XP'!A:A,'PL TOTAL XP'!C:C,"0")</f>
        <v>0</v>
      </c>
      <c r="BT36" s="616"/>
    </row>
    <row r="37" ht="15.75" customHeight="1">
      <c r="A37" s="183" t="s">
        <v>3820</v>
      </c>
      <c r="B37" s="78" t="s">
        <v>3938</v>
      </c>
      <c r="C37" s="564" t="s">
        <v>3939</v>
      </c>
      <c r="D37" s="522">
        <v>4432780.0</v>
      </c>
      <c r="E37" s="512" t="s">
        <v>18</v>
      </c>
      <c r="F37" s="512" t="s">
        <v>19</v>
      </c>
      <c r="G37" s="512" t="s">
        <v>256</v>
      </c>
      <c r="H37" s="512" t="str">
        <f>IFERROR(VLOOKUP(G37,'Cadastro de assessores'!A:B,2,FALSE),"Não Cadastrado")</f>
        <v>18009</v>
      </c>
      <c r="I37" s="512" t="s">
        <v>3851</v>
      </c>
      <c r="J37" s="51" t="s">
        <v>3823</v>
      </c>
      <c r="K37" s="522" t="s">
        <v>107</v>
      </c>
      <c r="L37" s="610">
        <v>44078.0</v>
      </c>
      <c r="M37" s="610">
        <v>44078.0</v>
      </c>
      <c r="N37" s="522"/>
      <c r="O37" s="522" t="s">
        <v>3840</v>
      </c>
      <c r="P37" s="612">
        <v>0.025</v>
      </c>
      <c r="Q37" s="622" t="s">
        <v>3940</v>
      </c>
      <c r="R37" s="613"/>
      <c r="S37" s="522" t="str">
        <f t="shared" si="5"/>
        <v>Não Qualificado</v>
      </c>
      <c r="T37" s="512" t="s">
        <v>369</v>
      </c>
      <c r="U37" s="512" t="s">
        <v>2623</v>
      </c>
      <c r="V37" s="512" t="s">
        <v>29</v>
      </c>
      <c r="W37" s="614" t="s">
        <v>3830</v>
      </c>
      <c r="X37" s="614" t="s">
        <v>3830</v>
      </c>
      <c r="Y37" s="614" t="s">
        <v>3830</v>
      </c>
      <c r="Z37" s="614" t="s">
        <v>3830</v>
      </c>
      <c r="AA37" s="614" t="s">
        <v>3830</v>
      </c>
      <c r="AB37" s="614" t="s">
        <v>3830</v>
      </c>
      <c r="AC37" s="614" t="s">
        <v>3830</v>
      </c>
      <c r="AD37" s="614" t="s">
        <v>3830</v>
      </c>
      <c r="AE37" s="614" t="s">
        <v>3830</v>
      </c>
      <c r="AF37" s="614" t="s">
        <v>3830</v>
      </c>
      <c r="AG37" s="614" t="s">
        <v>3830</v>
      </c>
      <c r="AH37" s="614" t="s">
        <v>3941</v>
      </c>
      <c r="AI37" s="614" t="s">
        <v>3942</v>
      </c>
      <c r="AJ37" s="614" t="s">
        <v>3943</v>
      </c>
      <c r="AK37" s="450">
        <v>111476.32</v>
      </c>
      <c r="AL37" s="450">
        <v>107002.08</v>
      </c>
      <c r="AM37" s="450">
        <v>97815.1</v>
      </c>
      <c r="AN37" s="450">
        <v>96658.02</v>
      </c>
      <c r="AO37" s="450">
        <v>104019.24</v>
      </c>
      <c r="AP37" s="450">
        <v>105400.11</v>
      </c>
      <c r="AQ37" s="450">
        <v>104315.0</v>
      </c>
      <c r="AR37" s="450">
        <v>110154.4</v>
      </c>
      <c r="AS37" s="450">
        <v>107647.1</v>
      </c>
      <c r="AT37" s="450">
        <v>102026.95</v>
      </c>
      <c r="AU37" s="450">
        <v>99908.48</v>
      </c>
      <c r="AV37" s="450">
        <v>94061.15</v>
      </c>
      <c r="AW37" s="450">
        <v>87282.93</v>
      </c>
      <c r="AX37" s="450">
        <v>86404.55</v>
      </c>
      <c r="AY37" s="450">
        <v>87970.72</v>
      </c>
      <c r="AZ37" s="450">
        <v>93749.27</v>
      </c>
      <c r="BA37" s="450">
        <v>94811.09</v>
      </c>
      <c r="BB37" s="450">
        <v>100691.32</v>
      </c>
      <c r="BC37" s="450">
        <v>46886.15</v>
      </c>
      <c r="BD37" s="450">
        <v>95564.32</v>
      </c>
      <c r="BE37" s="450">
        <v>90509.24</v>
      </c>
      <c r="BF37" s="450">
        <v>95193.14</v>
      </c>
      <c r="BG37" s="450">
        <v>96111.56</v>
      </c>
      <c r="BH37" s="450">
        <v>94926.1</v>
      </c>
      <c r="BI37" s="450">
        <v>104853.29</v>
      </c>
      <c r="BJ37" s="450">
        <v>102629.12</v>
      </c>
      <c r="BK37" s="450">
        <v>1683.08</v>
      </c>
      <c r="BL37" s="450">
        <v>1987.59</v>
      </c>
      <c r="BM37" s="450">
        <v>2110.67</v>
      </c>
      <c r="BN37" s="450">
        <v>2130.89</v>
      </c>
      <c r="BO37" s="450">
        <v>258.51</v>
      </c>
      <c r="BP37" s="450">
        <v>258.51</v>
      </c>
      <c r="BQ37" s="450">
        <v>258.51</v>
      </c>
      <c r="BR37" s="450">
        <v>258.51</v>
      </c>
      <c r="BS37" s="615" t="str">
        <f t="array" ref="BS37">XLOOKUP(D37,'PL TOTAL XP'!A:A,'PL TOTAL XP'!C:C,"0")</f>
        <v>0</v>
      </c>
      <c r="BT37" s="616"/>
    </row>
    <row r="38" ht="15.75" customHeight="1">
      <c r="A38" s="183" t="s">
        <v>3820</v>
      </c>
      <c r="B38" s="78" t="s">
        <v>3944</v>
      </c>
      <c r="C38" s="617" t="s">
        <v>3945</v>
      </c>
      <c r="D38" s="631">
        <v>8104478.0</v>
      </c>
      <c r="E38" s="512" t="s">
        <v>18</v>
      </c>
      <c r="F38" s="512" t="s">
        <v>19</v>
      </c>
      <c r="G38" s="512" t="s">
        <v>1805</v>
      </c>
      <c r="H38" s="512">
        <f>IFERROR(VLOOKUP(G38,'Cadastro de assessores'!A:B,2,FALSE),"Não Cadastrado")</f>
        <v>12350</v>
      </c>
      <c r="I38" s="512"/>
      <c r="J38" s="51" t="s">
        <v>3823</v>
      </c>
      <c r="K38" s="522" t="s">
        <v>107</v>
      </c>
      <c r="L38" s="624">
        <v>44798.0</v>
      </c>
      <c r="M38" s="624">
        <v>44812.0</v>
      </c>
      <c r="N38" s="566"/>
      <c r="O38" s="566" t="s">
        <v>3834</v>
      </c>
      <c r="P38" s="612">
        <v>0.01</v>
      </c>
      <c r="Q38" s="620" t="s">
        <v>3946</v>
      </c>
      <c r="R38" s="613"/>
      <c r="S38" s="522"/>
      <c r="T38" s="512"/>
      <c r="U38" s="512"/>
      <c r="V38" s="512" t="s">
        <v>19</v>
      </c>
      <c r="W38" s="614"/>
      <c r="X38" s="614"/>
      <c r="Y38" s="614"/>
      <c r="Z38" s="614"/>
      <c r="AA38" s="614"/>
      <c r="AB38" s="614"/>
      <c r="AC38" s="614"/>
      <c r="AD38" s="614"/>
      <c r="AE38" s="614"/>
      <c r="AF38" s="614"/>
      <c r="AG38" s="614"/>
      <c r="AH38" s="614"/>
      <c r="AI38" s="614"/>
      <c r="AJ38" s="614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>
        <v>0.0</v>
      </c>
      <c r="BH38" s="450">
        <v>212359.62</v>
      </c>
      <c r="BI38" s="450">
        <v>214441.51</v>
      </c>
      <c r="BJ38" s="450">
        <v>105516.56</v>
      </c>
      <c r="BK38" s="450">
        <v>106442.72</v>
      </c>
      <c r="BL38" s="450">
        <v>103408.42</v>
      </c>
      <c r="BM38" s="450">
        <v>94124.2</v>
      </c>
      <c r="BN38" s="450">
        <v>91425.48</v>
      </c>
      <c r="BO38" s="450">
        <v>72871.92</v>
      </c>
      <c r="BP38" s="450">
        <v>71580.65</v>
      </c>
      <c r="BQ38" s="450">
        <v>53980.23</v>
      </c>
      <c r="BR38" s="450">
        <v>49741.19</v>
      </c>
      <c r="BS38" s="615">
        <f t="array" ref="BS38">XLOOKUP(D38,'PL TOTAL XP'!A:A,'PL TOTAL XP'!C:C,"0")</f>
        <v>0</v>
      </c>
      <c r="BT38" s="616"/>
    </row>
    <row r="39" ht="15.75" customHeight="1">
      <c r="A39" s="183" t="s">
        <v>3820</v>
      </c>
      <c r="B39" s="78" t="s">
        <v>350</v>
      </c>
      <c r="C39" s="617" t="s">
        <v>347</v>
      </c>
      <c r="D39" s="522">
        <v>8039639.0</v>
      </c>
      <c r="E39" s="512" t="s">
        <v>18</v>
      </c>
      <c r="F39" s="512" t="s">
        <v>29</v>
      </c>
      <c r="G39" s="512" t="s">
        <v>168</v>
      </c>
      <c r="H39" s="512">
        <f>IFERROR(VLOOKUP(G39,'Cadastro de assessores'!A:B,2,FALSE),"Não Cadastrado")</f>
        <v>12344</v>
      </c>
      <c r="I39" s="512"/>
      <c r="J39" s="51" t="s">
        <v>3823</v>
      </c>
      <c r="K39" s="522" t="s">
        <v>107</v>
      </c>
      <c r="L39" s="624">
        <v>44631.0</v>
      </c>
      <c r="M39" s="624">
        <v>44636.0</v>
      </c>
      <c r="N39" s="566"/>
      <c r="O39" s="566" t="s">
        <v>3834</v>
      </c>
      <c r="P39" s="612">
        <v>0.007</v>
      </c>
      <c r="Q39" s="620"/>
      <c r="R39" s="613"/>
      <c r="S39" s="522" t="str">
        <f t="shared" ref="S39:S43" si="6">IF(BC39&lt;=0,"",IF(BC39&lt;=1000000,"Não Qualificado",IF(AND(BC39&gt;1000000,BC39&lt;=10000000),"Qualificado","Profissional")))</f>
        <v>Não Qualificado</v>
      </c>
      <c r="T39" s="512" t="s">
        <v>108</v>
      </c>
      <c r="U39" s="512" t="s">
        <v>2656</v>
      </c>
      <c r="V39" s="512" t="s">
        <v>29</v>
      </c>
      <c r="W39" s="614"/>
      <c r="X39" s="614"/>
      <c r="Y39" s="614"/>
      <c r="Z39" s="614"/>
      <c r="AA39" s="614"/>
      <c r="AB39" s="614"/>
      <c r="AC39" s="614"/>
      <c r="AD39" s="614"/>
      <c r="AE39" s="614"/>
      <c r="AF39" s="614"/>
      <c r="AG39" s="614"/>
      <c r="AH39" s="614"/>
      <c r="AI39" s="614"/>
      <c r="AJ39" s="614"/>
      <c r="AK39" s="450"/>
      <c r="AL39" s="450"/>
      <c r="AM39" s="450"/>
      <c r="AN39" s="450"/>
      <c r="AO39" s="450"/>
      <c r="AP39" s="450"/>
      <c r="AQ39" s="450"/>
      <c r="AR39" s="450"/>
      <c r="AS39" s="450"/>
      <c r="AT39" s="450"/>
      <c r="AU39" s="450"/>
      <c r="AV39" s="450"/>
      <c r="AW39" s="450"/>
      <c r="AX39" s="450"/>
      <c r="AY39" s="450"/>
      <c r="AZ39" s="450"/>
      <c r="BA39" s="450"/>
      <c r="BB39" s="450">
        <v>0.0</v>
      </c>
      <c r="BC39" s="450">
        <v>63.88</v>
      </c>
      <c r="BD39" s="450">
        <v>334289.04</v>
      </c>
      <c r="BE39" s="450">
        <v>578891.44</v>
      </c>
      <c r="BF39" s="450">
        <v>584400.29</v>
      </c>
      <c r="BG39" s="450">
        <v>589060.5586</v>
      </c>
      <c r="BH39" s="450">
        <v>691064.51</v>
      </c>
      <c r="BI39" s="450">
        <v>747693.54</v>
      </c>
      <c r="BJ39" s="450">
        <v>817792.38</v>
      </c>
      <c r="BK39" s="450">
        <v>890638.44</v>
      </c>
      <c r="BL39" s="450">
        <v>901050.89</v>
      </c>
      <c r="BM39" s="450">
        <v>908070.33</v>
      </c>
      <c r="BN39" s="450">
        <v>0.0</v>
      </c>
      <c r="BO39" s="450">
        <v>0.0</v>
      </c>
      <c r="BP39" s="450">
        <v>0.0</v>
      </c>
      <c r="BQ39" s="450">
        <v>0.0</v>
      </c>
      <c r="BR39" s="450">
        <v>0.0</v>
      </c>
      <c r="BS39" s="615">
        <f t="array" ref="BS39">XLOOKUP(D39,'PL TOTAL XP'!A:A,'PL TOTAL XP'!C:C,"0")</f>
        <v>0</v>
      </c>
      <c r="BT39" s="616"/>
    </row>
    <row r="40" ht="15.75" customHeight="1">
      <c r="A40" s="183" t="s">
        <v>3820</v>
      </c>
      <c r="B40" s="78" t="s">
        <v>3947</v>
      </c>
      <c r="C40" s="617" t="s">
        <v>3948</v>
      </c>
      <c r="D40" s="522">
        <v>4785856.0</v>
      </c>
      <c r="E40" s="512" t="s">
        <v>18</v>
      </c>
      <c r="F40" s="512" t="s">
        <v>29</v>
      </c>
      <c r="G40" s="512" t="s">
        <v>294</v>
      </c>
      <c r="H40" s="512">
        <f>IFERROR(VLOOKUP(G40,'Cadastro de assessores'!A:B,2,FALSE),"Não Cadastrado")</f>
        <v>12359</v>
      </c>
      <c r="I40" s="512"/>
      <c r="J40" s="51" t="s">
        <v>3823</v>
      </c>
      <c r="K40" s="522" t="s">
        <v>107</v>
      </c>
      <c r="L40" s="610">
        <v>44582.0</v>
      </c>
      <c r="M40" s="610">
        <v>44217.0</v>
      </c>
      <c r="N40" s="522"/>
      <c r="O40" s="522" t="s">
        <v>3828</v>
      </c>
      <c r="P40" s="612">
        <v>0.015</v>
      </c>
      <c r="Q40" s="620" t="s">
        <v>3924</v>
      </c>
      <c r="R40" s="613"/>
      <c r="S40" s="522" t="str">
        <f t="shared" si="6"/>
        <v>Não Qualificado</v>
      </c>
      <c r="T40" s="512" t="s">
        <v>108</v>
      </c>
      <c r="U40" s="512" t="s">
        <v>2623</v>
      </c>
      <c r="V40" s="512" t="s">
        <v>29</v>
      </c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 t="s">
        <v>3830</v>
      </c>
      <c r="AJ40" s="614"/>
      <c r="AK40" s="450" t="s">
        <v>2600</v>
      </c>
      <c r="AL40" s="450">
        <v>152098.12</v>
      </c>
      <c r="AM40" s="450">
        <v>212183.15</v>
      </c>
      <c r="AN40" s="450">
        <v>212893.36</v>
      </c>
      <c r="AO40" s="450">
        <v>219672.34</v>
      </c>
      <c r="AP40" s="450">
        <v>221052.67</v>
      </c>
      <c r="AQ40" s="450">
        <v>220134.52</v>
      </c>
      <c r="AR40" s="450">
        <v>225138.42</v>
      </c>
      <c r="AS40" s="450">
        <v>223601.47</v>
      </c>
      <c r="AT40" s="450">
        <v>219103.13</v>
      </c>
      <c r="AU40" s="450">
        <v>217685.2</v>
      </c>
      <c r="AV40" s="450">
        <v>214468.76</v>
      </c>
      <c r="AW40" s="450">
        <v>206493.98</v>
      </c>
      <c r="AX40" s="450">
        <v>206371.87</v>
      </c>
      <c r="AY40" s="450">
        <v>209003.05</v>
      </c>
      <c r="AZ40" s="450">
        <v>214283.91</v>
      </c>
      <c r="BA40" s="450">
        <v>215384.03</v>
      </c>
      <c r="BB40" s="450">
        <v>223670.57</v>
      </c>
      <c r="BC40" s="450">
        <v>55227.14</v>
      </c>
      <c r="BD40" s="450">
        <v>222534.91</v>
      </c>
      <c r="BE40" s="450">
        <v>221491.58</v>
      </c>
      <c r="BF40" s="450">
        <v>226027.03</v>
      </c>
      <c r="BG40" s="450">
        <v>227957.0567</v>
      </c>
      <c r="BH40" s="450">
        <v>228670.85</v>
      </c>
      <c r="BI40" s="450">
        <v>227193.58</v>
      </c>
      <c r="BJ40" s="450">
        <v>225784.41</v>
      </c>
      <c r="BK40" s="450">
        <v>227212.31</v>
      </c>
      <c r="BL40" s="450">
        <v>229599.32</v>
      </c>
      <c r="BM40" s="450">
        <v>230682.43</v>
      </c>
      <c r="BN40" s="450">
        <v>232794.05</v>
      </c>
      <c r="BO40" s="450">
        <v>234763.26</v>
      </c>
      <c r="BP40" s="450">
        <v>241792.95</v>
      </c>
      <c r="BQ40" s="450">
        <v>243387.67</v>
      </c>
      <c r="BR40" s="450">
        <v>245669.14</v>
      </c>
      <c r="BS40" s="615">
        <f t="array" ref="BS40">XLOOKUP(D40,'PL TOTAL XP'!A:A,'PL TOTAL XP'!C:C,"0")</f>
        <v>0</v>
      </c>
      <c r="BT40" s="616"/>
    </row>
    <row r="41" ht="15.75" customHeight="1">
      <c r="A41" s="183" t="s">
        <v>3820</v>
      </c>
      <c r="B41" s="78" t="s">
        <v>3949</v>
      </c>
      <c r="C41" s="564" t="s">
        <v>3950</v>
      </c>
      <c r="D41" s="566">
        <v>6456469.0</v>
      </c>
      <c r="E41" s="512" t="s">
        <v>18</v>
      </c>
      <c r="F41" s="609" t="s">
        <v>29</v>
      </c>
      <c r="G41" s="512" t="s">
        <v>704</v>
      </c>
      <c r="H41" s="512" t="str">
        <f>IFERROR(VLOOKUP(G41,'Cadastro de assessores'!A:B,2,FALSE),"Não Cadastrado")</f>
        <v>18467</v>
      </c>
      <c r="I41" s="512"/>
      <c r="J41" s="51" t="s">
        <v>186</v>
      </c>
      <c r="K41" s="522" t="s">
        <v>107</v>
      </c>
      <c r="L41" s="610">
        <v>44463.0</v>
      </c>
      <c r="M41" s="610">
        <v>44466.0</v>
      </c>
      <c r="N41" s="567">
        <v>45154.0</v>
      </c>
      <c r="O41" s="566" t="s">
        <v>3824</v>
      </c>
      <c r="P41" s="612">
        <v>0.02</v>
      </c>
      <c r="Q41" s="224" t="s">
        <v>3951</v>
      </c>
      <c r="R41" s="613"/>
      <c r="S41" s="522" t="str">
        <f t="shared" si="6"/>
        <v>Não Qualificado</v>
      </c>
      <c r="T41" s="522" t="s">
        <v>108</v>
      </c>
      <c r="U41" s="522" t="s">
        <v>2580</v>
      </c>
      <c r="V41" s="522" t="s">
        <v>29</v>
      </c>
      <c r="W41" s="468"/>
      <c r="X41" s="468"/>
      <c r="Y41" s="468"/>
      <c r="Z41" s="468"/>
      <c r="AA41" s="468"/>
      <c r="AB41" s="468"/>
      <c r="AC41" s="468"/>
      <c r="AD41" s="468"/>
      <c r="AE41" s="468"/>
      <c r="AF41" s="468"/>
      <c r="AG41" s="468"/>
      <c r="AH41" s="468"/>
      <c r="AI41" s="468"/>
      <c r="AJ41" s="450"/>
      <c r="AK41" s="450"/>
      <c r="AL41" s="450"/>
      <c r="AM41" s="450"/>
      <c r="AN41" s="450"/>
      <c r="AO41" s="450"/>
      <c r="AP41" s="450"/>
      <c r="AQ41" s="468"/>
      <c r="AR41" s="450"/>
      <c r="AS41" s="450"/>
      <c r="AT41" s="450"/>
      <c r="AU41" s="468"/>
      <c r="AV41" s="450">
        <v>595025.5</v>
      </c>
      <c r="AW41" s="450">
        <v>564798.26</v>
      </c>
      <c r="AX41" s="450">
        <v>562790.33</v>
      </c>
      <c r="AY41" s="450">
        <v>570846.75</v>
      </c>
      <c r="AZ41" s="450">
        <v>597369.41</v>
      </c>
      <c r="BA41" s="450">
        <v>601965.7</v>
      </c>
      <c r="BB41" s="450">
        <v>628441.87</v>
      </c>
      <c r="BC41" s="450">
        <v>264187.05</v>
      </c>
      <c r="BD41" s="450">
        <v>610203.51</v>
      </c>
      <c r="BE41" s="450">
        <v>597962.02</v>
      </c>
      <c r="BF41" s="450">
        <v>617040.8</v>
      </c>
      <c r="BG41" s="450">
        <v>628086.0346</v>
      </c>
      <c r="BH41" s="450">
        <v>623661.17</v>
      </c>
      <c r="BI41" s="450">
        <v>609116.98</v>
      </c>
      <c r="BJ41" s="450">
        <v>606827.0</v>
      </c>
      <c r="BK41" s="450">
        <v>608724.99</v>
      </c>
      <c r="BL41" s="450">
        <v>609322.72</v>
      </c>
      <c r="BM41" s="450">
        <v>606513.76</v>
      </c>
      <c r="BN41" s="450">
        <v>608754.28</v>
      </c>
      <c r="BO41" s="450">
        <v>612612.36</v>
      </c>
      <c r="BP41" s="450">
        <v>619174.71</v>
      </c>
      <c r="BQ41" s="450">
        <v>629656.14</v>
      </c>
      <c r="BR41" s="450">
        <v>640647.86</v>
      </c>
      <c r="BS41" s="615">
        <f t="array" ref="BS41">XLOOKUP(D41,'PL TOTAL XP'!A:A,'PL TOTAL XP'!C:C,"0")</f>
        <v>676425.01</v>
      </c>
      <c r="BT41" s="616"/>
    </row>
    <row r="42" ht="15.75" customHeight="1">
      <c r="A42" s="183" t="s">
        <v>3820</v>
      </c>
      <c r="B42" s="78" t="s">
        <v>3952</v>
      </c>
      <c r="C42" s="564" t="s">
        <v>3953</v>
      </c>
      <c r="D42" s="566">
        <v>5650271.0</v>
      </c>
      <c r="E42" s="522" t="s">
        <v>105</v>
      </c>
      <c r="F42" s="511" t="s">
        <v>29</v>
      </c>
      <c r="G42" s="511" t="s">
        <v>3660</v>
      </c>
      <c r="H42" s="511" t="str">
        <f>IFERROR(VLOOKUP(G42,'Cadastro de assessores'!A:B,2,FALSE),"Não Cadastrado")</f>
        <v>14574</v>
      </c>
      <c r="I42" s="511"/>
      <c r="J42" s="51" t="s">
        <v>186</v>
      </c>
      <c r="K42" s="522" t="s">
        <v>2563</v>
      </c>
      <c r="L42" s="619">
        <v>44362.0</v>
      </c>
      <c r="M42" s="619">
        <v>44362.0</v>
      </c>
      <c r="N42" s="619">
        <v>44680.0</v>
      </c>
      <c r="O42" s="522" t="s">
        <v>3836</v>
      </c>
      <c r="P42" s="612">
        <v>0.012</v>
      </c>
      <c r="Q42" s="224" t="s">
        <v>3954</v>
      </c>
      <c r="R42" s="613"/>
      <c r="S42" s="522" t="str">
        <f t="shared" si="6"/>
        <v/>
      </c>
      <c r="T42" s="522" t="s">
        <v>108</v>
      </c>
      <c r="U42" s="522" t="s">
        <v>2675</v>
      </c>
      <c r="V42" s="566" t="s">
        <v>29</v>
      </c>
      <c r="W42" s="468"/>
      <c r="X42" s="468"/>
      <c r="Y42" s="468"/>
      <c r="Z42" s="468"/>
      <c r="AA42" s="468"/>
      <c r="AB42" s="468"/>
      <c r="AC42" s="468"/>
      <c r="AD42" s="468"/>
      <c r="AE42" s="468"/>
      <c r="AF42" s="468"/>
      <c r="AG42" s="468"/>
      <c r="AH42" s="468"/>
      <c r="AI42" s="468"/>
      <c r="AJ42" s="468"/>
      <c r="AK42" s="450"/>
      <c r="AL42" s="450"/>
      <c r="AM42" s="450"/>
      <c r="AN42" s="450"/>
      <c r="AO42" s="450"/>
      <c r="AP42" s="450"/>
      <c r="AQ42" s="450"/>
      <c r="AR42" s="468"/>
      <c r="AS42" s="450">
        <v>253063.45</v>
      </c>
      <c r="AT42" s="450">
        <v>263755.96</v>
      </c>
      <c r="AU42" s="450">
        <v>260523.5</v>
      </c>
      <c r="AV42" s="450">
        <v>248814.02</v>
      </c>
      <c r="AW42" s="450">
        <v>216829.37</v>
      </c>
      <c r="AX42" s="450">
        <v>215871.04</v>
      </c>
      <c r="AY42" s="450">
        <v>218473.75</v>
      </c>
      <c r="AZ42" s="450">
        <v>228819.05</v>
      </c>
      <c r="BA42" s="450">
        <v>226727.27</v>
      </c>
      <c r="BB42" s="450">
        <v>161521.46</v>
      </c>
      <c r="BC42" s="450"/>
      <c r="BD42" s="450" t="s">
        <v>2566</v>
      </c>
      <c r="BE42" s="450" t="s">
        <v>2566</v>
      </c>
      <c r="BF42" s="450">
        <v>0.0</v>
      </c>
      <c r="BG42" s="450">
        <v>0.0</v>
      </c>
      <c r="BH42" s="450">
        <v>0.0</v>
      </c>
      <c r="BI42" s="450">
        <v>0.0</v>
      </c>
      <c r="BJ42" s="450">
        <v>0.0</v>
      </c>
      <c r="BK42" s="450">
        <v>0.0</v>
      </c>
      <c r="BL42" s="450">
        <v>0.0</v>
      </c>
      <c r="BM42" s="450">
        <v>0.0</v>
      </c>
      <c r="BN42" s="450">
        <v>0.0</v>
      </c>
      <c r="BO42" s="450">
        <v>0.0</v>
      </c>
      <c r="BP42" s="450">
        <v>0.0</v>
      </c>
      <c r="BQ42" s="450">
        <v>0.0</v>
      </c>
      <c r="BR42" s="450">
        <v>0.0</v>
      </c>
      <c r="BS42" s="615" t="str">
        <f t="array" ref="BS42">XLOOKUP(D42,'PL TOTAL XP'!A:A,'PL TOTAL XP'!C:C,"0")</f>
        <v>0</v>
      </c>
      <c r="BT42" s="616"/>
    </row>
    <row r="43" ht="15.75" customHeight="1">
      <c r="A43" s="183" t="s">
        <v>3820</v>
      </c>
      <c r="B43" s="78" t="s">
        <v>3955</v>
      </c>
      <c r="C43" s="564" t="s">
        <v>3956</v>
      </c>
      <c r="D43" s="566">
        <v>5167097.0</v>
      </c>
      <c r="E43" s="512" t="s">
        <v>18</v>
      </c>
      <c r="F43" s="609" t="s">
        <v>19</v>
      </c>
      <c r="G43" s="512" t="s">
        <v>256</v>
      </c>
      <c r="H43" s="609" t="str">
        <f>IFERROR(VLOOKUP(G43,'Cadastro de assessores'!A:B,2,FALSE),"Não Cadastrado")</f>
        <v>18009</v>
      </c>
      <c r="I43" s="609"/>
      <c r="J43" s="51" t="s">
        <v>3823</v>
      </c>
      <c r="K43" s="522" t="s">
        <v>107</v>
      </c>
      <c r="L43" s="610">
        <v>44295.0</v>
      </c>
      <c r="M43" s="610">
        <v>44298.0</v>
      </c>
      <c r="N43" s="522"/>
      <c r="O43" s="522" t="s">
        <v>3836</v>
      </c>
      <c r="P43" s="612">
        <v>0.012</v>
      </c>
      <c r="Q43" s="224" t="s">
        <v>3957</v>
      </c>
      <c r="R43" s="613"/>
      <c r="S43" s="522" t="str">
        <f t="shared" si="6"/>
        <v/>
      </c>
      <c r="T43" s="522" t="s">
        <v>108</v>
      </c>
      <c r="U43" s="522" t="s">
        <v>2596</v>
      </c>
      <c r="V43" s="522" t="s">
        <v>3908</v>
      </c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450"/>
      <c r="AL43" s="450"/>
      <c r="AM43" s="450"/>
      <c r="AN43" s="450"/>
      <c r="AO43" s="450"/>
      <c r="AP43" s="450">
        <v>55054.76</v>
      </c>
      <c r="AQ43" s="450">
        <v>54952.8</v>
      </c>
      <c r="AR43" s="450">
        <v>130044.64</v>
      </c>
      <c r="AS43" s="450">
        <v>116642.26</v>
      </c>
      <c r="AT43" s="450">
        <v>115821.65</v>
      </c>
      <c r="AU43" s="450">
        <v>115784.6</v>
      </c>
      <c r="AV43" s="450">
        <v>115292.28</v>
      </c>
      <c r="AW43" s="450">
        <v>113566.31</v>
      </c>
      <c r="AX43" s="450">
        <v>7783.84</v>
      </c>
      <c r="AY43" s="450">
        <v>2865.09</v>
      </c>
      <c r="AZ43" s="450">
        <v>2864.15</v>
      </c>
      <c r="BA43" s="450">
        <v>2871.24</v>
      </c>
      <c r="BB43" s="450">
        <v>2893.5</v>
      </c>
      <c r="BC43" s="450"/>
      <c r="BD43" s="450">
        <v>8.54</v>
      </c>
      <c r="BE43" s="450" t="s">
        <v>2566</v>
      </c>
      <c r="BF43" s="450">
        <v>2.96</v>
      </c>
      <c r="BG43" s="450">
        <v>0.0</v>
      </c>
      <c r="BH43" s="450">
        <v>0.0</v>
      </c>
      <c r="BI43" s="450">
        <v>0.0</v>
      </c>
      <c r="BJ43" s="450">
        <v>0.0</v>
      </c>
      <c r="BK43" s="450">
        <v>0.0</v>
      </c>
      <c r="BL43" s="450">
        <v>0.0</v>
      </c>
      <c r="BM43" s="450">
        <v>0.0</v>
      </c>
      <c r="BN43" s="450">
        <v>0.0</v>
      </c>
      <c r="BO43" s="450">
        <v>0.0</v>
      </c>
      <c r="BP43" s="450">
        <v>0.0</v>
      </c>
      <c r="BQ43" s="450">
        <v>0.0</v>
      </c>
      <c r="BR43" s="450">
        <v>0.0</v>
      </c>
      <c r="BS43" s="615">
        <f t="array" ref="BS43">XLOOKUP(D43,'PL TOTAL XP'!A:A,'PL TOTAL XP'!C:C,"0")</f>
        <v>0</v>
      </c>
      <c r="BT43" s="616"/>
    </row>
    <row r="44" ht="15.75" customHeight="1">
      <c r="A44" s="183" t="s">
        <v>3820</v>
      </c>
      <c r="B44" s="78" t="s">
        <v>3958</v>
      </c>
      <c r="C44" s="617" t="s">
        <v>3959</v>
      </c>
      <c r="D44" s="522">
        <v>3214407.0</v>
      </c>
      <c r="E44" s="512" t="s">
        <v>18</v>
      </c>
      <c r="F44" s="512" t="s">
        <v>19</v>
      </c>
      <c r="G44" s="512" t="s">
        <v>122</v>
      </c>
      <c r="H44" s="522" t="str">
        <f>IFERROR(VLOOKUP(G44,'Cadastro de assessores'!A:B,2,FALSE),"Não Cadastrado")</f>
        <v>18890</v>
      </c>
      <c r="I44" s="522"/>
      <c r="J44" s="51" t="s">
        <v>3823</v>
      </c>
      <c r="K44" s="522" t="s">
        <v>147</v>
      </c>
      <c r="L44" s="512" t="s">
        <v>2600</v>
      </c>
      <c r="M44" s="610"/>
      <c r="N44" s="522"/>
      <c r="O44" s="522" t="s">
        <v>3840</v>
      </c>
      <c r="P44" s="612">
        <v>0.025</v>
      </c>
      <c r="Q44" s="620"/>
      <c r="R44" s="613"/>
      <c r="S44" s="522"/>
      <c r="T44" s="522"/>
      <c r="U44" s="522"/>
      <c r="V44" s="522" t="s">
        <v>19</v>
      </c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614"/>
      <c r="AH44" s="614"/>
      <c r="AI44" s="614"/>
      <c r="AJ44" s="614"/>
      <c r="AK44" s="450"/>
      <c r="AL44" s="450"/>
      <c r="AM44" s="450"/>
      <c r="AN44" s="450"/>
      <c r="AO44" s="450"/>
      <c r="AP44" s="450"/>
      <c r="AQ44" s="450"/>
      <c r="AR44" s="450"/>
      <c r="AS44" s="450"/>
      <c r="AT44" s="450"/>
      <c r="AU44" s="450"/>
      <c r="AV44" s="450"/>
      <c r="AW44" s="450"/>
      <c r="AX44" s="450"/>
      <c r="AY44" s="450"/>
      <c r="AZ44" s="450"/>
      <c r="BA44" s="450"/>
      <c r="BB44" s="450"/>
      <c r="BC44" s="450"/>
      <c r="BD44" s="450"/>
      <c r="BE44" s="450"/>
      <c r="BF44" s="450">
        <v>0.0</v>
      </c>
      <c r="BG44" s="450">
        <v>0.0</v>
      </c>
      <c r="BH44" s="450">
        <v>0.0</v>
      </c>
      <c r="BI44" s="450">
        <v>0.0</v>
      </c>
      <c r="BJ44" s="450">
        <v>0.0</v>
      </c>
      <c r="BK44" s="450">
        <v>0.0</v>
      </c>
      <c r="BL44" s="450">
        <v>0.0</v>
      </c>
      <c r="BM44" s="450">
        <v>0.0</v>
      </c>
      <c r="BN44" s="450">
        <v>0.0</v>
      </c>
      <c r="BO44" s="450">
        <v>0.0</v>
      </c>
      <c r="BP44" s="450">
        <v>0.0</v>
      </c>
      <c r="BQ44" s="450">
        <v>0.0</v>
      </c>
      <c r="BR44" s="450">
        <v>0.0</v>
      </c>
      <c r="BS44" s="615">
        <f t="array" ref="BS44">XLOOKUP(D44,'PL TOTAL XP'!A:A,'PL TOTAL XP'!C:C,"0")</f>
        <v>0</v>
      </c>
      <c r="BT44" s="616"/>
    </row>
    <row r="45" ht="15.75" customHeight="1">
      <c r="A45" s="183" t="s">
        <v>3820</v>
      </c>
      <c r="B45" s="78" t="s">
        <v>3960</v>
      </c>
      <c r="C45" s="617" t="s">
        <v>3961</v>
      </c>
      <c r="D45" s="522">
        <v>2352697.0</v>
      </c>
      <c r="E45" s="522" t="s">
        <v>2550</v>
      </c>
      <c r="F45" s="522" t="s">
        <v>29</v>
      </c>
      <c r="G45" s="522" t="s">
        <v>2550</v>
      </c>
      <c r="H45" s="522" t="str">
        <f>IFERROR(VLOOKUP(G45,'Cadastro de assessores'!A:B,2,FALSE),"Não Cadastrado")</f>
        <v>18986</v>
      </c>
      <c r="I45" s="522"/>
      <c r="J45" s="51" t="s">
        <v>186</v>
      </c>
      <c r="K45" s="522" t="s">
        <v>2563</v>
      </c>
      <c r="L45" s="619">
        <v>43838.0</v>
      </c>
      <c r="M45" s="619">
        <v>43838.0</v>
      </c>
      <c r="N45" s="619">
        <v>44042.0</v>
      </c>
      <c r="O45" s="522" t="s">
        <v>3962</v>
      </c>
      <c r="P45" s="612">
        <v>0.025</v>
      </c>
      <c r="Q45" s="620" t="s">
        <v>3963</v>
      </c>
      <c r="R45" s="613"/>
      <c r="S45" s="522" t="str">
        <f>IF(BC45&lt;=0,"",IF(BC45&lt;=1000000,"Não Qualificado",IF(AND(BC45&gt;1000000,BC45&lt;=10000000),"Qualificado","Profissional")))</f>
        <v>Não Qualificado</v>
      </c>
      <c r="T45" s="522" t="s">
        <v>108</v>
      </c>
      <c r="U45" s="522" t="s">
        <v>2580</v>
      </c>
      <c r="V45" s="522" t="s">
        <v>29</v>
      </c>
      <c r="W45" s="614" t="s">
        <v>3830</v>
      </c>
      <c r="X45" s="614" t="s">
        <v>3830</v>
      </c>
      <c r="Y45" s="614" t="s">
        <v>3830</v>
      </c>
      <c r="Z45" s="614" t="s">
        <v>3964</v>
      </c>
      <c r="AA45" s="614" t="s">
        <v>3965</v>
      </c>
      <c r="AB45" s="614" t="s">
        <v>3966</v>
      </c>
      <c r="AC45" s="614" t="s">
        <v>3967</v>
      </c>
      <c r="AD45" s="614" t="s">
        <v>3968</v>
      </c>
      <c r="AE45" s="614" t="s">
        <v>3830</v>
      </c>
      <c r="AF45" s="614" t="s">
        <v>3830</v>
      </c>
      <c r="AG45" s="614" t="s">
        <v>3830</v>
      </c>
      <c r="AH45" s="614"/>
      <c r="AI45" s="614"/>
      <c r="AJ45" s="614"/>
      <c r="AK45" s="450"/>
      <c r="AL45" s="450"/>
      <c r="AM45" s="450" t="s">
        <v>2600</v>
      </c>
      <c r="AN45" s="450"/>
      <c r="AO45" s="450"/>
      <c r="AP45" s="450"/>
      <c r="AQ45" s="450"/>
      <c r="AR45" s="450"/>
      <c r="AS45" s="450"/>
      <c r="AT45" s="450"/>
      <c r="AU45" s="450"/>
      <c r="AV45" s="450"/>
      <c r="AW45" s="450"/>
      <c r="AX45" s="450"/>
      <c r="AY45" s="450"/>
      <c r="AZ45" s="450"/>
      <c r="BA45" s="450">
        <v>0.0</v>
      </c>
      <c r="BB45" s="450">
        <v>0.0</v>
      </c>
      <c r="BC45" s="450">
        <v>94507.37</v>
      </c>
      <c r="BD45" s="450" t="s">
        <v>2566</v>
      </c>
      <c r="BE45" s="450" t="s">
        <v>2566</v>
      </c>
      <c r="BF45" s="450">
        <v>0.0</v>
      </c>
      <c r="BG45" s="450">
        <v>0.0</v>
      </c>
      <c r="BH45" s="450">
        <v>0.0</v>
      </c>
      <c r="BI45" s="450">
        <v>0.0</v>
      </c>
      <c r="BJ45" s="450">
        <v>0.0</v>
      </c>
      <c r="BK45" s="450">
        <v>0.0</v>
      </c>
      <c r="BL45" s="450">
        <v>0.0</v>
      </c>
      <c r="BM45" s="450">
        <v>0.0</v>
      </c>
      <c r="BN45" s="450">
        <v>0.0</v>
      </c>
      <c r="BO45" s="450">
        <v>0.0</v>
      </c>
      <c r="BP45" s="450">
        <v>0.0</v>
      </c>
      <c r="BQ45" s="450">
        <v>0.0</v>
      </c>
      <c r="BR45" s="450">
        <v>0.0</v>
      </c>
      <c r="BS45" s="615" t="str">
        <f t="array" ref="BS45">XLOOKUP(D45,'PL TOTAL XP'!A:A,'PL TOTAL XP'!C:C,"0")</f>
        <v>0</v>
      </c>
      <c r="BT45" s="616"/>
    </row>
    <row r="46" ht="15.75" customHeight="1">
      <c r="A46" s="183" t="s">
        <v>3820</v>
      </c>
      <c r="B46" s="78" t="s">
        <v>3969</v>
      </c>
      <c r="C46" s="632" t="s">
        <v>3970</v>
      </c>
      <c r="D46" s="522">
        <v>3653911.0</v>
      </c>
      <c r="E46" s="512" t="s">
        <v>18</v>
      </c>
      <c r="F46" s="512" t="s">
        <v>19</v>
      </c>
      <c r="G46" s="512" t="s">
        <v>20</v>
      </c>
      <c r="H46" s="512"/>
      <c r="I46" s="512"/>
      <c r="J46" s="51" t="s">
        <v>3823</v>
      </c>
      <c r="K46" s="512"/>
      <c r="L46" s="610"/>
      <c r="M46" s="610">
        <v>44936.0</v>
      </c>
      <c r="N46" s="522"/>
      <c r="O46" s="522" t="s">
        <v>3834</v>
      </c>
      <c r="P46" s="612">
        <v>0.012</v>
      </c>
      <c r="Q46" s="620"/>
      <c r="R46" s="613"/>
      <c r="S46" s="522"/>
      <c r="T46" s="522"/>
      <c r="U46" s="522"/>
      <c r="V46" s="522" t="s">
        <v>19</v>
      </c>
      <c r="W46" s="614"/>
      <c r="X46" s="614"/>
      <c r="Y46" s="614"/>
      <c r="Z46" s="614"/>
      <c r="AA46" s="614"/>
      <c r="AB46" s="614"/>
      <c r="AC46" s="614"/>
      <c r="AD46" s="614"/>
      <c r="AE46" s="614"/>
      <c r="AF46" s="614"/>
      <c r="AG46" s="614"/>
      <c r="AH46" s="614"/>
      <c r="AI46" s="614"/>
      <c r="AJ46" s="614"/>
      <c r="AK46" s="450"/>
      <c r="AL46" s="450"/>
      <c r="AM46" s="450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>
        <v>168457.36</v>
      </c>
      <c r="BM46" s="450">
        <v>169543.1</v>
      </c>
      <c r="BN46" s="450">
        <v>0.0</v>
      </c>
      <c r="BO46" s="450">
        <v>0.0</v>
      </c>
      <c r="BP46" s="450">
        <v>0.0</v>
      </c>
      <c r="BQ46" s="450">
        <v>0.0</v>
      </c>
      <c r="BR46" s="450">
        <v>0.0</v>
      </c>
      <c r="BS46" s="615" t="str">
        <f t="array" ref="BS46">XLOOKUP(D46,'PL TOTAL XP'!A:A,'PL TOTAL XP'!C:C,"0")</f>
        <v>0</v>
      </c>
      <c r="BT46" s="616"/>
    </row>
    <row r="47" ht="15.75" customHeight="1">
      <c r="A47" s="183" t="s">
        <v>3820</v>
      </c>
      <c r="B47" s="78" t="s">
        <v>3971</v>
      </c>
      <c r="C47" s="617" t="s">
        <v>3972</v>
      </c>
      <c r="D47" s="522">
        <v>3022313.0</v>
      </c>
      <c r="E47" s="512" t="s">
        <v>18</v>
      </c>
      <c r="F47" s="512" t="s">
        <v>29</v>
      </c>
      <c r="G47" s="512" t="s">
        <v>3973</v>
      </c>
      <c r="H47" s="512" t="str">
        <f>IFERROR(VLOOKUP(G47,'Cadastro de assessores'!A:B,2,FALSE),"Não Cadastrado")</f>
        <v>16855</v>
      </c>
      <c r="I47" s="512"/>
      <c r="J47" s="46" t="s">
        <v>107</v>
      </c>
      <c r="K47" s="512" t="s">
        <v>107</v>
      </c>
      <c r="L47" s="610">
        <v>43964.0</v>
      </c>
      <c r="M47" s="610">
        <v>44061.0</v>
      </c>
      <c r="N47" s="522"/>
      <c r="O47" s="522" t="s">
        <v>3828</v>
      </c>
      <c r="P47" s="612">
        <v>0.015</v>
      </c>
      <c r="Q47" s="620"/>
      <c r="R47" s="613"/>
      <c r="S47" s="522" t="str">
        <f t="shared" ref="S47:S52" si="7">IF(BC47&lt;=0,"",IF(BC47&lt;=1000000,"Não Qualificado",IF(AND(BC47&gt;1000000,BC47&lt;=10000000),"Qualificado","Profissional")))</f>
        <v/>
      </c>
      <c r="T47" s="522" t="s">
        <v>108</v>
      </c>
      <c r="U47" s="522" t="s">
        <v>2656</v>
      </c>
      <c r="V47" s="522" t="s">
        <v>29</v>
      </c>
      <c r="W47" s="614" t="s">
        <v>3830</v>
      </c>
      <c r="X47" s="614" t="s">
        <v>3830</v>
      </c>
      <c r="Y47" s="614" t="s">
        <v>3830</v>
      </c>
      <c r="Z47" s="614" t="s">
        <v>3830</v>
      </c>
      <c r="AA47" s="614" t="s">
        <v>3830</v>
      </c>
      <c r="AB47" s="614" t="s">
        <v>3830</v>
      </c>
      <c r="AC47" s="614" t="s">
        <v>3830</v>
      </c>
      <c r="AD47" s="614" t="s">
        <v>3830</v>
      </c>
      <c r="AE47" s="614" t="s">
        <v>3830</v>
      </c>
      <c r="AF47" s="614" t="s">
        <v>3830</v>
      </c>
      <c r="AG47" s="614" t="s">
        <v>3974</v>
      </c>
      <c r="AH47" s="614" t="s">
        <v>3975</v>
      </c>
      <c r="AI47" s="614" t="s">
        <v>3976</v>
      </c>
      <c r="AJ47" s="614" t="s">
        <v>3977</v>
      </c>
      <c r="AK47" s="450">
        <v>264282.33</v>
      </c>
      <c r="AL47" s="450">
        <v>259652.78</v>
      </c>
      <c r="AM47" s="450">
        <v>250761.85</v>
      </c>
      <c r="AN47" s="450">
        <v>249943.51</v>
      </c>
      <c r="AO47" s="450">
        <v>256506.49</v>
      </c>
      <c r="AP47" s="450">
        <v>257775.89</v>
      </c>
      <c r="AQ47" s="450">
        <v>256677.18</v>
      </c>
      <c r="AR47" s="450">
        <v>262891.34</v>
      </c>
      <c r="AS47" s="450">
        <v>260843.68</v>
      </c>
      <c r="AT47" s="450">
        <v>255782.75</v>
      </c>
      <c r="AU47" s="450">
        <v>254073.72</v>
      </c>
      <c r="AV47" s="450">
        <v>250024.06</v>
      </c>
      <c r="AW47" s="450">
        <v>240848.67</v>
      </c>
      <c r="AX47" s="450">
        <v>241369.06</v>
      </c>
      <c r="AY47" s="450">
        <v>244712.09</v>
      </c>
      <c r="AZ47" s="450">
        <v>199796.93</v>
      </c>
      <c r="BA47" s="450">
        <v>201197.42</v>
      </c>
      <c r="BB47" s="450">
        <v>208485.71</v>
      </c>
      <c r="BC47" s="450"/>
      <c r="BD47" s="450">
        <v>207521.63</v>
      </c>
      <c r="BE47" s="450">
        <v>206710.08</v>
      </c>
      <c r="BF47" s="450">
        <v>183005.1</v>
      </c>
      <c r="BG47" s="450">
        <v>158591.5779</v>
      </c>
      <c r="BH47" s="450">
        <v>132849.49</v>
      </c>
      <c r="BI47" s="450">
        <v>113362.93</v>
      </c>
      <c r="BJ47" s="450">
        <v>91724.55</v>
      </c>
      <c r="BK47" s="450">
        <v>142725.15</v>
      </c>
      <c r="BL47" s="450">
        <v>144482.26</v>
      </c>
      <c r="BM47" s="450">
        <v>145475.22</v>
      </c>
      <c r="BN47" s="450">
        <v>146608.43</v>
      </c>
      <c r="BO47" s="450">
        <v>147629.36</v>
      </c>
      <c r="BP47" s="450">
        <v>149065.62</v>
      </c>
      <c r="BQ47" s="450">
        <v>150083.68</v>
      </c>
      <c r="BR47" s="450">
        <v>6052.38</v>
      </c>
      <c r="BS47" s="615">
        <f t="array" ref="BS47">XLOOKUP(D47,'PL TOTAL XP'!A:A,'PL TOTAL XP'!C:C,"0")</f>
        <v>161670.69</v>
      </c>
      <c r="BT47" s="616"/>
    </row>
    <row r="48" ht="15.75" customHeight="1">
      <c r="A48" s="183" t="s">
        <v>3820</v>
      </c>
      <c r="B48" s="78" t="s">
        <v>3978</v>
      </c>
      <c r="C48" s="617" t="s">
        <v>3979</v>
      </c>
      <c r="D48" s="522">
        <v>4744962.0</v>
      </c>
      <c r="E48" s="512" t="s">
        <v>2550</v>
      </c>
      <c r="F48" s="512" t="s">
        <v>29</v>
      </c>
      <c r="G48" s="512" t="s">
        <v>2551</v>
      </c>
      <c r="H48" s="512" t="str">
        <f>IFERROR(VLOOKUP(G48,'Cadastro de assessores'!A:B,2,FALSE),"Não Cadastrado")</f>
        <v>17573</v>
      </c>
      <c r="I48" s="512"/>
      <c r="J48" s="51" t="s">
        <v>3823</v>
      </c>
      <c r="K48" s="522" t="s">
        <v>147</v>
      </c>
      <c r="L48" s="512" t="s">
        <v>2600</v>
      </c>
      <c r="M48" s="625"/>
      <c r="N48" s="522"/>
      <c r="O48" s="522" t="s">
        <v>3836</v>
      </c>
      <c r="P48" s="612">
        <v>0.012</v>
      </c>
      <c r="Q48" s="620"/>
      <c r="R48" s="613"/>
      <c r="S48" s="522" t="str">
        <f t="shared" si="7"/>
        <v>Não Qualificado</v>
      </c>
      <c r="T48" s="522" t="s">
        <v>108</v>
      </c>
      <c r="U48" s="522" t="s">
        <v>2619</v>
      </c>
      <c r="V48" s="522" t="s">
        <v>152</v>
      </c>
      <c r="W48" s="614"/>
      <c r="X48" s="614"/>
      <c r="Y48" s="614"/>
      <c r="Z48" s="614"/>
      <c r="AA48" s="614"/>
      <c r="AB48" s="614"/>
      <c r="AC48" s="614"/>
      <c r="AD48" s="614"/>
      <c r="AE48" s="614"/>
      <c r="AF48" s="614"/>
      <c r="AG48" s="614"/>
      <c r="AH48" s="614"/>
      <c r="AI48" s="614"/>
      <c r="AJ48" s="614"/>
      <c r="AK48" s="450"/>
      <c r="AL48" s="450"/>
      <c r="AM48" s="450"/>
      <c r="AN48" s="450"/>
      <c r="AO48" s="450"/>
      <c r="AP48" s="450"/>
      <c r="AQ48" s="450"/>
      <c r="AR48" s="450"/>
      <c r="AS48" s="450"/>
      <c r="AT48" s="450"/>
      <c r="AU48" s="450"/>
      <c r="AV48" s="450"/>
      <c r="AW48" s="450"/>
      <c r="AX48" s="450"/>
      <c r="AY48" s="450"/>
      <c r="AZ48" s="450"/>
      <c r="BA48" s="450">
        <v>0.0</v>
      </c>
      <c r="BB48" s="450">
        <v>0.0</v>
      </c>
      <c r="BC48" s="450">
        <v>96030.62</v>
      </c>
      <c r="BD48" s="450" t="s">
        <v>2566</v>
      </c>
      <c r="BE48" s="450" t="s">
        <v>2566</v>
      </c>
      <c r="BF48" s="450">
        <v>0.0</v>
      </c>
      <c r="BG48" s="450">
        <v>0.0</v>
      </c>
      <c r="BH48" s="450">
        <v>0.0</v>
      </c>
      <c r="BI48" s="450">
        <v>0.0</v>
      </c>
      <c r="BJ48" s="450">
        <v>0.0</v>
      </c>
      <c r="BK48" s="450">
        <v>0.0</v>
      </c>
      <c r="BL48" s="450">
        <v>0.0</v>
      </c>
      <c r="BM48" s="450">
        <v>0.0</v>
      </c>
      <c r="BN48" s="450">
        <v>0.0</v>
      </c>
      <c r="BO48" s="450">
        <v>0.0</v>
      </c>
      <c r="BP48" s="450">
        <v>0.0</v>
      </c>
      <c r="BQ48" s="450">
        <v>0.0</v>
      </c>
      <c r="BR48" s="450">
        <v>0.0</v>
      </c>
      <c r="BS48" s="615">
        <f t="array" ref="BS48">XLOOKUP(D48,'PL TOTAL XP'!A:A,'PL TOTAL XP'!C:C,"0")</f>
        <v>0</v>
      </c>
      <c r="BT48" s="616"/>
    </row>
    <row r="49" ht="15.75" customHeight="1">
      <c r="A49" s="183" t="s">
        <v>3820</v>
      </c>
      <c r="B49" s="78" t="s">
        <v>3980</v>
      </c>
      <c r="C49" s="564" t="s">
        <v>3981</v>
      </c>
      <c r="D49" s="522">
        <v>4448534.0</v>
      </c>
      <c r="E49" s="512" t="s">
        <v>18</v>
      </c>
      <c r="F49" s="512" t="s">
        <v>19</v>
      </c>
      <c r="G49" s="512" t="s">
        <v>256</v>
      </c>
      <c r="H49" s="512" t="str">
        <f>IFERROR(VLOOKUP(G49,'Cadastro de assessores'!A:B,2,FALSE),"Não Cadastrado")</f>
        <v>18009</v>
      </c>
      <c r="I49" s="512"/>
      <c r="J49" s="51" t="s">
        <v>186</v>
      </c>
      <c r="K49" s="512" t="s">
        <v>107</v>
      </c>
      <c r="L49" s="610">
        <v>44090.0</v>
      </c>
      <c r="M49" s="610">
        <v>44090.0</v>
      </c>
      <c r="N49" s="619">
        <v>44942.0</v>
      </c>
      <c r="O49" s="522" t="s">
        <v>3840</v>
      </c>
      <c r="P49" s="612">
        <v>0.025</v>
      </c>
      <c r="Q49" s="620"/>
      <c r="R49" s="613"/>
      <c r="S49" s="522" t="str">
        <f t="shared" si="7"/>
        <v>Não Qualificado</v>
      </c>
      <c r="T49" s="522" t="s">
        <v>108</v>
      </c>
      <c r="U49" s="522" t="s">
        <v>2565</v>
      </c>
      <c r="V49" s="522" t="s">
        <v>29</v>
      </c>
      <c r="W49" s="614" t="s">
        <v>3830</v>
      </c>
      <c r="X49" s="614" t="s">
        <v>3830</v>
      </c>
      <c r="Y49" s="614" t="s">
        <v>3830</v>
      </c>
      <c r="Z49" s="614" t="s">
        <v>3830</v>
      </c>
      <c r="AA49" s="614" t="s">
        <v>3830</v>
      </c>
      <c r="AB49" s="614" t="s">
        <v>3830</v>
      </c>
      <c r="AC49" s="614" t="s">
        <v>3830</v>
      </c>
      <c r="AD49" s="614" t="s">
        <v>3830</v>
      </c>
      <c r="AE49" s="614" t="s">
        <v>3830</v>
      </c>
      <c r="AF49" s="614" t="s">
        <v>3830</v>
      </c>
      <c r="AG49" s="614" t="s">
        <v>3830</v>
      </c>
      <c r="AH49" s="614" t="s">
        <v>3982</v>
      </c>
      <c r="AI49" s="614" t="s">
        <v>3983</v>
      </c>
      <c r="AJ49" s="614" t="s">
        <v>3984</v>
      </c>
      <c r="AK49" s="450">
        <v>228444.35</v>
      </c>
      <c r="AL49" s="450">
        <v>219483.84</v>
      </c>
      <c r="AM49" s="450">
        <v>197886.96</v>
      </c>
      <c r="AN49" s="450">
        <v>195392.07</v>
      </c>
      <c r="AO49" s="450">
        <v>210963.63</v>
      </c>
      <c r="AP49" s="450">
        <v>213743.52</v>
      </c>
      <c r="AQ49" s="450">
        <v>211518.99</v>
      </c>
      <c r="AR49" s="450">
        <v>223582.59</v>
      </c>
      <c r="AS49" s="450">
        <v>218423.21</v>
      </c>
      <c r="AT49" s="450">
        <v>206889.21</v>
      </c>
      <c r="AU49" s="450">
        <v>202553.28</v>
      </c>
      <c r="AV49" s="450">
        <v>190760.77</v>
      </c>
      <c r="AW49" s="450">
        <v>176735.63</v>
      </c>
      <c r="AX49" s="450">
        <v>175057.39</v>
      </c>
      <c r="AY49" s="450">
        <v>178414.73</v>
      </c>
      <c r="AZ49" s="450">
        <v>191499.87</v>
      </c>
      <c r="BA49" s="450">
        <v>193446.97</v>
      </c>
      <c r="BB49" s="450">
        <v>207605.33</v>
      </c>
      <c r="BC49" s="450">
        <v>90564.85</v>
      </c>
      <c r="BD49" s="450">
        <v>194624.19</v>
      </c>
      <c r="BE49" s="450">
        <v>186028.19</v>
      </c>
      <c r="BF49" s="450">
        <v>195857.79</v>
      </c>
      <c r="BG49" s="450">
        <v>197901.5735</v>
      </c>
      <c r="BH49" s="450">
        <v>194542.34</v>
      </c>
      <c r="BI49" s="450">
        <v>212667.29</v>
      </c>
      <c r="BJ49" s="450">
        <v>206060.94</v>
      </c>
      <c r="BK49" s="450">
        <v>205698.89</v>
      </c>
      <c r="BL49" s="450">
        <v>0.0</v>
      </c>
      <c r="BM49" s="450">
        <v>0.0</v>
      </c>
      <c r="BN49" s="450">
        <v>0.0</v>
      </c>
      <c r="BO49" s="450">
        <v>0.0</v>
      </c>
      <c r="BP49" s="450">
        <v>0.0</v>
      </c>
      <c r="BQ49" s="450">
        <v>0.0</v>
      </c>
      <c r="BR49" s="450">
        <v>0.0</v>
      </c>
      <c r="BS49" s="615" t="str">
        <f t="array" ref="BS49">XLOOKUP(D49,'PL TOTAL XP'!A:A,'PL TOTAL XP'!C:C,"0")</f>
        <v>0</v>
      </c>
      <c r="BT49" s="616"/>
    </row>
    <row r="50" ht="15.75" customHeight="1">
      <c r="A50" s="183" t="s">
        <v>3820</v>
      </c>
      <c r="B50" s="78" t="s">
        <v>3985</v>
      </c>
      <c r="C50" s="564" t="s">
        <v>3986</v>
      </c>
      <c r="D50" s="566">
        <v>3533638.0</v>
      </c>
      <c r="E50" s="522" t="s">
        <v>18</v>
      </c>
      <c r="F50" s="522" t="s">
        <v>29</v>
      </c>
      <c r="G50" s="522" t="s">
        <v>3708</v>
      </c>
      <c r="H50" s="522" t="str">
        <f>IFERROR(VLOOKUP(G50,'Cadastro de assessores'!A:B,2,FALSE),"Não Cadastrado")</f>
        <v>18266</v>
      </c>
      <c r="I50" s="522"/>
      <c r="J50" s="51" t="s">
        <v>186</v>
      </c>
      <c r="K50" s="522" t="s">
        <v>2563</v>
      </c>
      <c r="L50" s="619">
        <v>44354.0</v>
      </c>
      <c r="M50" s="619">
        <v>44354.0</v>
      </c>
      <c r="N50" s="618">
        <v>44559.0</v>
      </c>
      <c r="O50" s="522" t="s">
        <v>3840</v>
      </c>
      <c r="P50" s="612">
        <v>0.025</v>
      </c>
      <c r="Q50" s="620" t="s">
        <v>3987</v>
      </c>
      <c r="R50" s="613"/>
      <c r="S50" s="522" t="str">
        <f t="shared" si="7"/>
        <v>Não Qualificado</v>
      </c>
      <c r="T50" s="522" t="s">
        <v>108</v>
      </c>
      <c r="U50" s="522" t="s">
        <v>2842</v>
      </c>
      <c r="V50" s="566" t="s">
        <v>19</v>
      </c>
      <c r="W50" s="468"/>
      <c r="X50" s="468"/>
      <c r="Y50" s="468"/>
      <c r="Z50" s="468"/>
      <c r="AA50" s="468"/>
      <c r="AB50" s="468"/>
      <c r="AC50" s="468"/>
      <c r="AD50" s="468"/>
      <c r="AE50" s="468"/>
      <c r="AF50" s="468"/>
      <c r="AG50" s="468"/>
      <c r="AH50" s="468"/>
      <c r="AI50" s="468"/>
      <c r="AJ50" s="468"/>
      <c r="AK50" s="450"/>
      <c r="AL50" s="450"/>
      <c r="AM50" s="450"/>
      <c r="AN50" s="450"/>
      <c r="AO50" s="450"/>
      <c r="AP50" s="450"/>
      <c r="AQ50" s="450"/>
      <c r="AR50" s="468"/>
      <c r="AS50" s="450">
        <v>103387.08</v>
      </c>
      <c r="AT50" s="450">
        <v>102882.68</v>
      </c>
      <c r="AU50" s="450">
        <v>104345.96</v>
      </c>
      <c r="AV50" s="450">
        <v>101885.27</v>
      </c>
      <c r="AW50" s="450">
        <v>93246.47</v>
      </c>
      <c r="AX50" s="450">
        <v>92017.73</v>
      </c>
      <c r="AY50" s="450">
        <v>97049.24</v>
      </c>
      <c r="AZ50" s="450"/>
      <c r="BA50" s="450">
        <v>0.0</v>
      </c>
      <c r="BB50" s="450">
        <v>0.0</v>
      </c>
      <c r="BC50" s="450">
        <v>247588.28</v>
      </c>
      <c r="BD50" s="450" t="s">
        <v>2566</v>
      </c>
      <c r="BE50" s="450" t="s">
        <v>2566</v>
      </c>
      <c r="BF50" s="450">
        <v>0.0</v>
      </c>
      <c r="BG50" s="450">
        <v>0.0</v>
      </c>
      <c r="BH50" s="450">
        <v>0.0</v>
      </c>
      <c r="BI50" s="450">
        <v>0.0</v>
      </c>
      <c r="BJ50" s="450">
        <v>0.0</v>
      </c>
      <c r="BK50" s="450">
        <v>0.0</v>
      </c>
      <c r="BL50" s="450">
        <v>0.0</v>
      </c>
      <c r="BM50" s="450">
        <v>0.0</v>
      </c>
      <c r="BN50" s="450">
        <v>0.0</v>
      </c>
      <c r="BO50" s="450">
        <v>0.0</v>
      </c>
      <c r="BP50" s="450">
        <v>0.0</v>
      </c>
      <c r="BQ50" s="450">
        <v>0.0</v>
      </c>
      <c r="BR50" s="450">
        <v>0.0</v>
      </c>
      <c r="BS50" s="615" t="str">
        <f t="array" ref="BS50">XLOOKUP(D50,'PL TOTAL XP'!A:A,'PL TOTAL XP'!C:C,"0")</f>
        <v>0</v>
      </c>
      <c r="BT50" s="616"/>
    </row>
    <row r="51" ht="15.75" customHeight="1">
      <c r="A51" s="183" t="s">
        <v>3820</v>
      </c>
      <c r="B51" s="78" t="s">
        <v>3988</v>
      </c>
      <c r="C51" s="617" t="s">
        <v>3989</v>
      </c>
      <c r="D51" s="522">
        <v>4859203.0</v>
      </c>
      <c r="E51" s="522" t="s">
        <v>18</v>
      </c>
      <c r="F51" s="511" t="s">
        <v>19</v>
      </c>
      <c r="G51" s="522" t="s">
        <v>256</v>
      </c>
      <c r="H51" s="522" t="str">
        <f>IFERROR(VLOOKUP(G51,'Cadastro de assessores'!A:B,2,FALSE),"Não Cadastrado")</f>
        <v>18009</v>
      </c>
      <c r="I51" s="522"/>
      <c r="J51" s="51" t="s">
        <v>186</v>
      </c>
      <c r="K51" s="522" t="s">
        <v>2563</v>
      </c>
      <c r="L51" s="619">
        <v>44239.0</v>
      </c>
      <c r="M51" s="619">
        <v>44239.0</v>
      </c>
      <c r="N51" s="619">
        <v>44700.0</v>
      </c>
      <c r="O51" s="522" t="s">
        <v>3824</v>
      </c>
      <c r="P51" s="612">
        <v>0.02</v>
      </c>
      <c r="Q51" s="620" t="s">
        <v>3990</v>
      </c>
      <c r="R51" s="613"/>
      <c r="S51" s="522" t="str">
        <f t="shared" si="7"/>
        <v>Não Qualificado</v>
      </c>
      <c r="T51" s="522" t="s">
        <v>108</v>
      </c>
      <c r="U51" s="522" t="s">
        <v>2619</v>
      </c>
      <c r="V51" s="522" t="s">
        <v>152</v>
      </c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450"/>
      <c r="AL51" s="450"/>
      <c r="AM51" s="450">
        <v>66229.27</v>
      </c>
      <c r="AN51" s="450">
        <v>66460.82</v>
      </c>
      <c r="AO51" s="450">
        <v>69471.68</v>
      </c>
      <c r="AP51" s="450">
        <v>70041.31</v>
      </c>
      <c r="AQ51" s="450">
        <v>69600.19</v>
      </c>
      <c r="AR51" s="450">
        <v>101644.8</v>
      </c>
      <c r="AS51" s="450">
        <v>100565.17</v>
      </c>
      <c r="AT51" s="450">
        <v>97350.58</v>
      </c>
      <c r="AU51" s="450">
        <v>96215.83</v>
      </c>
      <c r="AV51" s="450">
        <v>93537.39</v>
      </c>
      <c r="AW51" s="450">
        <v>88966.89</v>
      </c>
      <c r="AX51" s="450">
        <v>88505.22</v>
      </c>
      <c r="AY51" s="450">
        <v>89709.72</v>
      </c>
      <c r="AZ51" s="450">
        <v>93189.99</v>
      </c>
      <c r="BA51" s="450">
        <v>93670.43</v>
      </c>
      <c r="BB51" s="450">
        <v>98185.09</v>
      </c>
      <c r="BC51" s="450">
        <v>72096.69</v>
      </c>
      <c r="BD51" s="450" t="s">
        <v>2566</v>
      </c>
      <c r="BE51" s="450" t="s">
        <v>2566</v>
      </c>
      <c r="BF51" s="450">
        <v>0.0</v>
      </c>
      <c r="BG51" s="450">
        <v>0.0</v>
      </c>
      <c r="BH51" s="450">
        <v>0.0</v>
      </c>
      <c r="BI51" s="450">
        <v>0.0</v>
      </c>
      <c r="BJ51" s="450">
        <v>0.0</v>
      </c>
      <c r="BK51" s="450">
        <v>0.0</v>
      </c>
      <c r="BL51" s="450">
        <v>0.0</v>
      </c>
      <c r="BM51" s="450">
        <v>0.0</v>
      </c>
      <c r="BN51" s="450">
        <v>0.0</v>
      </c>
      <c r="BO51" s="450">
        <v>0.0</v>
      </c>
      <c r="BP51" s="450">
        <v>0.0</v>
      </c>
      <c r="BQ51" s="450">
        <v>0.0</v>
      </c>
      <c r="BR51" s="450">
        <v>0.0</v>
      </c>
      <c r="BS51" s="615" t="str">
        <f t="array" ref="BS51">XLOOKUP(D51,'PL TOTAL XP'!A:A,'PL TOTAL XP'!C:C,"0")</f>
        <v>0</v>
      </c>
      <c r="BT51" s="616"/>
    </row>
    <row r="52" ht="15.75" customHeight="1">
      <c r="A52" s="183" t="s">
        <v>3820</v>
      </c>
      <c r="B52" s="78" t="s">
        <v>3991</v>
      </c>
      <c r="C52" s="617" t="s">
        <v>3992</v>
      </c>
      <c r="D52" s="522">
        <v>4409995.0</v>
      </c>
      <c r="E52" s="522" t="s">
        <v>105</v>
      </c>
      <c r="F52" s="522" t="s">
        <v>29</v>
      </c>
      <c r="G52" s="522" t="s">
        <v>3993</v>
      </c>
      <c r="H52" s="522" t="str">
        <f>IFERROR(VLOOKUP(G52,'Cadastro de assessores'!A:B,2,FALSE),"Não Cadastrado")</f>
        <v>16459</v>
      </c>
      <c r="I52" s="522"/>
      <c r="J52" s="51" t="s">
        <v>186</v>
      </c>
      <c r="K52" s="522" t="s">
        <v>2563</v>
      </c>
      <c r="L52" s="618">
        <v>44120.0</v>
      </c>
      <c r="M52" s="618">
        <v>44120.0</v>
      </c>
      <c r="N52" s="619">
        <v>44413.0</v>
      </c>
      <c r="O52" s="522" t="s">
        <v>3828</v>
      </c>
      <c r="P52" s="612">
        <v>0.015</v>
      </c>
      <c r="Q52" s="620" t="s">
        <v>3994</v>
      </c>
      <c r="R52" s="613"/>
      <c r="S52" s="522" t="str">
        <f t="shared" si="7"/>
        <v/>
      </c>
      <c r="T52" s="522" t="s">
        <v>108</v>
      </c>
      <c r="U52" s="522" t="s">
        <v>2591</v>
      </c>
      <c r="V52" s="522" t="s">
        <v>29</v>
      </c>
      <c r="W52" s="614" t="s">
        <v>3830</v>
      </c>
      <c r="X52" s="614" t="s">
        <v>3830</v>
      </c>
      <c r="Y52" s="614" t="s">
        <v>3830</v>
      </c>
      <c r="Z52" s="614" t="s">
        <v>3830</v>
      </c>
      <c r="AA52" s="614" t="s">
        <v>3830</v>
      </c>
      <c r="AB52" s="614" t="s">
        <v>3830</v>
      </c>
      <c r="AC52" s="614" t="s">
        <v>3830</v>
      </c>
      <c r="AD52" s="614" t="s">
        <v>3830</v>
      </c>
      <c r="AE52" s="614" t="s">
        <v>3830</v>
      </c>
      <c r="AF52" s="614" t="s">
        <v>3830</v>
      </c>
      <c r="AG52" s="614" t="s">
        <v>3830</v>
      </c>
      <c r="AH52" s="614" t="s">
        <v>3830</v>
      </c>
      <c r="AI52" s="614" t="s">
        <v>3995</v>
      </c>
      <c r="AJ52" s="614" t="s">
        <v>3996</v>
      </c>
      <c r="AK52" s="450">
        <v>206276.65</v>
      </c>
      <c r="AL52" s="450">
        <v>202074.54</v>
      </c>
      <c r="AM52" s="450">
        <v>195592.66</v>
      </c>
      <c r="AN52" s="450">
        <v>195144.17</v>
      </c>
      <c r="AO52" s="450">
        <v>200442.0</v>
      </c>
      <c r="AP52" s="450">
        <v>201639.45</v>
      </c>
      <c r="AQ52" s="450">
        <v>200810.92</v>
      </c>
      <c r="AR52" s="450">
        <v>205533.39</v>
      </c>
      <c r="AS52" s="450">
        <v>203901.48</v>
      </c>
      <c r="AT52" s="450">
        <v>199844.32</v>
      </c>
      <c r="AU52" s="450"/>
      <c r="AV52" s="450"/>
      <c r="AW52" s="450"/>
      <c r="AX52" s="450"/>
      <c r="AY52" s="450"/>
      <c r="AZ52" s="450"/>
      <c r="BA52" s="450">
        <v>0.0</v>
      </c>
      <c r="BB52" s="450">
        <v>0.0</v>
      </c>
      <c r="BC52" s="450">
        <v>0.0</v>
      </c>
      <c r="BD52" s="450" t="s">
        <v>2566</v>
      </c>
      <c r="BE52" s="450" t="s">
        <v>2566</v>
      </c>
      <c r="BF52" s="450">
        <v>0.0</v>
      </c>
      <c r="BG52" s="450">
        <v>0.0</v>
      </c>
      <c r="BH52" s="450">
        <v>0.0</v>
      </c>
      <c r="BI52" s="450">
        <v>0.0</v>
      </c>
      <c r="BJ52" s="450">
        <v>0.0</v>
      </c>
      <c r="BK52" s="450">
        <v>0.0</v>
      </c>
      <c r="BL52" s="450">
        <v>0.0</v>
      </c>
      <c r="BM52" s="450">
        <v>0.0</v>
      </c>
      <c r="BN52" s="450">
        <v>0.0</v>
      </c>
      <c r="BO52" s="450">
        <v>0.0</v>
      </c>
      <c r="BP52" s="450">
        <v>0.0</v>
      </c>
      <c r="BQ52" s="450">
        <v>0.0</v>
      </c>
      <c r="BR52" s="450">
        <v>0.0</v>
      </c>
      <c r="BS52" s="615" t="str">
        <f t="array" ref="BS52">XLOOKUP(D52,'PL TOTAL XP'!A:A,'PL TOTAL XP'!C:C,"0")</f>
        <v>0</v>
      </c>
      <c r="BT52" s="616"/>
    </row>
    <row r="53" ht="15.75" customHeight="1">
      <c r="A53" s="183" t="s">
        <v>3820</v>
      </c>
      <c r="B53" s="78" t="s">
        <v>3997</v>
      </c>
      <c r="C53" s="617" t="s">
        <v>433</v>
      </c>
      <c r="D53" s="522">
        <v>3281393.0</v>
      </c>
      <c r="E53" s="512" t="s">
        <v>18</v>
      </c>
      <c r="F53" s="512" t="s">
        <v>19</v>
      </c>
      <c r="G53" s="512" t="s">
        <v>20</v>
      </c>
      <c r="H53" s="522">
        <f>IFERROR(VLOOKUP(G53,'Cadastro de assessores'!A:B,2,FALSE),"Não Cadastrado")</f>
        <v>12331</v>
      </c>
      <c r="I53" s="522"/>
      <c r="J53" s="51" t="s">
        <v>3823</v>
      </c>
      <c r="K53" s="512" t="s">
        <v>107</v>
      </c>
      <c r="L53" s="610">
        <v>44795.0</v>
      </c>
      <c r="M53" s="610">
        <v>44795.0</v>
      </c>
      <c r="N53" s="522"/>
      <c r="O53" s="522" t="s">
        <v>3836</v>
      </c>
      <c r="P53" s="629">
        <v>0.012</v>
      </c>
      <c r="Q53" s="620"/>
      <c r="R53" s="613"/>
      <c r="S53" s="522"/>
      <c r="T53" s="522" t="s">
        <v>369</v>
      </c>
      <c r="U53" s="522"/>
      <c r="V53" s="522" t="s">
        <v>19</v>
      </c>
      <c r="W53" s="614"/>
      <c r="X53" s="614"/>
      <c r="Y53" s="614"/>
      <c r="Z53" s="614"/>
      <c r="AA53" s="614"/>
      <c r="AB53" s="614"/>
      <c r="AC53" s="614"/>
      <c r="AD53" s="614"/>
      <c r="AE53" s="614"/>
      <c r="AF53" s="614"/>
      <c r="AG53" s="614"/>
      <c r="AH53" s="614"/>
      <c r="AI53" s="614"/>
      <c r="AJ53" s="614"/>
      <c r="AK53" s="450"/>
      <c r="AL53" s="450"/>
      <c r="AM53" s="450"/>
      <c r="AN53" s="450"/>
      <c r="AO53" s="450"/>
      <c r="AP53" s="450"/>
      <c r="AQ53" s="450"/>
      <c r="AR53" s="450"/>
      <c r="AS53" s="450"/>
      <c r="AT53" s="450"/>
      <c r="AU53" s="450"/>
      <c r="AV53" s="450"/>
      <c r="AW53" s="450"/>
      <c r="AX53" s="450"/>
      <c r="AY53" s="450"/>
      <c r="AZ53" s="450"/>
      <c r="BA53" s="450"/>
      <c r="BB53" s="450"/>
      <c r="BC53" s="450"/>
      <c r="BD53" s="450"/>
      <c r="BE53" s="450"/>
      <c r="BF53" s="450"/>
      <c r="BG53" s="450">
        <v>399958.3304</v>
      </c>
      <c r="BH53" s="450">
        <v>404438.39</v>
      </c>
      <c r="BI53" s="450">
        <v>412873.19</v>
      </c>
      <c r="BJ53" s="450">
        <v>413726.5</v>
      </c>
      <c r="BK53" s="450">
        <v>417778.22</v>
      </c>
      <c r="BL53" s="450">
        <v>422753.52</v>
      </c>
      <c r="BM53" s="450">
        <v>6.22</v>
      </c>
      <c r="BN53" s="450">
        <v>6.57</v>
      </c>
      <c r="BO53" s="450">
        <v>6.57</v>
      </c>
      <c r="BP53" s="450">
        <v>6.57</v>
      </c>
      <c r="BQ53" s="450">
        <v>6.57</v>
      </c>
      <c r="BR53" s="450">
        <v>6.57</v>
      </c>
      <c r="BS53" s="615">
        <f t="array" ref="BS53">XLOOKUP(D53,'PL TOTAL XP'!A:A,'PL TOTAL XP'!C:C,"0")</f>
        <v>0</v>
      </c>
      <c r="BT53" s="616"/>
    </row>
    <row r="54" ht="15.75" customHeight="1">
      <c r="A54" s="183" t="s">
        <v>3820</v>
      </c>
      <c r="B54" s="78" t="s">
        <v>441</v>
      </c>
      <c r="C54" s="617" t="s">
        <v>439</v>
      </c>
      <c r="D54" s="522">
        <v>1000249.0</v>
      </c>
      <c r="E54" s="512" t="s">
        <v>105</v>
      </c>
      <c r="F54" s="512" t="s">
        <v>29</v>
      </c>
      <c r="G54" s="512" t="s">
        <v>71</v>
      </c>
      <c r="H54" s="512" t="str">
        <f>IFERROR(VLOOKUP(G54,'Cadastro de assessores'!A:B,2,FALSE),"Não Cadastrado")</f>
        <v>17896</v>
      </c>
      <c r="I54" s="512"/>
      <c r="J54" s="51" t="s">
        <v>3823</v>
      </c>
      <c r="K54" s="512" t="s">
        <v>107</v>
      </c>
      <c r="L54" s="610">
        <v>44110.0</v>
      </c>
      <c r="M54" s="610">
        <v>44112.0</v>
      </c>
      <c r="N54" s="522"/>
      <c r="O54" s="522" t="s">
        <v>3998</v>
      </c>
      <c r="P54" s="629">
        <v>0.02</v>
      </c>
      <c r="Q54" s="620"/>
      <c r="R54" s="613"/>
      <c r="S54" s="522" t="str">
        <f t="shared" ref="S54:S68" si="8">IF(BC54&lt;=0,"",IF(BC54&lt;=1000000,"Não Qualificado",IF(AND(BC54&gt;1000000,BC54&lt;=10000000),"Qualificado","Profissional")))</f>
        <v>Não Qualificado</v>
      </c>
      <c r="T54" s="522" t="s">
        <v>369</v>
      </c>
      <c r="U54" s="522" t="s">
        <v>3999</v>
      </c>
      <c r="V54" s="522" t="s">
        <v>29</v>
      </c>
      <c r="W54" s="614" t="s">
        <v>3830</v>
      </c>
      <c r="X54" s="614" t="s">
        <v>3830</v>
      </c>
      <c r="Y54" s="614" t="s">
        <v>3830</v>
      </c>
      <c r="Z54" s="614" t="s">
        <v>3830</v>
      </c>
      <c r="AA54" s="614" t="s">
        <v>3830</v>
      </c>
      <c r="AB54" s="614" t="s">
        <v>3830</v>
      </c>
      <c r="AC54" s="614" t="s">
        <v>3830</v>
      </c>
      <c r="AD54" s="614" t="s">
        <v>3830</v>
      </c>
      <c r="AE54" s="614" t="s">
        <v>3830</v>
      </c>
      <c r="AF54" s="614" t="s">
        <v>3830</v>
      </c>
      <c r="AG54" s="614" t="s">
        <v>3830</v>
      </c>
      <c r="AH54" s="614" t="s">
        <v>3830</v>
      </c>
      <c r="AI54" s="614" t="s">
        <v>4000</v>
      </c>
      <c r="AJ54" s="614" t="s">
        <v>4001</v>
      </c>
      <c r="AK54" s="450">
        <v>2058796.83</v>
      </c>
      <c r="AL54" s="450">
        <v>1982078.24</v>
      </c>
      <c r="AM54" s="450">
        <v>2818391.51</v>
      </c>
      <c r="AN54" s="450">
        <v>2817783.28</v>
      </c>
      <c r="AO54" s="450">
        <v>3022338.76</v>
      </c>
      <c r="AP54" s="450">
        <v>3048553.25</v>
      </c>
      <c r="AQ54" s="450">
        <v>3027303.04</v>
      </c>
      <c r="AR54" s="450">
        <v>3177566.98</v>
      </c>
      <c r="AS54" s="450">
        <v>3117628.69</v>
      </c>
      <c r="AT54" s="450">
        <v>2982366.87</v>
      </c>
      <c r="AU54" s="450">
        <v>2931376.16</v>
      </c>
      <c r="AV54" s="450">
        <v>2795723.0</v>
      </c>
      <c r="AW54" s="450">
        <v>2629139.46</v>
      </c>
      <c r="AX54" s="450">
        <v>2595782.46</v>
      </c>
      <c r="AY54" s="450">
        <v>2637503.21</v>
      </c>
      <c r="AZ54" s="450">
        <v>2778938.78</v>
      </c>
      <c r="BA54" s="450">
        <v>2800364.15</v>
      </c>
      <c r="BB54" s="450">
        <v>2962403.25</v>
      </c>
      <c r="BC54" s="450">
        <v>93147.27</v>
      </c>
      <c r="BD54" s="450">
        <v>2851409.2</v>
      </c>
      <c r="BE54" s="450">
        <v>2757755.19</v>
      </c>
      <c r="BF54" s="450">
        <v>2874894.47</v>
      </c>
      <c r="BG54" s="450">
        <v>2947928.439</v>
      </c>
      <c r="BH54" s="450">
        <v>2922433.08</v>
      </c>
      <c r="BI54" s="450">
        <v>3123580.35</v>
      </c>
      <c r="BJ54" s="450">
        <v>3120882.45</v>
      </c>
      <c r="BK54" s="450">
        <v>3133695.75</v>
      </c>
      <c r="BL54" s="450">
        <v>3128131.67</v>
      </c>
      <c r="BM54" s="450">
        <v>3088642.64</v>
      </c>
      <c r="BN54" s="450">
        <v>746670.55</v>
      </c>
      <c r="BO54" s="450">
        <v>31318.91</v>
      </c>
      <c r="BP54" s="450">
        <v>31710.47</v>
      </c>
      <c r="BQ54" s="450">
        <v>31920.5</v>
      </c>
      <c r="BR54" s="450">
        <v>0.0</v>
      </c>
      <c r="BS54" s="615">
        <f t="array" ref="BS54">XLOOKUP(D54,'PL TOTAL XP'!A:A,'PL TOTAL XP'!C:C,"0")</f>
        <v>0</v>
      </c>
      <c r="BT54" s="616"/>
    </row>
    <row r="55" ht="15.75" customHeight="1">
      <c r="A55" s="183" t="s">
        <v>3820</v>
      </c>
      <c r="B55" s="78" t="s">
        <v>451</v>
      </c>
      <c r="C55" s="617" t="s">
        <v>4002</v>
      </c>
      <c r="D55" s="522">
        <v>552896.0</v>
      </c>
      <c r="E55" s="512" t="s">
        <v>18</v>
      </c>
      <c r="F55" s="512" t="s">
        <v>19</v>
      </c>
      <c r="G55" s="512" t="s">
        <v>4003</v>
      </c>
      <c r="H55" s="512">
        <f>IFERROR(VLOOKUP(G55,'Cadastro de assessores'!A:B,2,FALSE),"Não Cadastrado")</f>
        <v>12351</v>
      </c>
      <c r="I55" s="512"/>
      <c r="J55" s="46" t="s">
        <v>107</v>
      </c>
      <c r="K55" s="512" t="s">
        <v>107</v>
      </c>
      <c r="L55" s="610">
        <v>44694.0</v>
      </c>
      <c r="M55" s="610">
        <v>44694.0</v>
      </c>
      <c r="N55" s="522"/>
      <c r="O55" s="522" t="s">
        <v>3828</v>
      </c>
      <c r="P55" s="612">
        <v>0.015</v>
      </c>
      <c r="Q55" s="620"/>
      <c r="R55" s="613"/>
      <c r="S55" s="522" t="str">
        <f t="shared" si="8"/>
        <v>Não Qualificado</v>
      </c>
      <c r="T55" s="522" t="s">
        <v>108</v>
      </c>
      <c r="U55" s="522" t="s">
        <v>2652</v>
      </c>
      <c r="V55" s="522" t="s">
        <v>19</v>
      </c>
      <c r="W55" s="614"/>
      <c r="X55" s="614"/>
      <c r="Y55" s="614"/>
      <c r="Z55" s="614"/>
      <c r="AA55" s="614"/>
      <c r="AB55" s="614"/>
      <c r="AC55" s="614"/>
      <c r="AD55" s="614"/>
      <c r="AE55" s="614"/>
      <c r="AF55" s="614"/>
      <c r="AG55" s="614"/>
      <c r="AH55" s="614"/>
      <c r="AI55" s="614"/>
      <c r="AJ55" s="614"/>
      <c r="AK55" s="450"/>
      <c r="AL55" s="450"/>
      <c r="AM55" s="450"/>
      <c r="AN55" s="450"/>
      <c r="AO55" s="450"/>
      <c r="AP55" s="450"/>
      <c r="AQ55" s="450"/>
      <c r="AR55" s="450"/>
      <c r="AS55" s="450"/>
      <c r="AT55" s="450"/>
      <c r="AU55" s="450"/>
      <c r="AV55" s="450"/>
      <c r="AW55" s="450"/>
      <c r="AX55" s="450"/>
      <c r="AY55" s="450"/>
      <c r="AZ55" s="450"/>
      <c r="BA55" s="450"/>
      <c r="BB55" s="450"/>
      <c r="BC55" s="450">
        <v>296576.97</v>
      </c>
      <c r="BD55" s="450">
        <v>148800.55</v>
      </c>
      <c r="BE55" s="450">
        <v>148308.66</v>
      </c>
      <c r="BF55" s="450">
        <v>147898.56</v>
      </c>
      <c r="BG55" s="450">
        <v>147121.8228</v>
      </c>
      <c r="BH55" s="450">
        <v>201678.28</v>
      </c>
      <c r="BI55" s="450">
        <v>205868.51</v>
      </c>
      <c r="BJ55" s="450">
        <v>215261.23</v>
      </c>
      <c r="BK55" s="450">
        <v>209337.33</v>
      </c>
      <c r="BL55" s="450">
        <v>144265.47</v>
      </c>
      <c r="BM55" s="450">
        <v>122703.52</v>
      </c>
      <c r="BN55" s="450">
        <v>144969.99</v>
      </c>
      <c r="BO55" s="450">
        <v>168010.5</v>
      </c>
      <c r="BP55" s="450">
        <v>169171.26</v>
      </c>
      <c r="BQ55" s="450">
        <v>169774.87</v>
      </c>
      <c r="BR55" s="450">
        <v>170421.21</v>
      </c>
      <c r="BS55" s="615">
        <f t="array" ref="BS55">XLOOKUP(D55,'PL TOTAL XP'!A:A,'PL TOTAL XP'!C:C,"0")</f>
        <v>166426.21</v>
      </c>
      <c r="BT55" s="616"/>
    </row>
    <row r="56" ht="15.75" customHeight="1">
      <c r="A56" s="183" t="s">
        <v>3820</v>
      </c>
      <c r="B56" s="78" t="s">
        <v>4004</v>
      </c>
      <c r="C56" s="617" t="s">
        <v>4005</v>
      </c>
      <c r="D56" s="522">
        <v>4743547.0</v>
      </c>
      <c r="E56" s="522" t="s">
        <v>18</v>
      </c>
      <c r="F56" s="511" t="s">
        <v>19</v>
      </c>
      <c r="G56" s="522" t="s">
        <v>256</v>
      </c>
      <c r="H56" s="522" t="str">
        <f>IFERROR(VLOOKUP(G56,'Cadastro de assessores'!A:B,2,FALSE),"Não Cadastrado")</f>
        <v>18009</v>
      </c>
      <c r="I56" s="522"/>
      <c r="J56" s="51" t="s">
        <v>186</v>
      </c>
      <c r="K56" s="522" t="s">
        <v>2563</v>
      </c>
      <c r="L56" s="619">
        <v>44252.0</v>
      </c>
      <c r="M56" s="619">
        <v>44252.0</v>
      </c>
      <c r="N56" s="619">
        <v>44657.0</v>
      </c>
      <c r="O56" s="522" t="s">
        <v>3824</v>
      </c>
      <c r="P56" s="612">
        <v>0.02</v>
      </c>
      <c r="Q56" s="620" t="s">
        <v>4006</v>
      </c>
      <c r="R56" s="613"/>
      <c r="S56" s="522" t="str">
        <f t="shared" si="8"/>
        <v>Não Qualificado</v>
      </c>
      <c r="T56" s="522" t="s">
        <v>108</v>
      </c>
      <c r="U56" s="522" t="s">
        <v>2619</v>
      </c>
      <c r="V56" s="522" t="s">
        <v>152</v>
      </c>
      <c r="W56" s="614"/>
      <c r="X56" s="614"/>
      <c r="Y56" s="614"/>
      <c r="Z56" s="614"/>
      <c r="AA56" s="614"/>
      <c r="AB56" s="614"/>
      <c r="AC56" s="614"/>
      <c r="AD56" s="614"/>
      <c r="AE56" s="614"/>
      <c r="AF56" s="614"/>
      <c r="AG56" s="614"/>
      <c r="AH56" s="614"/>
      <c r="AI56" s="614"/>
      <c r="AJ56" s="614"/>
      <c r="AK56" s="450"/>
      <c r="AL56" s="450"/>
      <c r="AM56" s="450">
        <v>146675.21</v>
      </c>
      <c r="AN56" s="450">
        <v>146359.4</v>
      </c>
      <c r="AO56" s="450">
        <v>152101.04</v>
      </c>
      <c r="AP56" s="450">
        <v>151670.01</v>
      </c>
      <c r="AQ56" s="450">
        <v>150891.63</v>
      </c>
      <c r="AR56" s="450">
        <v>153984.5</v>
      </c>
      <c r="AS56" s="450">
        <v>251324.57</v>
      </c>
      <c r="AT56" s="450">
        <v>242826.61</v>
      </c>
      <c r="AU56" s="450">
        <v>239152.25</v>
      </c>
      <c r="AV56" s="450">
        <v>232974.03</v>
      </c>
      <c r="AW56" s="450">
        <v>215001.82</v>
      </c>
      <c r="AX56" s="450">
        <v>214190.37</v>
      </c>
      <c r="AY56" s="450">
        <v>212226.73</v>
      </c>
      <c r="AZ56" s="450">
        <v>220340.15</v>
      </c>
      <c r="BA56" s="450">
        <v>221568.51</v>
      </c>
      <c r="BB56" s="450">
        <v>225722.39</v>
      </c>
      <c r="BC56" s="450">
        <v>150943.45</v>
      </c>
      <c r="BD56" s="450" t="s">
        <v>2566</v>
      </c>
      <c r="BE56" s="450" t="s">
        <v>2566</v>
      </c>
      <c r="BF56" s="450">
        <v>0.0</v>
      </c>
      <c r="BG56" s="450">
        <v>0.0</v>
      </c>
      <c r="BH56" s="450">
        <v>0.0</v>
      </c>
      <c r="BI56" s="450">
        <v>0.0</v>
      </c>
      <c r="BJ56" s="450">
        <v>0.0</v>
      </c>
      <c r="BK56" s="450">
        <v>0.0</v>
      </c>
      <c r="BL56" s="450">
        <v>0.0</v>
      </c>
      <c r="BM56" s="450">
        <v>0.0</v>
      </c>
      <c r="BN56" s="450">
        <v>0.0</v>
      </c>
      <c r="BO56" s="450">
        <v>0.0</v>
      </c>
      <c r="BP56" s="450">
        <v>0.0</v>
      </c>
      <c r="BQ56" s="450">
        <v>0.0</v>
      </c>
      <c r="BR56" s="450">
        <v>0.0</v>
      </c>
      <c r="BS56" s="615" t="str">
        <f t="array" ref="BS56">XLOOKUP(D56,'PL TOTAL XP'!A:A,'PL TOTAL XP'!C:C,"0")</f>
        <v>0</v>
      </c>
      <c r="BT56" s="616"/>
    </row>
    <row r="57" ht="15.75" customHeight="1">
      <c r="A57" s="183" t="s">
        <v>3820</v>
      </c>
      <c r="B57" s="78" t="s">
        <v>2719</v>
      </c>
      <c r="C57" s="617" t="s">
        <v>2716</v>
      </c>
      <c r="D57" s="522">
        <v>4648767.0</v>
      </c>
      <c r="E57" s="512" t="s">
        <v>18</v>
      </c>
      <c r="F57" s="512" t="s">
        <v>29</v>
      </c>
      <c r="G57" s="512" t="s">
        <v>373</v>
      </c>
      <c r="H57" s="512" t="str">
        <f>IFERROR(VLOOKUP(G57,'Cadastro de assessores'!A:B,2,FALSE),"Não Cadastrado")</f>
        <v>18993</v>
      </c>
      <c r="I57" s="512"/>
      <c r="J57" s="51" t="s">
        <v>3823</v>
      </c>
      <c r="K57" s="512" t="s">
        <v>107</v>
      </c>
      <c r="L57" s="610">
        <v>44312.0</v>
      </c>
      <c r="M57" s="610">
        <v>44312.0</v>
      </c>
      <c r="N57" s="522"/>
      <c r="O57" s="522" t="s">
        <v>3824</v>
      </c>
      <c r="P57" s="612">
        <v>0.01</v>
      </c>
      <c r="Q57" s="620"/>
      <c r="R57" s="613"/>
      <c r="S57" s="522" t="str">
        <f t="shared" si="8"/>
        <v>Não Qualificado</v>
      </c>
      <c r="T57" s="522" t="s">
        <v>108</v>
      </c>
      <c r="U57" s="522" t="s">
        <v>2656</v>
      </c>
      <c r="V57" s="522" t="s">
        <v>29</v>
      </c>
      <c r="W57" s="614"/>
      <c r="X57" s="614"/>
      <c r="Y57" s="614"/>
      <c r="Z57" s="614"/>
      <c r="AA57" s="614"/>
      <c r="AB57" s="614"/>
      <c r="AC57" s="614"/>
      <c r="AD57" s="614"/>
      <c r="AE57" s="614"/>
      <c r="AF57" s="614"/>
      <c r="AG57" s="614"/>
      <c r="AH57" s="614"/>
      <c r="AI57" s="614"/>
      <c r="AJ57" s="614"/>
      <c r="AK57" s="450"/>
      <c r="AL57" s="450"/>
      <c r="AM57" s="450" t="s">
        <v>2600</v>
      </c>
      <c r="AN57" s="450" t="s">
        <v>2600</v>
      </c>
      <c r="AO57" s="450"/>
      <c r="AP57" s="450">
        <v>728041.67</v>
      </c>
      <c r="AQ57" s="450">
        <v>723817.15</v>
      </c>
      <c r="AR57" s="450">
        <v>744823.93</v>
      </c>
      <c r="AS57" s="450">
        <v>738369.48</v>
      </c>
      <c r="AT57" s="450">
        <v>717197.21</v>
      </c>
      <c r="AU57" s="450">
        <v>709298.71</v>
      </c>
      <c r="AV57" s="450">
        <v>783752.21</v>
      </c>
      <c r="AW57" s="450">
        <v>747191.59</v>
      </c>
      <c r="AX57" s="450">
        <v>745049.93</v>
      </c>
      <c r="AY57" s="450">
        <v>756811.43</v>
      </c>
      <c r="AZ57" s="450">
        <v>788215.37</v>
      </c>
      <c r="BA57" s="450">
        <v>795942.74</v>
      </c>
      <c r="BB57" s="450">
        <v>852409.27</v>
      </c>
      <c r="BC57" s="450">
        <v>304328.98</v>
      </c>
      <c r="BD57" s="450">
        <v>843046.76</v>
      </c>
      <c r="BE57" s="450">
        <v>826003.46</v>
      </c>
      <c r="BF57" s="450">
        <v>857967.68</v>
      </c>
      <c r="BG57" s="450">
        <v>853606.0773</v>
      </c>
      <c r="BH57" s="450">
        <v>955414.19</v>
      </c>
      <c r="BI57" s="450">
        <v>1007805.45</v>
      </c>
      <c r="BJ57" s="450">
        <v>1008981.65</v>
      </c>
      <c r="BK57" s="450">
        <v>1053013.1</v>
      </c>
      <c r="BL57" s="450">
        <v>1064743.39</v>
      </c>
      <c r="BM57" s="450">
        <v>987748.88</v>
      </c>
      <c r="BN57" s="450">
        <v>932134.39</v>
      </c>
      <c r="BO57" s="450">
        <v>65432.04</v>
      </c>
      <c r="BP57" s="450">
        <v>0.0</v>
      </c>
      <c r="BQ57" s="450">
        <v>0.0</v>
      </c>
      <c r="BR57" s="450">
        <v>0.0</v>
      </c>
      <c r="BS57" s="615">
        <f t="array" ref="BS57">XLOOKUP(D57,'PL TOTAL XP'!A:A,'PL TOTAL XP'!C:C,"0")</f>
        <v>0</v>
      </c>
      <c r="BT57" s="616"/>
    </row>
    <row r="58" ht="15.75" customHeight="1">
      <c r="A58" s="183" t="s">
        <v>3820</v>
      </c>
      <c r="B58" s="78" t="s">
        <v>4007</v>
      </c>
      <c r="C58" s="564" t="s">
        <v>4008</v>
      </c>
      <c r="D58" s="609">
        <v>6889397.0</v>
      </c>
      <c r="E58" s="512" t="s">
        <v>18</v>
      </c>
      <c r="F58" s="609" t="s">
        <v>19</v>
      </c>
      <c r="G58" s="512" t="s">
        <v>256</v>
      </c>
      <c r="H58" s="512" t="str">
        <f>IFERROR(VLOOKUP(G58,'Cadastro de assessores'!A:B,2,FALSE),"Não Cadastrado")</f>
        <v>18009</v>
      </c>
      <c r="I58" s="512"/>
      <c r="J58" s="51" t="s">
        <v>3823</v>
      </c>
      <c r="K58" s="512" t="s">
        <v>107</v>
      </c>
      <c r="L58" s="611">
        <v>44519.0</v>
      </c>
      <c r="M58" s="611">
        <v>44522.0</v>
      </c>
      <c r="N58" s="566"/>
      <c r="O58" s="566" t="s">
        <v>3836</v>
      </c>
      <c r="P58" s="612">
        <v>0.012</v>
      </c>
      <c r="Q58" s="633" t="s">
        <v>1481</v>
      </c>
      <c r="R58" s="613"/>
      <c r="S58" s="522" t="str">
        <f t="shared" si="8"/>
        <v>Não Qualificado</v>
      </c>
      <c r="T58" s="522" t="s">
        <v>108</v>
      </c>
      <c r="U58" s="522" t="s">
        <v>2675</v>
      </c>
      <c r="V58" s="566" t="s">
        <v>29</v>
      </c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614"/>
      <c r="AH58" s="614"/>
      <c r="AI58" s="614"/>
      <c r="AJ58" s="450"/>
      <c r="AK58" s="450"/>
      <c r="AL58" s="450"/>
      <c r="AM58" s="450"/>
      <c r="AN58" s="450"/>
      <c r="AO58" s="450"/>
      <c r="AP58" s="450"/>
      <c r="AQ58" s="450"/>
      <c r="AR58" s="450"/>
      <c r="AS58" s="450"/>
      <c r="AT58" s="450"/>
      <c r="AU58" s="450"/>
      <c r="AV58" s="450"/>
      <c r="AW58" s="450"/>
      <c r="AX58" s="450"/>
      <c r="AY58" s="450">
        <v>2676023.0</v>
      </c>
      <c r="AZ58" s="450">
        <v>2720856.68</v>
      </c>
      <c r="BA58" s="450">
        <v>2742116.63</v>
      </c>
      <c r="BB58" s="450">
        <v>2816876.17</v>
      </c>
      <c r="BC58" s="450">
        <v>574756.05</v>
      </c>
      <c r="BD58" s="450">
        <v>3185902.07</v>
      </c>
      <c r="BE58" s="450">
        <v>3182679.37</v>
      </c>
      <c r="BF58" s="450">
        <v>3213505.97</v>
      </c>
      <c r="BG58" s="450">
        <v>3237513.172</v>
      </c>
      <c r="BH58" s="450">
        <v>3255834.34</v>
      </c>
      <c r="BI58" s="450">
        <v>65.46</v>
      </c>
      <c r="BJ58" s="450">
        <v>65.46</v>
      </c>
      <c r="BK58" s="450">
        <v>65.46</v>
      </c>
      <c r="BL58" s="450">
        <v>2646.65</v>
      </c>
      <c r="BM58" s="450">
        <v>2646.65</v>
      </c>
      <c r="BN58" s="450">
        <v>0.0</v>
      </c>
      <c r="BO58" s="450">
        <v>0.0</v>
      </c>
      <c r="BP58" s="450">
        <v>0.0</v>
      </c>
      <c r="BQ58" s="450">
        <v>0.0</v>
      </c>
      <c r="BR58" s="450">
        <v>0.0</v>
      </c>
      <c r="BS58" s="615">
        <f t="array" ref="BS58">XLOOKUP(D58,'PL TOTAL XP'!A:A,'PL TOTAL XP'!C:C,"0")</f>
        <v>0</v>
      </c>
      <c r="BT58" s="616"/>
    </row>
    <row r="59" ht="15.75" customHeight="1">
      <c r="A59" s="183" t="s">
        <v>3820</v>
      </c>
      <c r="B59" s="78" t="s">
        <v>4009</v>
      </c>
      <c r="C59" s="617" t="s">
        <v>4010</v>
      </c>
      <c r="D59" s="522">
        <v>3774100.0</v>
      </c>
      <c r="E59" s="512" t="s">
        <v>2550</v>
      </c>
      <c r="F59" s="512" t="s">
        <v>29</v>
      </c>
      <c r="G59" s="512" t="s">
        <v>2550</v>
      </c>
      <c r="H59" s="512" t="str">
        <f>IFERROR(VLOOKUP(G59,'Cadastro de assessores'!A:B,2,FALSE),"Não Cadastrado")</f>
        <v>18986</v>
      </c>
      <c r="I59" s="512"/>
      <c r="J59" s="51" t="s">
        <v>3823</v>
      </c>
      <c r="K59" s="522" t="s">
        <v>147</v>
      </c>
      <c r="L59" s="610">
        <v>43818.0</v>
      </c>
      <c r="M59" s="610">
        <v>43847.0</v>
      </c>
      <c r="N59" s="522"/>
      <c r="O59" s="522" t="s">
        <v>3828</v>
      </c>
      <c r="P59" s="612">
        <v>0.015</v>
      </c>
      <c r="Q59" s="620"/>
      <c r="R59" s="613"/>
      <c r="S59" s="522" t="str">
        <f t="shared" si="8"/>
        <v/>
      </c>
      <c r="T59" s="522" t="s">
        <v>108</v>
      </c>
      <c r="U59" s="522" t="s">
        <v>3487</v>
      </c>
      <c r="V59" s="522" t="s">
        <v>29</v>
      </c>
      <c r="W59" s="614" t="s">
        <v>3830</v>
      </c>
      <c r="X59" s="614" t="s">
        <v>3830</v>
      </c>
      <c r="Y59" s="614" t="s">
        <v>3830</v>
      </c>
      <c r="Z59" s="614" t="s">
        <v>4011</v>
      </c>
      <c r="AA59" s="614" t="s">
        <v>4012</v>
      </c>
      <c r="AB59" s="614" t="s">
        <v>4013</v>
      </c>
      <c r="AC59" s="614" t="s">
        <v>4014</v>
      </c>
      <c r="AD59" s="614" t="s">
        <v>4015</v>
      </c>
      <c r="AE59" s="614" t="s">
        <v>4016</v>
      </c>
      <c r="AF59" s="614" t="s">
        <v>4017</v>
      </c>
      <c r="AG59" s="614" t="s">
        <v>4018</v>
      </c>
      <c r="AH59" s="614" t="s">
        <v>4019</v>
      </c>
      <c r="AI59" s="614" t="s">
        <v>4020</v>
      </c>
      <c r="AJ59" s="614" t="s">
        <v>4021</v>
      </c>
      <c r="AK59" s="450">
        <v>98570.53</v>
      </c>
      <c r="AL59" s="450">
        <v>56742.84</v>
      </c>
      <c r="AM59" s="450">
        <v>33961.75</v>
      </c>
      <c r="AN59" s="450">
        <v>33655.04</v>
      </c>
      <c r="AO59" s="450">
        <v>243.51</v>
      </c>
      <c r="AP59" s="450">
        <v>243.36</v>
      </c>
      <c r="AQ59" s="450">
        <v>243.32</v>
      </c>
      <c r="AR59" s="450">
        <v>243.11</v>
      </c>
      <c r="AS59" s="450">
        <v>242.9</v>
      </c>
      <c r="AT59" s="450">
        <v>242.68</v>
      </c>
      <c r="AU59" s="450">
        <v>242.46</v>
      </c>
      <c r="AV59" s="450">
        <v>172.44</v>
      </c>
      <c r="AW59" s="450">
        <v>242.05</v>
      </c>
      <c r="AX59" s="450">
        <v>241.85</v>
      </c>
      <c r="AY59" s="450"/>
      <c r="AZ59" s="450"/>
      <c r="BA59" s="450">
        <v>0.0</v>
      </c>
      <c r="BB59" s="450">
        <v>0.0</v>
      </c>
      <c r="BC59" s="450">
        <v>0.0</v>
      </c>
      <c r="BD59" s="450" t="s">
        <v>2566</v>
      </c>
      <c r="BE59" s="450" t="s">
        <v>2566</v>
      </c>
      <c r="BF59" s="450">
        <v>0.0</v>
      </c>
      <c r="BG59" s="450">
        <v>0.0</v>
      </c>
      <c r="BH59" s="450">
        <v>0.0</v>
      </c>
      <c r="BI59" s="450">
        <v>0.0</v>
      </c>
      <c r="BJ59" s="450">
        <v>0.0</v>
      </c>
      <c r="BK59" s="450">
        <v>0.0</v>
      </c>
      <c r="BL59" s="450">
        <v>0.0</v>
      </c>
      <c r="BM59" s="450">
        <v>0.0</v>
      </c>
      <c r="BN59" s="450">
        <v>0.0</v>
      </c>
      <c r="BO59" s="450">
        <v>0.0</v>
      </c>
      <c r="BP59" s="450">
        <v>0.0</v>
      </c>
      <c r="BQ59" s="450">
        <v>0.0</v>
      </c>
      <c r="BR59" s="450">
        <v>0.0</v>
      </c>
      <c r="BS59" s="615">
        <f t="array" ref="BS59">XLOOKUP(D59,'PL TOTAL XP'!A:A,'PL TOTAL XP'!C:C,"0")</f>
        <v>0</v>
      </c>
      <c r="BT59" s="616"/>
    </row>
    <row r="60" ht="15.75" customHeight="1">
      <c r="A60" s="183" t="s">
        <v>3820</v>
      </c>
      <c r="B60" s="78" t="s">
        <v>4022</v>
      </c>
      <c r="C60" s="564" t="s">
        <v>4023</v>
      </c>
      <c r="D60" s="566">
        <v>2588890.0</v>
      </c>
      <c r="E60" s="522" t="s">
        <v>2550</v>
      </c>
      <c r="F60" s="511" t="s">
        <v>29</v>
      </c>
      <c r="G60" s="511" t="s">
        <v>2550</v>
      </c>
      <c r="H60" s="511" t="str">
        <f>IFERROR(VLOOKUP(G60,'Cadastro de assessores'!A:B,2,FALSE),"Não Cadastrado")</f>
        <v>18986</v>
      </c>
      <c r="I60" s="511"/>
      <c r="J60" s="51" t="s">
        <v>186</v>
      </c>
      <c r="K60" s="522" t="s">
        <v>2563</v>
      </c>
      <c r="L60" s="619">
        <v>44390.0</v>
      </c>
      <c r="M60" s="619">
        <v>44390.0</v>
      </c>
      <c r="N60" s="618">
        <v>44524.0</v>
      </c>
      <c r="O60" s="522" t="s">
        <v>3828</v>
      </c>
      <c r="P60" s="612">
        <v>0.015</v>
      </c>
      <c r="Q60" s="620" t="s">
        <v>4024</v>
      </c>
      <c r="R60" s="613"/>
      <c r="S60" s="522" t="str">
        <f t="shared" si="8"/>
        <v>Não Qualificado</v>
      </c>
      <c r="T60" s="522" t="s">
        <v>108</v>
      </c>
      <c r="U60" s="566" t="s">
        <v>4025</v>
      </c>
      <c r="V60" s="566" t="s">
        <v>4026</v>
      </c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614"/>
      <c r="AJ60" s="450"/>
      <c r="AK60" s="450"/>
      <c r="AL60" s="450"/>
      <c r="AM60" s="450"/>
      <c r="AN60" s="450"/>
      <c r="AO60" s="450"/>
      <c r="AP60" s="450"/>
      <c r="AQ60" s="450"/>
      <c r="AR60" s="468"/>
      <c r="AS60" s="450">
        <v>106011.83</v>
      </c>
      <c r="AT60" s="450">
        <v>102334.76</v>
      </c>
      <c r="AU60" s="450">
        <v>101319.29</v>
      </c>
      <c r="AV60" s="450">
        <v>99354.17</v>
      </c>
      <c r="AW60" s="450">
        <v>97509.26</v>
      </c>
      <c r="AX60" s="450">
        <v>97806.26</v>
      </c>
      <c r="AY60" s="450"/>
      <c r="AZ60" s="450"/>
      <c r="BA60" s="450">
        <v>0.0</v>
      </c>
      <c r="BB60" s="450">
        <v>0.0</v>
      </c>
      <c r="BC60" s="450">
        <v>191013.63</v>
      </c>
      <c r="BD60" s="450" t="s">
        <v>2566</v>
      </c>
      <c r="BE60" s="450" t="s">
        <v>2566</v>
      </c>
      <c r="BF60" s="450">
        <v>0.0</v>
      </c>
      <c r="BG60" s="450">
        <v>0.0</v>
      </c>
      <c r="BH60" s="450">
        <v>0.0</v>
      </c>
      <c r="BI60" s="450">
        <v>0.0</v>
      </c>
      <c r="BJ60" s="450">
        <v>0.0</v>
      </c>
      <c r="BK60" s="450">
        <v>0.0</v>
      </c>
      <c r="BL60" s="450">
        <v>0.0</v>
      </c>
      <c r="BM60" s="450">
        <v>0.0</v>
      </c>
      <c r="BN60" s="450">
        <v>0.0</v>
      </c>
      <c r="BO60" s="450">
        <v>0.0</v>
      </c>
      <c r="BP60" s="450">
        <v>0.0</v>
      </c>
      <c r="BQ60" s="450">
        <v>0.0</v>
      </c>
      <c r="BR60" s="450">
        <v>0.0</v>
      </c>
      <c r="BS60" s="615" t="str">
        <f t="array" ref="BS60">XLOOKUP(D60,'PL TOTAL XP'!A:A,'PL TOTAL XP'!C:C,"0")</f>
        <v>0</v>
      </c>
      <c r="BT60" s="616"/>
    </row>
    <row r="61" ht="15.75" customHeight="1">
      <c r="A61" s="183" t="s">
        <v>3820</v>
      </c>
      <c r="B61" s="78" t="s">
        <v>4027</v>
      </c>
      <c r="C61" s="564" t="s">
        <v>4028</v>
      </c>
      <c r="D61" s="566">
        <v>4742962.0</v>
      </c>
      <c r="E61" s="522" t="s">
        <v>18</v>
      </c>
      <c r="F61" s="511" t="s">
        <v>19</v>
      </c>
      <c r="G61" s="511" t="s">
        <v>256</v>
      </c>
      <c r="H61" s="511" t="str">
        <f>IFERROR(VLOOKUP(G61,'Cadastro de assessores'!A:B,2,FALSE),"Não Cadastrado")</f>
        <v>18009</v>
      </c>
      <c r="I61" s="511"/>
      <c r="J61" s="51" t="s">
        <v>186</v>
      </c>
      <c r="K61" s="522" t="s">
        <v>2563</v>
      </c>
      <c r="L61" s="619">
        <v>44204.0</v>
      </c>
      <c r="M61" s="619">
        <v>44204.0</v>
      </c>
      <c r="N61" s="619">
        <v>44657.0</v>
      </c>
      <c r="O61" s="522" t="s">
        <v>4029</v>
      </c>
      <c r="P61" s="612">
        <v>0.02</v>
      </c>
      <c r="Q61" s="620" t="s">
        <v>4006</v>
      </c>
      <c r="R61" s="613"/>
      <c r="S61" s="522" t="str">
        <f t="shared" si="8"/>
        <v>Não Qualificado</v>
      </c>
      <c r="T61" s="522" t="s">
        <v>108</v>
      </c>
      <c r="U61" s="522" t="s">
        <v>2619</v>
      </c>
      <c r="V61" s="522" t="s">
        <v>152</v>
      </c>
      <c r="W61" s="614"/>
      <c r="X61" s="614"/>
      <c r="Y61" s="614"/>
      <c r="Z61" s="614"/>
      <c r="AA61" s="614"/>
      <c r="AB61" s="614"/>
      <c r="AC61" s="614"/>
      <c r="AD61" s="614"/>
      <c r="AE61" s="614"/>
      <c r="AF61" s="614"/>
      <c r="AG61" s="614"/>
      <c r="AH61" s="614"/>
      <c r="AI61" s="614"/>
      <c r="AJ61" s="614"/>
      <c r="AK61" s="450"/>
      <c r="AL61" s="450">
        <v>434726.01</v>
      </c>
      <c r="AM61" s="450">
        <v>418475.72</v>
      </c>
      <c r="AN61" s="450">
        <v>417618.83</v>
      </c>
      <c r="AO61" s="450">
        <v>436143.66</v>
      </c>
      <c r="AP61" s="450">
        <v>439786.4</v>
      </c>
      <c r="AQ61" s="450">
        <v>437059.42</v>
      </c>
      <c r="AR61" s="450">
        <v>452443.61</v>
      </c>
      <c r="AS61" s="450">
        <v>446471.15</v>
      </c>
      <c r="AT61" s="450">
        <v>431450.69</v>
      </c>
      <c r="AU61" s="450">
        <v>425085.63</v>
      </c>
      <c r="AV61" s="450">
        <v>271862.24</v>
      </c>
      <c r="AW61" s="450">
        <v>251776.23</v>
      </c>
      <c r="AX61" s="450">
        <v>133073.58</v>
      </c>
      <c r="AY61" s="450">
        <v>135555.2</v>
      </c>
      <c r="AZ61" s="450">
        <v>1919.43</v>
      </c>
      <c r="BA61" s="450">
        <v>1927.67</v>
      </c>
      <c r="BB61" s="450">
        <v>1939.39</v>
      </c>
      <c r="BC61" s="450">
        <v>131733.32</v>
      </c>
      <c r="BD61" s="450" t="s">
        <v>2566</v>
      </c>
      <c r="BE61" s="450" t="s">
        <v>2566</v>
      </c>
      <c r="BF61" s="450">
        <v>0.0</v>
      </c>
      <c r="BG61" s="450">
        <v>0.0</v>
      </c>
      <c r="BH61" s="450">
        <v>0.0</v>
      </c>
      <c r="BI61" s="450">
        <v>0.0</v>
      </c>
      <c r="BJ61" s="450">
        <v>0.0</v>
      </c>
      <c r="BK61" s="450">
        <v>0.0</v>
      </c>
      <c r="BL61" s="450">
        <v>0.0</v>
      </c>
      <c r="BM61" s="450">
        <v>0.0</v>
      </c>
      <c r="BN61" s="450">
        <v>0.0</v>
      </c>
      <c r="BO61" s="450">
        <v>0.0</v>
      </c>
      <c r="BP61" s="450">
        <v>0.0</v>
      </c>
      <c r="BQ61" s="450">
        <v>0.0</v>
      </c>
      <c r="BR61" s="450">
        <v>0.0</v>
      </c>
      <c r="BS61" s="615" t="str">
        <f t="array" ref="BS61">XLOOKUP(D61,'PL TOTAL XP'!A:A,'PL TOTAL XP'!C:C,"0")</f>
        <v>0</v>
      </c>
      <c r="BT61" s="616"/>
    </row>
    <row r="62" ht="15.75" customHeight="1">
      <c r="A62" s="183" t="s">
        <v>3820</v>
      </c>
      <c r="B62" s="78" t="s">
        <v>4027</v>
      </c>
      <c r="C62" s="564" t="s">
        <v>4028</v>
      </c>
      <c r="D62" s="566">
        <v>3556718.0</v>
      </c>
      <c r="E62" s="522" t="s">
        <v>18</v>
      </c>
      <c r="F62" s="511" t="s">
        <v>19</v>
      </c>
      <c r="G62" s="511" t="s">
        <v>256</v>
      </c>
      <c r="H62" s="511" t="str">
        <f>IFERROR(VLOOKUP(G62,'Cadastro de assessores'!A:B,2,FALSE),"Não Cadastrado")</f>
        <v>18009</v>
      </c>
      <c r="I62" s="511"/>
      <c r="J62" s="51" t="s">
        <v>186</v>
      </c>
      <c r="K62" s="522" t="s">
        <v>2563</v>
      </c>
      <c r="L62" s="619">
        <v>44426.0</v>
      </c>
      <c r="M62" s="619">
        <v>44426.0</v>
      </c>
      <c r="N62" s="619">
        <v>44657.0</v>
      </c>
      <c r="O62" s="522" t="s">
        <v>4030</v>
      </c>
      <c r="P62" s="612">
        <v>0.008</v>
      </c>
      <c r="Q62" s="620" t="s">
        <v>4006</v>
      </c>
      <c r="R62" s="613"/>
      <c r="S62" s="522" t="str">
        <f t="shared" si="8"/>
        <v>Não Qualificado</v>
      </c>
      <c r="T62" s="522" t="s">
        <v>108</v>
      </c>
      <c r="U62" s="522" t="s">
        <v>2619</v>
      </c>
      <c r="V62" s="522" t="s">
        <v>152</v>
      </c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614"/>
      <c r="AI62" s="614"/>
      <c r="AJ62" s="450"/>
      <c r="AK62" s="450"/>
      <c r="AL62" s="450"/>
      <c r="AM62" s="450"/>
      <c r="AN62" s="450"/>
      <c r="AO62" s="450"/>
      <c r="AP62" s="450"/>
      <c r="AQ62" s="450"/>
      <c r="AR62" s="450"/>
      <c r="AS62" s="634"/>
      <c r="AT62" s="449"/>
      <c r="AU62" s="449">
        <v>60288.99</v>
      </c>
      <c r="AV62" s="450">
        <v>2904051.38</v>
      </c>
      <c r="AW62" s="450">
        <v>2792162.39</v>
      </c>
      <c r="AX62" s="450">
        <v>2836438.21</v>
      </c>
      <c r="AY62" s="450">
        <v>2844691.05</v>
      </c>
      <c r="AZ62" s="450">
        <v>2864328.68</v>
      </c>
      <c r="BA62" s="450">
        <v>2882375.23</v>
      </c>
      <c r="BB62" s="450">
        <v>2961585.95</v>
      </c>
      <c r="BC62" s="450">
        <v>563979.42</v>
      </c>
      <c r="BD62" s="450" t="s">
        <v>2566</v>
      </c>
      <c r="BE62" s="450" t="s">
        <v>2566</v>
      </c>
      <c r="BF62" s="450">
        <v>0.0</v>
      </c>
      <c r="BG62" s="450">
        <v>0.0</v>
      </c>
      <c r="BH62" s="450">
        <v>0.0</v>
      </c>
      <c r="BI62" s="450">
        <v>0.0</v>
      </c>
      <c r="BJ62" s="450">
        <v>0.0</v>
      </c>
      <c r="BK62" s="450">
        <v>0.0</v>
      </c>
      <c r="BL62" s="450">
        <v>0.0</v>
      </c>
      <c r="BM62" s="450">
        <v>0.0</v>
      </c>
      <c r="BN62" s="450">
        <v>0.0</v>
      </c>
      <c r="BO62" s="450">
        <v>0.0</v>
      </c>
      <c r="BP62" s="450">
        <v>0.0</v>
      </c>
      <c r="BQ62" s="450">
        <v>0.0</v>
      </c>
      <c r="BR62" s="450">
        <v>0.0</v>
      </c>
      <c r="BS62" s="615" t="str">
        <f t="array" ref="BS62">XLOOKUP(D62,'PL TOTAL XP'!A:A,'PL TOTAL XP'!C:C,"0")</f>
        <v>0</v>
      </c>
      <c r="BT62" s="616"/>
    </row>
    <row r="63" ht="15.75" customHeight="1">
      <c r="A63" s="183" t="s">
        <v>3820</v>
      </c>
      <c r="B63" s="78" t="s">
        <v>484</v>
      </c>
      <c r="C63" s="132" t="s">
        <v>481</v>
      </c>
      <c r="D63" s="566">
        <v>43315.0</v>
      </c>
      <c r="E63" s="609" t="s">
        <v>18</v>
      </c>
      <c r="F63" s="609" t="s">
        <v>176</v>
      </c>
      <c r="G63" s="609" t="s">
        <v>197</v>
      </c>
      <c r="H63" s="627" t="str">
        <f>IFERROR(VLOOKUP(G63,'Cadastro de assessores'!A:B,2,FALSE),"Não Cadastrado")</f>
        <v>28411</v>
      </c>
      <c r="I63" s="627"/>
      <c r="J63" s="51" t="s">
        <v>3823</v>
      </c>
      <c r="K63" s="512" t="s">
        <v>107</v>
      </c>
      <c r="L63" s="610">
        <v>44564.0</v>
      </c>
      <c r="M63" s="610">
        <v>44586.0</v>
      </c>
      <c r="N63" s="566"/>
      <c r="O63" s="566" t="s">
        <v>3834</v>
      </c>
      <c r="P63" s="612">
        <v>0.012</v>
      </c>
      <c r="Q63" s="620" t="s">
        <v>4031</v>
      </c>
      <c r="R63" s="613"/>
      <c r="S63" s="522" t="str">
        <f t="shared" si="8"/>
        <v/>
      </c>
      <c r="T63" s="522" t="s">
        <v>108</v>
      </c>
      <c r="U63" s="522" t="s">
        <v>2609</v>
      </c>
      <c r="V63" s="522" t="s">
        <v>180</v>
      </c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614"/>
      <c r="AJ63" s="450"/>
      <c r="AK63" s="450"/>
      <c r="AL63" s="450"/>
      <c r="AM63" s="450"/>
      <c r="AN63" s="450"/>
      <c r="AO63" s="450"/>
      <c r="AP63" s="450"/>
      <c r="AQ63" s="450"/>
      <c r="AR63" s="450"/>
      <c r="AS63" s="450"/>
      <c r="AT63" s="450"/>
      <c r="AU63" s="450"/>
      <c r="AV63" s="450"/>
      <c r="AW63" s="450"/>
      <c r="AX63" s="450"/>
      <c r="AY63" s="468"/>
      <c r="AZ63" s="614"/>
      <c r="BA63" s="614">
        <v>97879.36</v>
      </c>
      <c r="BB63" s="614">
        <v>95156.47</v>
      </c>
      <c r="BC63" s="614">
        <v>0.0</v>
      </c>
      <c r="BD63" s="450">
        <v>156957.35</v>
      </c>
      <c r="BE63" s="450">
        <v>158562.11</v>
      </c>
      <c r="BF63" s="450">
        <v>164970.11</v>
      </c>
      <c r="BG63" s="450">
        <v>179209.5745</v>
      </c>
      <c r="BH63" s="450">
        <v>184698.41</v>
      </c>
      <c r="BI63" s="450">
        <v>193407.34</v>
      </c>
      <c r="BJ63" s="450">
        <v>192307.34</v>
      </c>
      <c r="BK63" s="450">
        <v>166842.57</v>
      </c>
      <c r="BL63" s="450">
        <v>169422.92</v>
      </c>
      <c r="BM63" s="450">
        <v>171895.57</v>
      </c>
      <c r="BN63" s="450">
        <v>174217.07</v>
      </c>
      <c r="BO63" s="450">
        <v>176873.06</v>
      </c>
      <c r="BP63" s="450">
        <v>111695.7</v>
      </c>
      <c r="BQ63" s="450">
        <v>41482.47</v>
      </c>
      <c r="BR63" s="450">
        <v>42068.97</v>
      </c>
      <c r="BS63" s="615">
        <f t="array" ref="BS63">XLOOKUP(D63,'PL TOTAL XP'!A:A,'PL TOTAL XP'!C:C,"0")</f>
        <v>0</v>
      </c>
      <c r="BT63" s="616"/>
    </row>
    <row r="64" ht="15.75" customHeight="1">
      <c r="A64" s="183" t="s">
        <v>3820</v>
      </c>
      <c r="B64" s="78" t="s">
        <v>4032</v>
      </c>
      <c r="C64" s="564" t="s">
        <v>4033</v>
      </c>
      <c r="D64" s="566">
        <v>3500160.0</v>
      </c>
      <c r="E64" s="512" t="s">
        <v>105</v>
      </c>
      <c r="F64" s="512" t="s">
        <v>29</v>
      </c>
      <c r="G64" s="566" t="s">
        <v>3873</v>
      </c>
      <c r="H64" s="627" t="str">
        <f>IFERROR(VLOOKUP(G64,'Cadastro de assessores'!A:B,2,FALSE),"Não Cadastrado")</f>
        <v>12624</v>
      </c>
      <c r="I64" s="627"/>
      <c r="J64" s="51" t="s">
        <v>186</v>
      </c>
      <c r="K64" s="512" t="s">
        <v>107</v>
      </c>
      <c r="L64" s="624">
        <v>44679.0</v>
      </c>
      <c r="M64" s="624">
        <v>44680.0</v>
      </c>
      <c r="N64" s="566"/>
      <c r="O64" s="566" t="s">
        <v>4034</v>
      </c>
      <c r="P64" s="612">
        <v>0.01</v>
      </c>
      <c r="Q64" s="620"/>
      <c r="R64" s="613"/>
      <c r="S64" s="522" t="str">
        <f t="shared" si="8"/>
        <v>Não Qualificado</v>
      </c>
      <c r="T64" s="522" t="s">
        <v>108</v>
      </c>
      <c r="U64" s="522"/>
      <c r="V64" s="522" t="s">
        <v>29</v>
      </c>
      <c r="W64" s="614"/>
      <c r="X64" s="614"/>
      <c r="Y64" s="614"/>
      <c r="Z64" s="614"/>
      <c r="AA64" s="614"/>
      <c r="AB64" s="614"/>
      <c r="AC64" s="614"/>
      <c r="AD64" s="614"/>
      <c r="AE64" s="614"/>
      <c r="AF64" s="614"/>
      <c r="AG64" s="614"/>
      <c r="AH64" s="614"/>
      <c r="AI64" s="614"/>
      <c r="AJ64" s="614"/>
      <c r="AK64" s="450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450">
        <v>86712.35</v>
      </c>
      <c r="BD64" s="450">
        <v>551924.11</v>
      </c>
      <c r="BE64" s="450">
        <v>628893.41</v>
      </c>
      <c r="BF64" s="450">
        <v>644525.31</v>
      </c>
      <c r="BG64" s="450">
        <v>646468.5883</v>
      </c>
      <c r="BH64" s="450">
        <v>558183.69</v>
      </c>
      <c r="BI64" s="450">
        <v>564792.8</v>
      </c>
      <c r="BJ64" s="450">
        <v>566420.29</v>
      </c>
      <c r="BK64" s="450">
        <v>571031.62</v>
      </c>
      <c r="BL64" s="450">
        <v>577206.08</v>
      </c>
      <c r="BM64" s="450">
        <v>611318.23</v>
      </c>
      <c r="BN64" s="450">
        <v>617870.66</v>
      </c>
      <c r="BO64" s="450">
        <v>642670.84</v>
      </c>
      <c r="BP64" s="450">
        <v>668939.11</v>
      </c>
      <c r="BQ64" s="450">
        <v>693787.01</v>
      </c>
      <c r="BR64" s="450">
        <v>700310.25</v>
      </c>
      <c r="BS64" s="615">
        <f t="array" ref="BS64">XLOOKUP(D64,'PL TOTAL XP'!A:A,'PL TOTAL XP'!C:C,"0")</f>
        <v>911832.91</v>
      </c>
      <c r="BT64" s="616"/>
    </row>
    <row r="65" ht="15.75" customHeight="1">
      <c r="A65" s="183" t="s">
        <v>3820</v>
      </c>
      <c r="B65" s="78" t="s">
        <v>4035</v>
      </c>
      <c r="C65" s="564" t="s">
        <v>4036</v>
      </c>
      <c r="D65" s="566">
        <v>4452023.0</v>
      </c>
      <c r="E65" s="512" t="s">
        <v>18</v>
      </c>
      <c r="F65" s="609" t="s">
        <v>29</v>
      </c>
      <c r="G65" s="609" t="s">
        <v>2931</v>
      </c>
      <c r="H65" s="609" t="str">
        <f>IFERROR(VLOOKUP(G65,'Cadastro de assessores'!A:B,2,FALSE),"Não Cadastrado")</f>
        <v>13444</v>
      </c>
      <c r="I65" s="609"/>
      <c r="J65" s="46" t="s">
        <v>107</v>
      </c>
      <c r="K65" s="512" t="s">
        <v>107</v>
      </c>
      <c r="L65" s="610">
        <v>44372.0</v>
      </c>
      <c r="M65" s="610">
        <v>44372.0</v>
      </c>
      <c r="N65" s="566"/>
      <c r="O65" s="566" t="s">
        <v>4037</v>
      </c>
      <c r="P65" s="612">
        <v>0.02</v>
      </c>
      <c r="Q65" s="620"/>
      <c r="R65" s="613"/>
      <c r="S65" s="522" t="str">
        <f t="shared" si="8"/>
        <v/>
      </c>
      <c r="T65" s="566" t="s">
        <v>108</v>
      </c>
      <c r="U65" s="522" t="s">
        <v>4038</v>
      </c>
      <c r="V65" s="522" t="s">
        <v>34</v>
      </c>
      <c r="W65" s="614"/>
      <c r="X65" s="614"/>
      <c r="Y65" s="614"/>
      <c r="Z65" s="614"/>
      <c r="AA65" s="614"/>
      <c r="AB65" s="614"/>
      <c r="AC65" s="614"/>
      <c r="AD65" s="614"/>
      <c r="AE65" s="614"/>
      <c r="AF65" s="614"/>
      <c r="AG65" s="614"/>
      <c r="AH65" s="614"/>
      <c r="AI65" s="614"/>
      <c r="AJ65" s="614"/>
      <c r="AK65" s="450"/>
      <c r="AL65" s="450"/>
      <c r="AM65" s="450"/>
      <c r="AN65" s="450"/>
      <c r="AO65" s="450"/>
      <c r="AP65" s="450"/>
      <c r="AQ65" s="450"/>
      <c r="AR65" s="450"/>
      <c r="AS65" s="450">
        <v>182806.02</v>
      </c>
      <c r="AT65" s="450">
        <v>171154.36</v>
      </c>
      <c r="AU65" s="450">
        <v>168038.4</v>
      </c>
      <c r="AV65" s="450">
        <v>154956.32</v>
      </c>
      <c r="AW65" s="450">
        <v>140763.67</v>
      </c>
      <c r="AX65" s="450">
        <v>128937.92</v>
      </c>
      <c r="AY65" s="450">
        <v>133320.07</v>
      </c>
      <c r="AZ65" s="450">
        <v>138203.26</v>
      </c>
      <c r="BA65" s="450">
        <v>142152.07</v>
      </c>
      <c r="BB65" s="450">
        <v>148950.83</v>
      </c>
      <c r="BC65" s="450">
        <v>0.0</v>
      </c>
      <c r="BD65" s="450">
        <v>141575.04</v>
      </c>
      <c r="BE65" s="450">
        <v>118174.81</v>
      </c>
      <c r="BF65" s="450">
        <v>127177.6</v>
      </c>
      <c r="BG65" s="450">
        <v>134964.46</v>
      </c>
      <c r="BH65" s="450">
        <v>129897.0</v>
      </c>
      <c r="BI65" s="450">
        <v>144781.6</v>
      </c>
      <c r="BJ65" s="450">
        <v>135596.28</v>
      </c>
      <c r="BK65" s="450">
        <v>132348.95</v>
      </c>
      <c r="BL65" s="450">
        <v>136152.09</v>
      </c>
      <c r="BM65" s="450">
        <v>125062.28</v>
      </c>
      <c r="BN65" s="450">
        <v>118241.11</v>
      </c>
      <c r="BO65" s="450">
        <v>116369.28</v>
      </c>
      <c r="BP65" s="450">
        <v>130009.61</v>
      </c>
      <c r="BQ65" s="450">
        <v>138819.23</v>
      </c>
      <c r="BR65" s="450">
        <v>144286.31</v>
      </c>
      <c r="BS65" s="615">
        <f t="array" ref="BS65">XLOOKUP(D65,'PL TOTAL XP'!A:A,'PL TOTAL XP'!C:C,"0")</f>
        <v>120471.54</v>
      </c>
      <c r="BT65" s="616"/>
    </row>
    <row r="66" ht="15.75" customHeight="1">
      <c r="A66" s="183" t="s">
        <v>3820</v>
      </c>
      <c r="B66" s="78" t="s">
        <v>4039</v>
      </c>
      <c r="C66" s="617" t="s">
        <v>4040</v>
      </c>
      <c r="D66" s="522">
        <v>4765516.0</v>
      </c>
      <c r="E66" s="522" t="s">
        <v>105</v>
      </c>
      <c r="F66" s="522" t="s">
        <v>29</v>
      </c>
      <c r="G66" s="522" t="s">
        <v>3660</v>
      </c>
      <c r="H66" s="522" t="str">
        <f>IFERROR(VLOOKUP(G66,'Cadastro de assessores'!A:B,2,FALSE),"Não Cadastrado")</f>
        <v>14574</v>
      </c>
      <c r="I66" s="522"/>
      <c r="J66" s="51" t="s">
        <v>186</v>
      </c>
      <c r="K66" s="522" t="s">
        <v>2563</v>
      </c>
      <c r="L66" s="619">
        <v>44228.0</v>
      </c>
      <c r="M66" s="619">
        <v>44228.0</v>
      </c>
      <c r="N66" s="619">
        <v>44418.0</v>
      </c>
      <c r="O66" s="522" t="s">
        <v>3824</v>
      </c>
      <c r="P66" s="612">
        <v>0.02</v>
      </c>
      <c r="Q66" s="620" t="s">
        <v>4041</v>
      </c>
      <c r="R66" s="613"/>
      <c r="S66" s="522" t="str">
        <f t="shared" si="8"/>
        <v>Não Qualificado</v>
      </c>
      <c r="T66" s="522" t="s">
        <v>108</v>
      </c>
      <c r="U66" s="522" t="s">
        <v>2602</v>
      </c>
      <c r="V66" s="522" t="s">
        <v>29</v>
      </c>
      <c r="W66" s="614"/>
      <c r="X66" s="614"/>
      <c r="Y66" s="614"/>
      <c r="Z66" s="614"/>
      <c r="AA66" s="614"/>
      <c r="AB66" s="614"/>
      <c r="AC66" s="614"/>
      <c r="AD66" s="614"/>
      <c r="AE66" s="614"/>
      <c r="AF66" s="614"/>
      <c r="AG66" s="614"/>
      <c r="AH66" s="614"/>
      <c r="AI66" s="614"/>
      <c r="AJ66" s="614"/>
      <c r="AK66" s="450"/>
      <c r="AL66" s="450"/>
      <c r="AM66" s="450">
        <v>98127.3</v>
      </c>
      <c r="AN66" s="450">
        <v>98424.99</v>
      </c>
      <c r="AO66" s="450">
        <v>102944.08</v>
      </c>
      <c r="AP66" s="450">
        <v>103795.79</v>
      </c>
      <c r="AQ66" s="450">
        <v>103154.55</v>
      </c>
      <c r="AR66" s="450">
        <v>868.66</v>
      </c>
      <c r="AS66" s="450">
        <v>531.53</v>
      </c>
      <c r="AT66" s="450">
        <v>434.96</v>
      </c>
      <c r="AU66" s="450"/>
      <c r="AV66" s="450"/>
      <c r="AW66" s="450"/>
      <c r="AX66" s="450"/>
      <c r="AY66" s="450"/>
      <c r="AZ66" s="450"/>
      <c r="BA66" s="450">
        <v>0.0</v>
      </c>
      <c r="BB66" s="450">
        <v>0.0</v>
      </c>
      <c r="BC66" s="450">
        <v>134083.35</v>
      </c>
      <c r="BD66" s="450" t="s">
        <v>2566</v>
      </c>
      <c r="BE66" s="450" t="s">
        <v>2566</v>
      </c>
      <c r="BF66" s="450">
        <v>0.0</v>
      </c>
      <c r="BG66" s="450">
        <v>0.0</v>
      </c>
      <c r="BH66" s="450">
        <v>0.0</v>
      </c>
      <c r="BI66" s="450">
        <v>0.0</v>
      </c>
      <c r="BJ66" s="450">
        <v>0.0</v>
      </c>
      <c r="BK66" s="450">
        <v>0.0</v>
      </c>
      <c r="BL66" s="450">
        <v>0.0</v>
      </c>
      <c r="BM66" s="450">
        <v>0.0</v>
      </c>
      <c r="BN66" s="450">
        <v>0.0</v>
      </c>
      <c r="BO66" s="450">
        <v>0.0</v>
      </c>
      <c r="BP66" s="450">
        <v>0.0</v>
      </c>
      <c r="BQ66" s="450">
        <v>0.0</v>
      </c>
      <c r="BR66" s="450">
        <v>0.0</v>
      </c>
      <c r="BS66" s="615" t="str">
        <f t="array" ref="BS66">XLOOKUP(D66,'PL TOTAL XP'!A:A,'PL TOTAL XP'!C:C,"0")</f>
        <v>0</v>
      </c>
      <c r="BT66" s="616"/>
    </row>
    <row r="67" ht="15.75" customHeight="1">
      <c r="A67" s="183" t="s">
        <v>3820</v>
      </c>
      <c r="B67" s="78" t="s">
        <v>4042</v>
      </c>
      <c r="C67" s="564" t="s">
        <v>4043</v>
      </c>
      <c r="D67" s="635">
        <v>7119368.0</v>
      </c>
      <c r="E67" s="522" t="s">
        <v>18</v>
      </c>
      <c r="F67" s="511" t="s">
        <v>19</v>
      </c>
      <c r="G67" s="566" t="s">
        <v>122</v>
      </c>
      <c r="H67" s="522" t="str">
        <f>IFERROR(VLOOKUP(G67,'Cadastro de assessores'!A:B,2,FALSE),"Não Cadastrado")</f>
        <v>18890</v>
      </c>
      <c r="I67" s="522"/>
      <c r="J67" s="51" t="s">
        <v>186</v>
      </c>
      <c r="K67" s="522" t="s">
        <v>2563</v>
      </c>
      <c r="L67" s="618">
        <v>44523.0</v>
      </c>
      <c r="M67" s="618">
        <v>44523.0</v>
      </c>
      <c r="N67" s="567">
        <v>44700.0</v>
      </c>
      <c r="O67" s="566" t="s">
        <v>3834</v>
      </c>
      <c r="P67" s="612">
        <v>0.007</v>
      </c>
      <c r="Q67" s="224" t="s">
        <v>3990</v>
      </c>
      <c r="R67" s="613"/>
      <c r="S67" s="522" t="str">
        <f t="shared" si="8"/>
        <v>Não Qualificado</v>
      </c>
      <c r="T67" s="522" t="s">
        <v>108</v>
      </c>
      <c r="U67" s="522" t="s">
        <v>2842</v>
      </c>
      <c r="V67" s="511" t="s">
        <v>19</v>
      </c>
      <c r="W67" s="636"/>
      <c r="X67" s="636"/>
      <c r="Y67" s="636"/>
      <c r="Z67" s="636"/>
      <c r="AA67" s="636"/>
      <c r="AB67" s="636"/>
      <c r="AC67" s="636"/>
      <c r="AD67" s="636"/>
      <c r="AE67" s="636"/>
      <c r="AF67" s="636"/>
      <c r="AG67" s="614"/>
      <c r="AH67" s="614"/>
      <c r="AI67" s="614"/>
      <c r="AJ67" s="450"/>
      <c r="AK67" s="450"/>
      <c r="AL67" s="450"/>
      <c r="AM67" s="450"/>
      <c r="AN67" s="450"/>
      <c r="AO67" s="450"/>
      <c r="AP67" s="450"/>
      <c r="AQ67" s="450"/>
      <c r="AR67" s="450"/>
      <c r="AS67" s="450"/>
      <c r="AT67" s="450"/>
      <c r="AU67" s="450"/>
      <c r="AV67" s="450"/>
      <c r="AW67" s="636"/>
      <c r="AX67" s="448"/>
      <c r="AY67" s="448">
        <v>119386.22</v>
      </c>
      <c r="AZ67" s="450">
        <v>121994.07</v>
      </c>
      <c r="BA67" s="450">
        <v>122849.52</v>
      </c>
      <c r="BB67" s="450">
        <v>0.0</v>
      </c>
      <c r="BC67" s="450">
        <v>46556.07</v>
      </c>
      <c r="BD67" s="450" t="s">
        <v>2566</v>
      </c>
      <c r="BE67" s="450" t="s">
        <v>2566</v>
      </c>
      <c r="BF67" s="450">
        <v>0.0</v>
      </c>
      <c r="BG67" s="450">
        <v>0.0</v>
      </c>
      <c r="BH67" s="450">
        <v>0.0</v>
      </c>
      <c r="BI67" s="450">
        <v>0.0</v>
      </c>
      <c r="BJ67" s="450">
        <v>0.0</v>
      </c>
      <c r="BK67" s="450">
        <v>0.0</v>
      </c>
      <c r="BL67" s="450">
        <v>0.0</v>
      </c>
      <c r="BM67" s="450">
        <v>0.0</v>
      </c>
      <c r="BN67" s="450">
        <v>0.0</v>
      </c>
      <c r="BO67" s="450">
        <v>0.0</v>
      </c>
      <c r="BP67" s="450">
        <v>0.0</v>
      </c>
      <c r="BQ67" s="450">
        <v>0.0</v>
      </c>
      <c r="BR67" s="450">
        <v>0.0</v>
      </c>
      <c r="BS67" s="615" t="str">
        <f t="array" ref="BS67">XLOOKUP(D67,'PL TOTAL XP'!A:A,'PL TOTAL XP'!C:C,"0")</f>
        <v>0</v>
      </c>
      <c r="BT67" s="616"/>
    </row>
    <row r="68" ht="15.75" customHeight="1">
      <c r="A68" s="183" t="s">
        <v>3820</v>
      </c>
      <c r="B68" s="78" t="s">
        <v>4042</v>
      </c>
      <c r="C68" s="564" t="s">
        <v>4043</v>
      </c>
      <c r="D68" s="566">
        <v>7207902.0</v>
      </c>
      <c r="E68" s="522" t="s">
        <v>18</v>
      </c>
      <c r="F68" s="511" t="s">
        <v>19</v>
      </c>
      <c r="G68" s="566" t="s">
        <v>122</v>
      </c>
      <c r="H68" s="522" t="str">
        <f>IFERROR(VLOOKUP(G68,'Cadastro de assessores'!A:B,2,FALSE),"Não Cadastrado")</f>
        <v>18890</v>
      </c>
      <c r="I68" s="522"/>
      <c r="J68" s="51" t="s">
        <v>186</v>
      </c>
      <c r="K68" s="522" t="s">
        <v>2563</v>
      </c>
      <c r="L68" s="618">
        <v>44523.0</v>
      </c>
      <c r="M68" s="618">
        <v>44523.0</v>
      </c>
      <c r="N68" s="567">
        <v>44700.0</v>
      </c>
      <c r="O68" s="566" t="s">
        <v>3834</v>
      </c>
      <c r="P68" s="612">
        <v>0.007</v>
      </c>
      <c r="Q68" s="224" t="s">
        <v>3990</v>
      </c>
      <c r="R68" s="613"/>
      <c r="S68" s="522" t="str">
        <f t="shared" si="8"/>
        <v>Não Qualificado</v>
      </c>
      <c r="T68" s="522" t="s">
        <v>108</v>
      </c>
      <c r="U68" s="522" t="s">
        <v>2842</v>
      </c>
      <c r="V68" s="511" t="s">
        <v>19</v>
      </c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14"/>
      <c r="AH68" s="614"/>
      <c r="AI68" s="614"/>
      <c r="AJ68" s="450"/>
      <c r="AK68" s="450"/>
      <c r="AL68" s="450"/>
      <c r="AM68" s="450"/>
      <c r="AN68" s="450"/>
      <c r="AO68" s="450"/>
      <c r="AP68" s="450"/>
      <c r="AQ68" s="450"/>
      <c r="AR68" s="450"/>
      <c r="AS68" s="450"/>
      <c r="AT68" s="450"/>
      <c r="AU68" s="450"/>
      <c r="AV68" s="450"/>
      <c r="AW68" s="636"/>
      <c r="AX68" s="448"/>
      <c r="AY68" s="448">
        <v>74609.09</v>
      </c>
      <c r="AZ68" s="450">
        <v>77633.97</v>
      </c>
      <c r="BA68" s="450">
        <v>78152.13</v>
      </c>
      <c r="BB68" s="450">
        <v>272.27</v>
      </c>
      <c r="BC68" s="450">
        <v>172455.66</v>
      </c>
      <c r="BD68" s="450" t="s">
        <v>2566</v>
      </c>
      <c r="BE68" s="450" t="s">
        <v>2566</v>
      </c>
      <c r="BF68" s="450">
        <v>0.0</v>
      </c>
      <c r="BG68" s="450">
        <v>0.0</v>
      </c>
      <c r="BH68" s="450">
        <v>0.0</v>
      </c>
      <c r="BI68" s="450">
        <v>0.0</v>
      </c>
      <c r="BJ68" s="450">
        <v>0.0</v>
      </c>
      <c r="BK68" s="450">
        <v>0.0</v>
      </c>
      <c r="BL68" s="450">
        <v>0.0</v>
      </c>
      <c r="BM68" s="450">
        <v>0.0</v>
      </c>
      <c r="BN68" s="450">
        <v>0.0</v>
      </c>
      <c r="BO68" s="450">
        <v>0.0</v>
      </c>
      <c r="BP68" s="450">
        <v>0.0</v>
      </c>
      <c r="BQ68" s="450">
        <v>0.0</v>
      </c>
      <c r="BR68" s="450">
        <v>0.0</v>
      </c>
      <c r="BS68" s="615" t="str">
        <f t="array" ref="BS68">XLOOKUP(D68,'PL TOTAL XP'!A:A,'PL TOTAL XP'!C:C,"0")</f>
        <v>0</v>
      </c>
      <c r="BT68" s="616"/>
    </row>
    <row r="69" ht="15.75" customHeight="1">
      <c r="A69" s="183" t="s">
        <v>3820</v>
      </c>
      <c r="B69" s="78" t="s">
        <v>497</v>
      </c>
      <c r="C69" s="637" t="s">
        <v>4044</v>
      </c>
      <c r="D69" s="638">
        <v>3286506.0</v>
      </c>
      <c r="E69" s="522" t="s">
        <v>18</v>
      </c>
      <c r="F69" s="522" t="s">
        <v>29</v>
      </c>
      <c r="G69" s="522" t="s">
        <v>294</v>
      </c>
      <c r="H69" s="522"/>
      <c r="I69" s="522"/>
      <c r="J69" s="51" t="s">
        <v>3823</v>
      </c>
      <c r="K69" s="522"/>
      <c r="L69" s="618"/>
      <c r="M69" s="618">
        <v>44932.0</v>
      </c>
      <c r="N69" s="619"/>
      <c r="O69" s="522" t="s">
        <v>3828</v>
      </c>
      <c r="P69" s="612">
        <v>0.01</v>
      </c>
      <c r="Q69" s="639" t="s">
        <v>4045</v>
      </c>
      <c r="R69" s="613"/>
      <c r="S69" s="522"/>
      <c r="T69" s="522"/>
      <c r="U69" s="522"/>
      <c r="V69" s="522" t="s">
        <v>29</v>
      </c>
      <c r="W69" s="614"/>
      <c r="X69" s="614"/>
      <c r="Y69" s="614"/>
      <c r="Z69" s="614"/>
      <c r="AA69" s="614"/>
      <c r="AB69" s="614"/>
      <c r="AC69" s="614"/>
      <c r="AD69" s="614"/>
      <c r="AE69" s="614"/>
      <c r="AF69" s="614"/>
      <c r="AG69" s="614"/>
      <c r="AH69" s="614"/>
      <c r="AI69" s="614"/>
      <c r="AJ69" s="614"/>
      <c r="AK69" s="450"/>
      <c r="AL69" s="450"/>
      <c r="AM69" s="450"/>
      <c r="AN69" s="450"/>
      <c r="AO69" s="450"/>
      <c r="AP69" s="450"/>
      <c r="AQ69" s="450"/>
      <c r="AR69" s="450"/>
      <c r="AS69" s="450"/>
      <c r="AT69" s="450"/>
      <c r="AU69" s="450"/>
      <c r="AV69" s="450"/>
      <c r="AW69" s="450"/>
      <c r="AX69" s="450"/>
      <c r="AY69" s="450"/>
      <c r="AZ69" s="450"/>
      <c r="BA69" s="450"/>
      <c r="BB69" s="450"/>
      <c r="BC69" s="450"/>
      <c r="BD69" s="450"/>
      <c r="BE69" s="450"/>
      <c r="BF69" s="450"/>
      <c r="BG69" s="450"/>
      <c r="BH69" s="450"/>
      <c r="BI69" s="450"/>
      <c r="BJ69" s="450">
        <v>0.0</v>
      </c>
      <c r="BK69" s="450">
        <v>106829.09</v>
      </c>
      <c r="BL69" s="450">
        <v>101264.3</v>
      </c>
      <c r="BM69" s="450">
        <v>83344.02</v>
      </c>
      <c r="BN69" s="450">
        <v>3594.64</v>
      </c>
      <c r="BO69" s="450">
        <v>3625.08</v>
      </c>
      <c r="BP69" s="450">
        <v>0.0</v>
      </c>
      <c r="BQ69" s="450">
        <v>0.0</v>
      </c>
      <c r="BR69" s="450">
        <v>0.0</v>
      </c>
      <c r="BS69" s="615">
        <f t="array" ref="BS69">XLOOKUP(D69,'PL TOTAL XP'!A:A,'PL TOTAL XP'!C:C,"0")</f>
        <v>0</v>
      </c>
      <c r="BT69" s="616"/>
    </row>
    <row r="70" ht="15.75" customHeight="1">
      <c r="A70" s="183" t="s">
        <v>3820</v>
      </c>
      <c r="B70" s="78" t="s">
        <v>500</v>
      </c>
      <c r="C70" s="617" t="s">
        <v>4046</v>
      </c>
      <c r="D70" s="79">
        <v>3360893.0</v>
      </c>
      <c r="E70" s="512" t="s">
        <v>18</v>
      </c>
      <c r="F70" s="512" t="s">
        <v>19</v>
      </c>
      <c r="G70" s="512" t="s">
        <v>20</v>
      </c>
      <c r="H70" s="512">
        <f>IFERROR(VLOOKUP(G70,'Cadastro de assessores'!A:B,2,FALSE),"Não Cadastrado")</f>
        <v>12331</v>
      </c>
      <c r="I70" s="512"/>
      <c r="J70" s="51" t="s">
        <v>3823</v>
      </c>
      <c r="K70" s="512" t="s">
        <v>107</v>
      </c>
      <c r="L70" s="610">
        <v>44733.0</v>
      </c>
      <c r="M70" s="610">
        <v>44759.0</v>
      </c>
      <c r="N70" s="522"/>
      <c r="O70" s="522" t="s">
        <v>3834</v>
      </c>
      <c r="P70" s="612">
        <v>0.007</v>
      </c>
      <c r="Q70" s="620"/>
      <c r="R70" s="613"/>
      <c r="S70" s="522"/>
      <c r="T70" s="522" t="s">
        <v>108</v>
      </c>
      <c r="U70" s="522" t="s">
        <v>2652</v>
      </c>
      <c r="V70" s="522" t="s">
        <v>19</v>
      </c>
      <c r="W70" s="614"/>
      <c r="X70" s="614"/>
      <c r="Y70" s="614"/>
      <c r="Z70" s="614"/>
      <c r="AA70" s="614"/>
      <c r="AB70" s="614"/>
      <c r="AC70" s="614"/>
      <c r="AD70" s="614"/>
      <c r="AE70" s="614"/>
      <c r="AF70" s="614"/>
      <c r="AG70" s="614"/>
      <c r="AH70" s="614"/>
      <c r="AI70" s="614"/>
      <c r="AJ70" s="614"/>
      <c r="AK70" s="450"/>
      <c r="AL70" s="450"/>
      <c r="AM70" s="450"/>
      <c r="AN70" s="450"/>
      <c r="AO70" s="450"/>
      <c r="AP70" s="450"/>
      <c r="AQ70" s="450"/>
      <c r="AR70" s="450"/>
      <c r="AS70" s="450"/>
      <c r="AT70" s="450"/>
      <c r="AU70" s="450"/>
      <c r="AV70" s="450"/>
      <c r="AW70" s="450"/>
      <c r="AX70" s="450"/>
      <c r="AY70" s="450"/>
      <c r="AZ70" s="450"/>
      <c r="BA70" s="450"/>
      <c r="BB70" s="450"/>
      <c r="BC70" s="450"/>
      <c r="BD70" s="450"/>
      <c r="BE70" s="450"/>
      <c r="BF70" s="450">
        <v>69567.89</v>
      </c>
      <c r="BG70" s="450">
        <v>76389.15609</v>
      </c>
      <c r="BH70" s="450">
        <v>80467.68</v>
      </c>
      <c r="BI70" s="450">
        <v>87107.35</v>
      </c>
      <c r="BJ70" s="450">
        <v>87722.75</v>
      </c>
      <c r="BK70" s="450">
        <v>82402.94</v>
      </c>
      <c r="BL70" s="450">
        <v>83051.86</v>
      </c>
      <c r="BM70" s="450">
        <v>83632.16</v>
      </c>
      <c r="BN70" s="450">
        <v>84591.28</v>
      </c>
      <c r="BO70" s="450">
        <v>85447.09</v>
      </c>
      <c r="BP70" s="450">
        <v>86535.32</v>
      </c>
      <c r="BQ70" s="450">
        <v>0.0</v>
      </c>
      <c r="BR70" s="450">
        <v>0.0</v>
      </c>
      <c r="BS70" s="615">
        <f t="array" ref="BS70">XLOOKUP(D70,'PL TOTAL XP'!A:A,'PL TOTAL XP'!C:C,"0")</f>
        <v>0</v>
      </c>
      <c r="BT70" s="616"/>
    </row>
    <row r="71" ht="15.75" customHeight="1">
      <c r="A71" s="183" t="s">
        <v>3820</v>
      </c>
      <c r="B71" s="78" t="s">
        <v>4047</v>
      </c>
      <c r="C71" s="617" t="s">
        <v>4048</v>
      </c>
      <c r="D71" s="490">
        <v>4618682.0</v>
      </c>
      <c r="E71" s="522" t="s">
        <v>105</v>
      </c>
      <c r="F71" s="522" t="s">
        <v>29</v>
      </c>
      <c r="G71" s="522" t="s">
        <v>3660</v>
      </c>
      <c r="H71" s="522" t="str">
        <f>IFERROR(VLOOKUP(G71,'Cadastro de assessores'!A:B,2,FALSE),"Não Cadastrado")</f>
        <v>14574</v>
      </c>
      <c r="I71" s="522"/>
      <c r="J71" s="51" t="s">
        <v>186</v>
      </c>
      <c r="K71" s="522" t="s">
        <v>2563</v>
      </c>
      <c r="L71" s="618">
        <v>44160.0</v>
      </c>
      <c r="M71" s="618">
        <v>44160.0</v>
      </c>
      <c r="N71" s="619">
        <v>44806.0</v>
      </c>
      <c r="O71" s="522" t="s">
        <v>3828</v>
      </c>
      <c r="P71" s="612">
        <v>0.015</v>
      </c>
      <c r="Q71" s="620"/>
      <c r="R71" s="613"/>
      <c r="S71" s="522" t="str">
        <f t="shared" ref="S71:S79" si="9">IF(BC71&lt;=0,"",IF(BC71&lt;=1000000,"Não Qualificado",IF(AND(BC71&gt;1000000,BC71&lt;=10000000),"Qualificado","Profissional")))</f>
        <v>Não Qualificado</v>
      </c>
      <c r="T71" s="522" t="s">
        <v>108</v>
      </c>
      <c r="U71" s="522" t="s">
        <v>2565</v>
      </c>
      <c r="V71" s="522" t="s">
        <v>29</v>
      </c>
      <c r="W71" s="614" t="s">
        <v>3830</v>
      </c>
      <c r="X71" s="614" t="s">
        <v>3830</v>
      </c>
      <c r="Y71" s="614" t="s">
        <v>3830</v>
      </c>
      <c r="Z71" s="614" t="s">
        <v>3830</v>
      </c>
      <c r="AA71" s="614" t="s">
        <v>3830</v>
      </c>
      <c r="AB71" s="614" t="s">
        <v>3830</v>
      </c>
      <c r="AC71" s="614" t="s">
        <v>3830</v>
      </c>
      <c r="AD71" s="614" t="s">
        <v>3830</v>
      </c>
      <c r="AE71" s="614" t="s">
        <v>3830</v>
      </c>
      <c r="AF71" s="614" t="s">
        <v>3830</v>
      </c>
      <c r="AG71" s="614" t="s">
        <v>3830</v>
      </c>
      <c r="AH71" s="614" t="s">
        <v>3830</v>
      </c>
      <c r="AI71" s="614" t="s">
        <v>3830</v>
      </c>
      <c r="AJ71" s="614" t="s">
        <v>4049</v>
      </c>
      <c r="AK71" s="450">
        <v>115814.84</v>
      </c>
      <c r="AL71" s="450">
        <v>149621.17</v>
      </c>
      <c r="AM71" s="450">
        <v>144150.86</v>
      </c>
      <c r="AN71" s="450">
        <v>143839.42</v>
      </c>
      <c r="AO71" s="450">
        <v>148122.38</v>
      </c>
      <c r="AP71" s="450">
        <v>149009.2</v>
      </c>
      <c r="AQ71" s="450">
        <v>148407.48</v>
      </c>
      <c r="AR71" s="450">
        <v>67030.8</v>
      </c>
      <c r="AS71" s="450">
        <v>65661.04</v>
      </c>
      <c r="AT71" s="450">
        <v>62432.45</v>
      </c>
      <c r="AU71" s="450">
        <v>61254.4</v>
      </c>
      <c r="AV71" s="450">
        <v>58096.96</v>
      </c>
      <c r="AW71" s="450">
        <v>54197.71</v>
      </c>
      <c r="AX71" s="450">
        <v>53767.21</v>
      </c>
      <c r="AY71" s="450">
        <v>54599.46</v>
      </c>
      <c r="AZ71" s="450">
        <v>57403.82</v>
      </c>
      <c r="BA71" s="450">
        <v>58167.9</v>
      </c>
      <c r="BB71" s="450">
        <v>61253.19</v>
      </c>
      <c r="BC71" s="450">
        <v>153049.6</v>
      </c>
      <c r="BD71" s="450">
        <v>39905.31</v>
      </c>
      <c r="BE71" s="450">
        <v>39922.93</v>
      </c>
      <c r="BF71" s="450">
        <v>40534.68</v>
      </c>
      <c r="BG71" s="450">
        <v>40859.34327</v>
      </c>
      <c r="BH71" s="450">
        <v>0.0</v>
      </c>
      <c r="BI71" s="450">
        <v>0.0</v>
      </c>
      <c r="BJ71" s="450">
        <v>0.0</v>
      </c>
      <c r="BK71" s="450">
        <v>0.0</v>
      </c>
      <c r="BL71" s="450">
        <v>0.0</v>
      </c>
      <c r="BM71" s="450">
        <v>0.0</v>
      </c>
      <c r="BN71" s="450">
        <v>0.0</v>
      </c>
      <c r="BO71" s="450">
        <v>0.0</v>
      </c>
      <c r="BP71" s="450">
        <v>0.0</v>
      </c>
      <c r="BQ71" s="450">
        <v>0.0</v>
      </c>
      <c r="BR71" s="450">
        <v>0.0</v>
      </c>
      <c r="BS71" s="615" t="str">
        <f t="array" ref="BS71">XLOOKUP(D71,'PL TOTAL XP'!A:A,'PL TOTAL XP'!C:C,"0")</f>
        <v>0</v>
      </c>
      <c r="BT71" s="616"/>
    </row>
    <row r="72" ht="15.75" customHeight="1">
      <c r="A72" s="183" t="s">
        <v>3820</v>
      </c>
      <c r="B72" s="78" t="s">
        <v>4050</v>
      </c>
      <c r="C72" s="617" t="s">
        <v>4051</v>
      </c>
      <c r="D72" s="512">
        <v>4805165.0</v>
      </c>
      <c r="E72" s="512" t="s">
        <v>2550</v>
      </c>
      <c r="F72" s="512" t="s">
        <v>29</v>
      </c>
      <c r="G72" s="512" t="s">
        <v>2550</v>
      </c>
      <c r="H72" s="512" t="str">
        <f>IFERROR(VLOOKUP(G72,'Cadastro de assessores'!A:B,2,FALSE),"Não Cadastrado")</f>
        <v>18986</v>
      </c>
      <c r="I72" s="512"/>
      <c r="J72" s="46" t="s">
        <v>107</v>
      </c>
      <c r="K72" s="512" t="s">
        <v>107</v>
      </c>
      <c r="L72" s="610">
        <v>44235.0</v>
      </c>
      <c r="M72" s="610">
        <v>44235.0</v>
      </c>
      <c r="N72" s="522"/>
      <c r="O72" s="522" t="s">
        <v>3828</v>
      </c>
      <c r="P72" s="612">
        <v>0.015</v>
      </c>
      <c r="Q72" s="620" t="s">
        <v>1481</v>
      </c>
      <c r="R72" s="613" t="s">
        <v>4052</v>
      </c>
      <c r="S72" s="522" t="str">
        <f t="shared" si="9"/>
        <v/>
      </c>
      <c r="T72" s="522" t="s">
        <v>108</v>
      </c>
      <c r="U72" s="522" t="s">
        <v>2623</v>
      </c>
      <c r="V72" s="522" t="s">
        <v>29</v>
      </c>
      <c r="W72" s="614"/>
      <c r="X72" s="614"/>
      <c r="Y72" s="614"/>
      <c r="Z72" s="614"/>
      <c r="AA72" s="614"/>
      <c r="AB72" s="614"/>
      <c r="AC72" s="614"/>
      <c r="AD72" s="614"/>
      <c r="AE72" s="614"/>
      <c r="AF72" s="614"/>
      <c r="AG72" s="614"/>
      <c r="AH72" s="614"/>
      <c r="AI72" s="614"/>
      <c r="AJ72" s="614"/>
      <c r="AK72" s="450"/>
      <c r="AL72" s="450"/>
      <c r="AM72" s="450">
        <v>260900.44</v>
      </c>
      <c r="AN72" s="450">
        <v>489404.89</v>
      </c>
      <c r="AO72" s="450">
        <v>506667.73</v>
      </c>
      <c r="AP72" s="450">
        <v>509943.14</v>
      </c>
      <c r="AQ72" s="450">
        <v>507853.69</v>
      </c>
      <c r="AR72" s="450">
        <v>520688.31</v>
      </c>
      <c r="AS72" s="450">
        <v>516785.94</v>
      </c>
      <c r="AT72" s="450">
        <v>506566.99</v>
      </c>
      <c r="AU72" s="450">
        <v>348723.63</v>
      </c>
      <c r="AV72" s="450">
        <v>343566.64</v>
      </c>
      <c r="AW72" s="450">
        <v>335772.66</v>
      </c>
      <c r="AX72" s="450">
        <v>336100.48</v>
      </c>
      <c r="AY72" s="450">
        <v>136682.1</v>
      </c>
      <c r="AZ72" s="450">
        <v>142897.65</v>
      </c>
      <c r="BA72" s="450">
        <v>144696.78</v>
      </c>
      <c r="BB72" s="450">
        <v>152218.68</v>
      </c>
      <c r="BC72" s="450">
        <v>-254.98</v>
      </c>
      <c r="BD72" s="450">
        <v>147952.77</v>
      </c>
      <c r="BE72" s="450">
        <v>146014.16</v>
      </c>
      <c r="BF72" s="450">
        <v>1935.9</v>
      </c>
      <c r="BG72" s="450">
        <v>2069.36</v>
      </c>
      <c r="BH72" s="450">
        <v>2082.4</v>
      </c>
      <c r="BI72" s="450">
        <v>2096.32</v>
      </c>
      <c r="BJ72" s="450">
        <v>2110.08</v>
      </c>
      <c r="BK72" s="450">
        <v>2122.66</v>
      </c>
      <c r="BL72" s="450">
        <v>2451.18</v>
      </c>
      <c r="BM72" s="450">
        <v>2463.88</v>
      </c>
      <c r="BN72" s="450">
        <v>2481.85</v>
      </c>
      <c r="BO72" s="450">
        <v>2502.15</v>
      </c>
      <c r="BP72" s="450">
        <v>2501.39</v>
      </c>
      <c r="BQ72" s="450">
        <v>2517.66</v>
      </c>
      <c r="BR72" s="450">
        <v>2541.29</v>
      </c>
      <c r="BS72" s="615">
        <f t="array" ref="BS72">XLOOKUP(D72,'PL TOTAL XP'!A:A,'PL TOTAL XP'!C:C,"0")</f>
        <v>2563.59</v>
      </c>
      <c r="BT72" s="616"/>
    </row>
    <row r="73" ht="15.75" customHeight="1">
      <c r="A73" s="183" t="s">
        <v>3820</v>
      </c>
      <c r="B73" s="78" t="s">
        <v>510</v>
      </c>
      <c r="C73" s="564" t="s">
        <v>4053</v>
      </c>
      <c r="D73" s="609">
        <v>6480340.0</v>
      </c>
      <c r="E73" s="512" t="s">
        <v>18</v>
      </c>
      <c r="F73" s="609" t="s">
        <v>19</v>
      </c>
      <c r="G73" s="627" t="s">
        <v>256</v>
      </c>
      <c r="H73" s="627" t="str">
        <f>IFERROR(VLOOKUP(G73,'Cadastro de assessores'!A:B,2,FALSE),"Não Cadastrado")</f>
        <v>18009</v>
      </c>
      <c r="I73" s="627"/>
      <c r="J73" s="51" t="s">
        <v>3823</v>
      </c>
      <c r="K73" s="512" t="s">
        <v>107</v>
      </c>
      <c r="L73" s="610">
        <v>44439.0</v>
      </c>
      <c r="M73" s="610">
        <v>44447.0</v>
      </c>
      <c r="N73" s="627"/>
      <c r="O73" s="627" t="s">
        <v>3836</v>
      </c>
      <c r="P73" s="612">
        <v>0.012</v>
      </c>
      <c r="Q73" s="224"/>
      <c r="R73" s="613"/>
      <c r="S73" s="522" t="str">
        <f t="shared" si="9"/>
        <v>Não Qualificado</v>
      </c>
      <c r="T73" s="522" t="s">
        <v>108</v>
      </c>
      <c r="U73" s="522" t="s">
        <v>2842</v>
      </c>
      <c r="V73" s="566" t="s">
        <v>19</v>
      </c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614"/>
      <c r="AI73" s="614"/>
      <c r="AJ73" s="450"/>
      <c r="AK73" s="450"/>
      <c r="AL73" s="450"/>
      <c r="AM73" s="450"/>
      <c r="AN73" s="450"/>
      <c r="AO73" s="450"/>
      <c r="AP73" s="450"/>
      <c r="AQ73" s="450"/>
      <c r="AR73" s="450"/>
      <c r="AS73" s="634"/>
      <c r="AT73" s="449"/>
      <c r="AU73" s="449"/>
      <c r="AV73" s="450">
        <v>300221.63</v>
      </c>
      <c r="AW73" s="450">
        <v>296887.29</v>
      </c>
      <c r="AX73" s="450">
        <v>298045.15</v>
      </c>
      <c r="AY73" s="450">
        <v>300745.55</v>
      </c>
      <c r="AZ73" s="450">
        <v>305448.12</v>
      </c>
      <c r="BA73" s="450">
        <v>307697.7</v>
      </c>
      <c r="BB73" s="450">
        <v>313605.84</v>
      </c>
      <c r="BC73" s="450">
        <v>804678.88</v>
      </c>
      <c r="BD73" s="450">
        <v>314546.34</v>
      </c>
      <c r="BE73" s="450">
        <v>315227.88</v>
      </c>
      <c r="BF73" s="450">
        <v>318648.9</v>
      </c>
      <c r="BG73" s="450">
        <v>320787.9187</v>
      </c>
      <c r="BH73" s="450">
        <v>322650.32</v>
      </c>
      <c r="BI73" s="450">
        <v>328211.5</v>
      </c>
      <c r="BJ73" s="450">
        <v>328810.22</v>
      </c>
      <c r="BK73" s="450">
        <v>331150.08</v>
      </c>
      <c r="BL73" s="450">
        <v>5.47</v>
      </c>
      <c r="BM73" s="450">
        <v>18.74</v>
      </c>
      <c r="BN73" s="450">
        <v>18.75</v>
      </c>
      <c r="BO73" s="450">
        <v>18.75</v>
      </c>
      <c r="BP73" s="450">
        <v>18.75</v>
      </c>
      <c r="BQ73" s="450">
        <v>18.75</v>
      </c>
      <c r="BR73" s="450">
        <v>18.75</v>
      </c>
      <c r="BS73" s="615">
        <f t="array" ref="BS73">XLOOKUP(D73,'PL TOTAL XP'!A:A,'PL TOTAL XP'!C:C,"0")</f>
        <v>0</v>
      </c>
      <c r="BT73" s="616"/>
    </row>
    <row r="74" ht="15.75" customHeight="1">
      <c r="A74" s="183" t="s">
        <v>3820</v>
      </c>
      <c r="B74" s="78" t="s">
        <v>2746</v>
      </c>
      <c r="C74" s="617" t="s">
        <v>2743</v>
      </c>
      <c r="D74" s="522">
        <v>260123.0</v>
      </c>
      <c r="E74" s="512" t="s">
        <v>2659</v>
      </c>
      <c r="F74" s="512" t="s">
        <v>29</v>
      </c>
      <c r="G74" s="512" t="s">
        <v>2659</v>
      </c>
      <c r="H74" s="512" t="str">
        <f>IFERROR(VLOOKUP(G74,'Cadastro de assessores'!A:B,2,FALSE),"Não Cadastrado")</f>
        <v>22400</v>
      </c>
      <c r="I74" s="512"/>
      <c r="J74" s="51" t="s">
        <v>3823</v>
      </c>
      <c r="K74" s="522" t="s">
        <v>147</v>
      </c>
      <c r="L74" s="522" t="s">
        <v>2600</v>
      </c>
      <c r="M74" s="640" t="s">
        <v>2599</v>
      </c>
      <c r="N74" s="522"/>
      <c r="O74" s="522" t="s">
        <v>4037</v>
      </c>
      <c r="P74" s="612">
        <v>0.025</v>
      </c>
      <c r="Q74" s="620"/>
      <c r="R74" s="613"/>
      <c r="S74" s="522" t="str">
        <f t="shared" si="9"/>
        <v>Não Qualificado</v>
      </c>
      <c r="T74" s="522" t="s">
        <v>108</v>
      </c>
      <c r="U74" s="522" t="s">
        <v>2623</v>
      </c>
      <c r="V74" s="522" t="s">
        <v>29</v>
      </c>
      <c r="W74" s="614" t="s">
        <v>3830</v>
      </c>
      <c r="X74" s="614" t="s">
        <v>3830</v>
      </c>
      <c r="Y74" s="614" t="s">
        <v>3830</v>
      </c>
      <c r="Z74" s="614" t="s">
        <v>3830</v>
      </c>
      <c r="AA74" s="614" t="s">
        <v>3830</v>
      </c>
      <c r="AB74" s="614" t="s">
        <v>3830</v>
      </c>
      <c r="AC74" s="614" t="s">
        <v>3830</v>
      </c>
      <c r="AD74" s="614" t="s">
        <v>3830</v>
      </c>
      <c r="AE74" s="614" t="s">
        <v>3830</v>
      </c>
      <c r="AF74" s="614" t="s">
        <v>3830</v>
      </c>
      <c r="AG74" s="614" t="s">
        <v>3830</v>
      </c>
      <c r="AH74" s="614"/>
      <c r="AI74" s="614" t="s">
        <v>3830</v>
      </c>
      <c r="AJ74" s="614" t="s">
        <v>3830</v>
      </c>
      <c r="AK74" s="450" t="s">
        <v>2600</v>
      </c>
      <c r="AL74" s="450"/>
      <c r="AM74" s="450" t="s">
        <v>2600</v>
      </c>
      <c r="AN74" s="450" t="s">
        <v>2600</v>
      </c>
      <c r="AO74" s="450"/>
      <c r="AP74" s="450"/>
      <c r="AQ74" s="450"/>
      <c r="AR74" s="450"/>
      <c r="AS74" s="450"/>
      <c r="AT74" s="450"/>
      <c r="AU74" s="450"/>
      <c r="AV74" s="450"/>
      <c r="AW74" s="450"/>
      <c r="AX74" s="450"/>
      <c r="AY74" s="450"/>
      <c r="AZ74" s="450"/>
      <c r="BA74" s="450">
        <v>0.0</v>
      </c>
      <c r="BB74" s="450">
        <v>0.0</v>
      </c>
      <c r="BC74" s="450">
        <v>191727.95</v>
      </c>
      <c r="BD74" s="450" t="s">
        <v>2566</v>
      </c>
      <c r="BE74" s="450" t="s">
        <v>2566</v>
      </c>
      <c r="BF74" s="450">
        <v>0.0</v>
      </c>
      <c r="BG74" s="450">
        <v>0.0</v>
      </c>
      <c r="BH74" s="450">
        <v>0.0</v>
      </c>
      <c r="BI74" s="450">
        <v>0.0</v>
      </c>
      <c r="BJ74" s="450">
        <v>0.0</v>
      </c>
      <c r="BK74" s="450">
        <v>0.0</v>
      </c>
      <c r="BL74" s="450">
        <v>0.0</v>
      </c>
      <c r="BM74" s="450">
        <v>0.0</v>
      </c>
      <c r="BN74" s="450">
        <v>0.0</v>
      </c>
      <c r="BO74" s="450">
        <v>0.0</v>
      </c>
      <c r="BP74" s="450">
        <v>0.0</v>
      </c>
      <c r="BQ74" s="450">
        <v>0.0</v>
      </c>
      <c r="BR74" s="450">
        <v>0.0</v>
      </c>
      <c r="BS74" s="615">
        <f t="array" ref="BS74">XLOOKUP(D74,'PL TOTAL XP'!A:A,'PL TOTAL XP'!C:C,"0")</f>
        <v>0</v>
      </c>
      <c r="BT74" s="616"/>
    </row>
    <row r="75" ht="15.75" customHeight="1">
      <c r="A75" s="183" t="s">
        <v>3820</v>
      </c>
      <c r="B75" s="78" t="s">
        <v>4054</v>
      </c>
      <c r="C75" s="617" t="s">
        <v>4055</v>
      </c>
      <c r="D75" s="522">
        <v>4522420.0</v>
      </c>
      <c r="E75" s="522" t="s">
        <v>18</v>
      </c>
      <c r="F75" s="522" t="s">
        <v>29</v>
      </c>
      <c r="G75" s="522" t="s">
        <v>3827</v>
      </c>
      <c r="H75" s="522" t="str">
        <f>IFERROR(VLOOKUP(G75,'Cadastro de assessores'!A:B,2,FALSE),"Não Cadastrado")</f>
        <v>17679</v>
      </c>
      <c r="I75" s="522"/>
      <c r="J75" s="51" t="s">
        <v>186</v>
      </c>
      <c r="K75" s="522" t="s">
        <v>2563</v>
      </c>
      <c r="L75" s="619">
        <v>44141.0</v>
      </c>
      <c r="M75" s="619">
        <v>44141.0</v>
      </c>
      <c r="N75" s="619">
        <v>44412.0</v>
      </c>
      <c r="O75" s="522" t="s">
        <v>3828</v>
      </c>
      <c r="P75" s="612">
        <v>0.015</v>
      </c>
      <c r="Q75" s="620" t="s">
        <v>4056</v>
      </c>
      <c r="R75" s="613"/>
      <c r="S75" s="522" t="str">
        <f t="shared" si="9"/>
        <v>Não Qualificado</v>
      </c>
      <c r="T75" s="522" t="s">
        <v>108</v>
      </c>
      <c r="U75" s="522" t="s">
        <v>4057</v>
      </c>
      <c r="V75" s="522" t="s">
        <v>504</v>
      </c>
      <c r="W75" s="614" t="s">
        <v>3830</v>
      </c>
      <c r="X75" s="614" t="s">
        <v>3830</v>
      </c>
      <c r="Y75" s="614" t="s">
        <v>3830</v>
      </c>
      <c r="Z75" s="614" t="s">
        <v>3830</v>
      </c>
      <c r="AA75" s="614" t="s">
        <v>3830</v>
      </c>
      <c r="AB75" s="614" t="s">
        <v>3830</v>
      </c>
      <c r="AC75" s="614" t="s">
        <v>3830</v>
      </c>
      <c r="AD75" s="614" t="s">
        <v>3830</v>
      </c>
      <c r="AE75" s="614" t="s">
        <v>3830</v>
      </c>
      <c r="AF75" s="614" t="s">
        <v>3830</v>
      </c>
      <c r="AG75" s="614" t="s">
        <v>3830</v>
      </c>
      <c r="AH75" s="614" t="s">
        <v>3830</v>
      </c>
      <c r="AI75" s="614" t="s">
        <v>3830</v>
      </c>
      <c r="AJ75" s="614" t="s">
        <v>4058</v>
      </c>
      <c r="AK75" s="450">
        <v>321829.32</v>
      </c>
      <c r="AL75" s="450">
        <v>317353.39</v>
      </c>
      <c r="AM75" s="450">
        <v>306672.86</v>
      </c>
      <c r="AN75" s="450">
        <v>306017.6</v>
      </c>
      <c r="AO75" s="450">
        <v>316312.3</v>
      </c>
      <c r="AP75" s="450">
        <v>318269.04</v>
      </c>
      <c r="AQ75" s="450">
        <v>316831.77</v>
      </c>
      <c r="AR75" s="450">
        <v>324552.59</v>
      </c>
      <c r="AS75" s="450">
        <v>321897.48</v>
      </c>
      <c r="AT75" s="450">
        <v>315429.71</v>
      </c>
      <c r="AU75" s="450"/>
      <c r="AV75" s="450"/>
      <c r="AW75" s="450"/>
      <c r="AX75" s="450"/>
      <c r="AY75" s="450"/>
      <c r="AZ75" s="450"/>
      <c r="BA75" s="450">
        <v>0.0</v>
      </c>
      <c r="BB75" s="450">
        <v>0.0</v>
      </c>
      <c r="BC75" s="450">
        <v>562933.26</v>
      </c>
      <c r="BD75" s="450" t="s">
        <v>2566</v>
      </c>
      <c r="BE75" s="450" t="s">
        <v>2566</v>
      </c>
      <c r="BF75" s="450">
        <v>0.0</v>
      </c>
      <c r="BG75" s="450">
        <v>0.0</v>
      </c>
      <c r="BH75" s="450">
        <v>0.0</v>
      </c>
      <c r="BI75" s="450">
        <v>0.0</v>
      </c>
      <c r="BJ75" s="450">
        <v>0.0</v>
      </c>
      <c r="BK75" s="450">
        <v>0.0</v>
      </c>
      <c r="BL75" s="450">
        <v>0.0</v>
      </c>
      <c r="BM75" s="450">
        <v>0.0</v>
      </c>
      <c r="BN75" s="450">
        <v>0.0</v>
      </c>
      <c r="BO75" s="450">
        <v>0.0</v>
      </c>
      <c r="BP75" s="450">
        <v>0.0</v>
      </c>
      <c r="BQ75" s="450">
        <v>0.0</v>
      </c>
      <c r="BR75" s="450">
        <v>0.0</v>
      </c>
      <c r="BS75" s="615" t="str">
        <f t="array" ref="BS75">XLOOKUP(D75,'PL TOTAL XP'!A:A,'PL TOTAL XP'!C:C,"0")</f>
        <v>0</v>
      </c>
      <c r="BT75" s="616"/>
    </row>
    <row r="76" ht="15.75" customHeight="1">
      <c r="A76" s="183" t="s">
        <v>3820</v>
      </c>
      <c r="B76" s="78" t="s">
        <v>4059</v>
      </c>
      <c r="C76" s="564" t="s">
        <v>4060</v>
      </c>
      <c r="D76" s="566">
        <v>6592638.0</v>
      </c>
      <c r="E76" s="512" t="s">
        <v>18</v>
      </c>
      <c r="F76" s="609" t="s">
        <v>19</v>
      </c>
      <c r="G76" s="512" t="s">
        <v>256</v>
      </c>
      <c r="H76" s="512" t="str">
        <f>IFERROR(VLOOKUP(G76,'Cadastro de assessores'!A:B,2,FALSE),"Não Cadastrado")</f>
        <v>18009</v>
      </c>
      <c r="I76" s="512"/>
      <c r="J76" s="46" t="s">
        <v>107</v>
      </c>
      <c r="K76" s="512" t="s">
        <v>107</v>
      </c>
      <c r="L76" s="610">
        <v>44456.0</v>
      </c>
      <c r="M76" s="610">
        <v>44461.0</v>
      </c>
      <c r="N76" s="566"/>
      <c r="O76" s="566" t="s">
        <v>3828</v>
      </c>
      <c r="P76" s="612">
        <v>0.015</v>
      </c>
      <c r="Q76" s="224"/>
      <c r="R76" s="613"/>
      <c r="S76" s="522" t="str">
        <f t="shared" si="9"/>
        <v>Não Qualificado</v>
      </c>
      <c r="T76" s="522" t="s">
        <v>108</v>
      </c>
      <c r="U76" s="522" t="s">
        <v>2619</v>
      </c>
      <c r="V76" s="522" t="s">
        <v>152</v>
      </c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614"/>
      <c r="AH76" s="614"/>
      <c r="AI76" s="614"/>
      <c r="AJ76" s="450"/>
      <c r="AK76" s="450"/>
      <c r="AL76" s="450"/>
      <c r="AM76" s="450"/>
      <c r="AN76" s="450"/>
      <c r="AO76" s="450"/>
      <c r="AP76" s="450"/>
      <c r="AQ76" s="450"/>
      <c r="AR76" s="450"/>
      <c r="AS76" s="450"/>
      <c r="AT76" s="450"/>
      <c r="AU76" s="468"/>
      <c r="AV76" s="450"/>
      <c r="AW76" s="450">
        <v>48194.79</v>
      </c>
      <c r="AX76" s="450">
        <v>48234.73</v>
      </c>
      <c r="AY76" s="450">
        <v>48661.16</v>
      </c>
      <c r="AZ76" s="450">
        <v>50237.39</v>
      </c>
      <c r="BA76" s="450">
        <v>50600.33</v>
      </c>
      <c r="BB76" s="450">
        <v>72445.06</v>
      </c>
      <c r="BC76" s="450">
        <v>99.18</v>
      </c>
      <c r="BD76" s="450">
        <v>72112.21</v>
      </c>
      <c r="BE76" s="450">
        <v>71909.08</v>
      </c>
      <c r="BF76" s="450">
        <v>73168.03</v>
      </c>
      <c r="BG76" s="450">
        <v>73727.20212</v>
      </c>
      <c r="BH76" s="450">
        <v>74142.64</v>
      </c>
      <c r="BI76" s="450">
        <v>76511.78</v>
      </c>
      <c r="BJ76" s="450">
        <v>76070.37</v>
      </c>
      <c r="BK76" s="450">
        <v>76690.18</v>
      </c>
      <c r="BL76" s="450">
        <v>77459.83</v>
      </c>
      <c r="BM76" s="450">
        <v>78050.23</v>
      </c>
      <c r="BN76" s="450">
        <v>78502.98</v>
      </c>
      <c r="BO76" s="450">
        <v>79241.63</v>
      </c>
      <c r="BP76" s="450">
        <v>80135.93</v>
      </c>
      <c r="BQ76" s="450">
        <v>80168.36</v>
      </c>
      <c r="BR76" s="450">
        <v>80748.18</v>
      </c>
      <c r="BS76" s="615">
        <f t="array" ref="BS76">XLOOKUP(D76,'PL TOTAL XP'!A:A,'PL TOTAL XP'!C:C,"0")</f>
        <v>86731.72</v>
      </c>
      <c r="BT76" s="616"/>
    </row>
    <row r="77" ht="15.75" customHeight="1">
      <c r="A77" s="183" t="s">
        <v>3820</v>
      </c>
      <c r="B77" s="78" t="s">
        <v>4061</v>
      </c>
      <c r="C77" s="617" t="s">
        <v>4062</v>
      </c>
      <c r="D77" s="522">
        <v>4572882.0</v>
      </c>
      <c r="E77" s="522" t="s">
        <v>105</v>
      </c>
      <c r="F77" s="522" t="s">
        <v>29</v>
      </c>
      <c r="G77" s="522" t="s">
        <v>3660</v>
      </c>
      <c r="H77" s="522" t="str">
        <f>IFERROR(VLOOKUP(G77,'Cadastro de assessores'!A:B,2,FALSE),"Não Cadastrado")</f>
        <v>14574</v>
      </c>
      <c r="I77" s="522"/>
      <c r="J77" s="51" t="s">
        <v>186</v>
      </c>
      <c r="K77" s="522" t="s">
        <v>2563</v>
      </c>
      <c r="L77" s="618">
        <v>44165.0</v>
      </c>
      <c r="M77" s="618">
        <v>44165.0</v>
      </c>
      <c r="N77" s="619">
        <v>44295.0</v>
      </c>
      <c r="O77" s="522" t="s">
        <v>3828</v>
      </c>
      <c r="P77" s="612">
        <v>0.015</v>
      </c>
      <c r="Q77" s="620" t="s">
        <v>4063</v>
      </c>
      <c r="R77" s="613"/>
      <c r="S77" s="522" t="str">
        <f t="shared" si="9"/>
        <v/>
      </c>
      <c r="T77" s="522" t="s">
        <v>108</v>
      </c>
      <c r="U77" s="522" t="s">
        <v>2580</v>
      </c>
      <c r="V77" s="522" t="s">
        <v>29</v>
      </c>
      <c r="W77" s="614" t="s">
        <v>3830</v>
      </c>
      <c r="X77" s="614" t="s">
        <v>3830</v>
      </c>
      <c r="Y77" s="614" t="s">
        <v>3830</v>
      </c>
      <c r="Z77" s="614" t="s">
        <v>3830</v>
      </c>
      <c r="AA77" s="614" t="s">
        <v>3830</v>
      </c>
      <c r="AB77" s="614" t="s">
        <v>3830</v>
      </c>
      <c r="AC77" s="614" t="s">
        <v>3830</v>
      </c>
      <c r="AD77" s="614" t="s">
        <v>3830</v>
      </c>
      <c r="AE77" s="614" t="s">
        <v>3830</v>
      </c>
      <c r="AF77" s="614" t="s">
        <v>3830</v>
      </c>
      <c r="AG77" s="614" t="s">
        <v>3830</v>
      </c>
      <c r="AH77" s="614" t="s">
        <v>3830</v>
      </c>
      <c r="AI77" s="614" t="s">
        <v>3830</v>
      </c>
      <c r="AJ77" s="614" t="s">
        <v>4064</v>
      </c>
      <c r="AK77" s="450">
        <v>306411.41</v>
      </c>
      <c r="AL77" s="450">
        <v>301078.53</v>
      </c>
      <c r="AM77" s="450">
        <v>290629.55</v>
      </c>
      <c r="AN77" s="450">
        <v>288957.39</v>
      </c>
      <c r="AO77" s="450">
        <v>298191.46</v>
      </c>
      <c r="AP77" s="450"/>
      <c r="AQ77" s="450"/>
      <c r="AR77" s="450"/>
      <c r="AS77" s="450"/>
      <c r="AT77" s="450"/>
      <c r="AU77" s="450"/>
      <c r="AV77" s="450"/>
      <c r="AW77" s="450"/>
      <c r="AX77" s="450"/>
      <c r="AY77" s="450"/>
      <c r="AZ77" s="450"/>
      <c r="BA77" s="450">
        <v>0.0</v>
      </c>
      <c r="BB77" s="450">
        <v>0.0</v>
      </c>
      <c r="BC77" s="450">
        <v>0.0</v>
      </c>
      <c r="BD77" s="450" t="s">
        <v>2566</v>
      </c>
      <c r="BE77" s="450" t="s">
        <v>2566</v>
      </c>
      <c r="BF77" s="450">
        <v>0.0</v>
      </c>
      <c r="BG77" s="450">
        <v>0.0</v>
      </c>
      <c r="BH77" s="450">
        <v>0.0</v>
      </c>
      <c r="BI77" s="450">
        <v>0.0</v>
      </c>
      <c r="BJ77" s="450">
        <v>0.0</v>
      </c>
      <c r="BK77" s="450">
        <v>0.0</v>
      </c>
      <c r="BL77" s="450">
        <v>0.0</v>
      </c>
      <c r="BM77" s="450">
        <v>0.0</v>
      </c>
      <c r="BN77" s="450">
        <v>0.0</v>
      </c>
      <c r="BO77" s="450">
        <v>0.0</v>
      </c>
      <c r="BP77" s="450">
        <v>0.0</v>
      </c>
      <c r="BQ77" s="450">
        <v>0.0</v>
      </c>
      <c r="BR77" s="450">
        <v>0.0</v>
      </c>
      <c r="BS77" s="615" t="str">
        <f t="array" ref="BS77">XLOOKUP(D77,'PL TOTAL XP'!A:A,'PL TOTAL XP'!C:C,"0")</f>
        <v>0</v>
      </c>
      <c r="BT77" s="616"/>
    </row>
    <row r="78" ht="15.75" customHeight="1">
      <c r="A78" s="183" t="s">
        <v>3820</v>
      </c>
      <c r="B78" s="78" t="s">
        <v>4065</v>
      </c>
      <c r="C78" s="641" t="s">
        <v>4066</v>
      </c>
      <c r="D78" s="642">
        <v>5956921.0</v>
      </c>
      <c r="E78" s="512" t="s">
        <v>18</v>
      </c>
      <c r="F78" s="609" t="s">
        <v>29</v>
      </c>
      <c r="G78" s="512" t="s">
        <v>2605</v>
      </c>
      <c r="H78" s="627" t="str">
        <f>IFERROR(VLOOKUP(G78,'Cadastro de assessores'!A:B,2,FALSE),"Não Cadastrado")</f>
        <v>18836</v>
      </c>
      <c r="I78" s="627"/>
      <c r="J78" s="51" t="s">
        <v>3823</v>
      </c>
      <c r="K78" s="512" t="s">
        <v>107</v>
      </c>
      <c r="L78" s="611">
        <v>44469.0</v>
      </c>
      <c r="M78" s="611">
        <v>44482.0</v>
      </c>
      <c r="N78" s="566"/>
      <c r="O78" s="566" t="s">
        <v>3828</v>
      </c>
      <c r="P78" s="612">
        <v>0.015</v>
      </c>
      <c r="Q78" s="224"/>
      <c r="R78" s="613"/>
      <c r="S78" s="522" t="str">
        <f t="shared" si="9"/>
        <v>Não Qualificado</v>
      </c>
      <c r="T78" s="522" t="s">
        <v>108</v>
      </c>
      <c r="U78" s="522" t="s">
        <v>2664</v>
      </c>
      <c r="V78" s="522" t="s">
        <v>791</v>
      </c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614"/>
      <c r="AH78" s="450"/>
      <c r="AI78" s="450"/>
      <c r="AJ78" s="450"/>
      <c r="AK78" s="450"/>
      <c r="AL78" s="450"/>
      <c r="AM78" s="450"/>
      <c r="AN78" s="450"/>
      <c r="AO78" s="450"/>
      <c r="AP78" s="450"/>
      <c r="AQ78" s="634"/>
      <c r="AR78" s="449"/>
      <c r="AS78" s="449"/>
      <c r="AT78" s="450"/>
      <c r="AU78" s="468"/>
      <c r="AV78" s="450"/>
      <c r="AW78" s="450">
        <v>145454.88</v>
      </c>
      <c r="AX78" s="450">
        <v>145509.19</v>
      </c>
      <c r="AY78" s="450">
        <v>135024.78</v>
      </c>
      <c r="AZ78" s="450">
        <v>138398.3</v>
      </c>
      <c r="BA78" s="450">
        <v>139725.06</v>
      </c>
      <c r="BB78" s="450">
        <v>144268.22</v>
      </c>
      <c r="BC78" s="450">
        <v>157335.81</v>
      </c>
      <c r="BD78" s="450">
        <v>142922.06</v>
      </c>
      <c r="BE78" s="450">
        <v>142228.75</v>
      </c>
      <c r="BF78" s="450">
        <v>144449.6</v>
      </c>
      <c r="BG78" s="450">
        <v>144940.0517</v>
      </c>
      <c r="BH78" s="450">
        <v>145662.78</v>
      </c>
      <c r="BI78" s="450">
        <v>150857.12</v>
      </c>
      <c r="BJ78" s="450">
        <v>149971.68</v>
      </c>
      <c r="BK78" s="450">
        <v>150773.1</v>
      </c>
      <c r="BL78" s="450">
        <v>152593.58</v>
      </c>
      <c r="BM78" s="450">
        <v>153794.58</v>
      </c>
      <c r="BN78" s="450">
        <v>155012.5</v>
      </c>
      <c r="BO78" s="450">
        <v>156119.79</v>
      </c>
      <c r="BP78" s="450">
        <v>157843.42</v>
      </c>
      <c r="BQ78" s="450">
        <v>0.0</v>
      </c>
      <c r="BR78" s="450">
        <v>0.0</v>
      </c>
      <c r="BS78" s="615" t="str">
        <f t="array" ref="BS78">XLOOKUP(D78,'PL TOTAL XP'!A:A,'PL TOTAL XP'!C:C,"0")</f>
        <v>0</v>
      </c>
      <c r="BT78" s="616"/>
    </row>
    <row r="79" ht="15.75" customHeight="1">
      <c r="A79" s="183" t="s">
        <v>3820</v>
      </c>
      <c r="B79" s="78" t="s">
        <v>553</v>
      </c>
      <c r="C79" s="564" t="s">
        <v>4067</v>
      </c>
      <c r="D79" s="623">
        <v>6866947.0</v>
      </c>
      <c r="E79" s="512" t="s">
        <v>18</v>
      </c>
      <c r="F79" s="609" t="s">
        <v>19</v>
      </c>
      <c r="G79" s="512" t="s">
        <v>256</v>
      </c>
      <c r="H79" s="627" t="str">
        <f>IFERROR(VLOOKUP(G79,'Cadastro de assessores'!A:B,2,FALSE),"Não Cadastrado")</f>
        <v>18009</v>
      </c>
      <c r="I79" s="627"/>
      <c r="J79" s="51" t="s">
        <v>3823</v>
      </c>
      <c r="K79" s="512" t="s">
        <v>107</v>
      </c>
      <c r="L79" s="611">
        <v>44495.0</v>
      </c>
      <c r="M79" s="611">
        <v>44497.0</v>
      </c>
      <c r="N79" s="566"/>
      <c r="O79" s="566" t="s">
        <v>3836</v>
      </c>
      <c r="P79" s="612">
        <v>0.012</v>
      </c>
      <c r="Q79" s="633" t="s">
        <v>4068</v>
      </c>
      <c r="R79" s="613"/>
      <c r="S79" s="522" t="str">
        <f t="shared" si="9"/>
        <v/>
      </c>
      <c r="T79" s="522" t="s">
        <v>108</v>
      </c>
      <c r="U79" s="522" t="s">
        <v>2675</v>
      </c>
      <c r="V79" s="566" t="s">
        <v>29</v>
      </c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614"/>
      <c r="AH79" s="614"/>
      <c r="AI79" s="450"/>
      <c r="AJ79" s="450"/>
      <c r="AK79" s="450"/>
      <c r="AL79" s="450"/>
      <c r="AM79" s="450"/>
      <c r="AN79" s="450"/>
      <c r="AO79" s="450"/>
      <c r="AP79" s="450"/>
      <c r="AQ79" s="450"/>
      <c r="AR79" s="634"/>
      <c r="AS79" s="449"/>
      <c r="AT79" s="449"/>
      <c r="AU79" s="450"/>
      <c r="AV79" s="450"/>
      <c r="AW79" s="450"/>
      <c r="AX79" s="450">
        <v>175207.43</v>
      </c>
      <c r="AY79" s="450">
        <v>176709.64</v>
      </c>
      <c r="AZ79" s="450">
        <v>179867.75</v>
      </c>
      <c r="BA79" s="450">
        <v>181436.51</v>
      </c>
      <c r="BB79" s="450">
        <v>185350.74</v>
      </c>
      <c r="BC79" s="450">
        <v>0.0</v>
      </c>
      <c r="BD79" s="450">
        <v>181389.0</v>
      </c>
      <c r="BE79" s="450">
        <v>181517.76</v>
      </c>
      <c r="BF79" s="450">
        <v>184170.45</v>
      </c>
      <c r="BG79" s="450">
        <v>185660.5459</v>
      </c>
      <c r="BH79" s="450">
        <v>182503.37</v>
      </c>
      <c r="BI79" s="450">
        <v>186090.02</v>
      </c>
      <c r="BJ79" s="450">
        <v>186319.9</v>
      </c>
      <c r="BK79" s="450">
        <v>187900.35</v>
      </c>
      <c r="BL79" s="450">
        <v>769.02</v>
      </c>
      <c r="BM79" s="450">
        <v>643.79</v>
      </c>
      <c r="BN79" s="450">
        <v>702.75</v>
      </c>
      <c r="BO79" s="450">
        <v>703.3</v>
      </c>
      <c r="BP79" s="450">
        <v>703.86</v>
      </c>
      <c r="BQ79" s="450">
        <v>704.23</v>
      </c>
      <c r="BR79" s="450">
        <v>704.8</v>
      </c>
      <c r="BS79" s="615">
        <f t="array" ref="BS79">XLOOKUP(D79,'PL TOTAL XP'!A:A,'PL TOTAL XP'!C:C,"0")</f>
        <v>0</v>
      </c>
      <c r="BT79" s="616"/>
    </row>
    <row r="80" ht="15.75" customHeight="1">
      <c r="A80" s="183" t="s">
        <v>3820</v>
      </c>
      <c r="B80" s="78" t="s">
        <v>557</v>
      </c>
      <c r="C80" s="564" t="s">
        <v>554</v>
      </c>
      <c r="D80" s="642">
        <v>3241823.0</v>
      </c>
      <c r="E80" s="512" t="s">
        <v>18</v>
      </c>
      <c r="F80" s="609" t="s">
        <v>29</v>
      </c>
      <c r="G80" s="512" t="s">
        <v>60</v>
      </c>
      <c r="H80" s="627">
        <f>IFERROR(VLOOKUP(G80,'Cadastro de assessores'!A:B,2,FALSE),"Não Cadastrado")</f>
        <v>12332</v>
      </c>
      <c r="I80" s="627"/>
      <c r="J80" s="51" t="s">
        <v>3823</v>
      </c>
      <c r="K80" s="643"/>
      <c r="L80" s="512" t="s">
        <v>147</v>
      </c>
      <c r="M80" s="611">
        <v>44819.0</v>
      </c>
      <c r="N80" s="566"/>
      <c r="O80" s="566" t="s">
        <v>3836</v>
      </c>
      <c r="P80" s="612">
        <v>0.012</v>
      </c>
      <c r="Q80" s="633"/>
      <c r="R80" s="613"/>
      <c r="S80" s="522"/>
      <c r="T80" s="522"/>
      <c r="U80" s="522"/>
      <c r="V80" s="566" t="s">
        <v>29</v>
      </c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614"/>
      <c r="AH80" s="614"/>
      <c r="AI80" s="450"/>
      <c r="AJ80" s="450"/>
      <c r="AK80" s="450"/>
      <c r="AL80" s="450"/>
      <c r="AM80" s="450"/>
      <c r="AN80" s="450"/>
      <c r="AO80" s="450"/>
      <c r="AP80" s="450"/>
      <c r="AQ80" s="450"/>
      <c r="AR80" s="634"/>
      <c r="AS80" s="449"/>
      <c r="AT80" s="449"/>
      <c r="AU80" s="450"/>
      <c r="AV80" s="450"/>
      <c r="AW80" s="450"/>
      <c r="AX80" s="450"/>
      <c r="AY80" s="450"/>
      <c r="AZ80" s="450"/>
      <c r="BA80" s="450"/>
      <c r="BB80" s="450"/>
      <c r="BC80" s="450"/>
      <c r="BD80" s="450"/>
      <c r="BE80" s="450"/>
      <c r="BF80" s="450"/>
      <c r="BG80" s="450">
        <v>101721.38</v>
      </c>
      <c r="BH80" s="450">
        <v>254345.34</v>
      </c>
      <c r="BI80" s="450">
        <v>245604.15</v>
      </c>
      <c r="BJ80" s="450">
        <v>231121.95</v>
      </c>
      <c r="BK80" s="450">
        <v>231728.79</v>
      </c>
      <c r="BL80" s="450">
        <v>232108.26</v>
      </c>
      <c r="BM80" s="450">
        <v>230811.9</v>
      </c>
      <c r="BN80" s="450">
        <v>155799.92</v>
      </c>
      <c r="BO80" s="450">
        <v>156852.88</v>
      </c>
      <c r="BP80" s="450">
        <v>0.0</v>
      </c>
      <c r="BQ80" s="450">
        <v>0.0</v>
      </c>
      <c r="BR80" s="450">
        <v>0.0</v>
      </c>
      <c r="BS80" s="615">
        <f t="array" ref="BS80">XLOOKUP(D80,'PL TOTAL XP'!A:A,'PL TOTAL XP'!C:C,"0")</f>
        <v>0</v>
      </c>
      <c r="BT80" s="616"/>
    </row>
    <row r="81" ht="15.75" customHeight="1">
      <c r="A81" s="183" t="s">
        <v>3820</v>
      </c>
      <c r="B81" s="78" t="s">
        <v>575</v>
      </c>
      <c r="C81" s="617" t="s">
        <v>4069</v>
      </c>
      <c r="D81" s="522">
        <v>3960153.0</v>
      </c>
      <c r="E81" s="522" t="s">
        <v>18</v>
      </c>
      <c r="F81" s="522" t="s">
        <v>29</v>
      </c>
      <c r="G81" s="522" t="s">
        <v>574</v>
      </c>
      <c r="H81" s="522"/>
      <c r="I81" s="522"/>
      <c r="J81" s="51" t="s">
        <v>3823</v>
      </c>
      <c r="K81" s="522"/>
      <c r="L81" s="618"/>
      <c r="M81" s="618"/>
      <c r="N81" s="619"/>
      <c r="O81" s="522" t="s">
        <v>3828</v>
      </c>
      <c r="P81" s="612">
        <v>0.012</v>
      </c>
      <c r="Q81" s="644" t="s">
        <v>3903</v>
      </c>
      <c r="R81" s="613"/>
      <c r="S81" s="522"/>
      <c r="T81" s="522"/>
      <c r="U81" s="522"/>
      <c r="V81" s="522" t="s">
        <v>1343</v>
      </c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614"/>
      <c r="AI81" s="614"/>
      <c r="AJ81" s="450"/>
      <c r="AK81" s="450"/>
      <c r="AL81" s="450"/>
      <c r="AM81" s="450"/>
      <c r="AN81" s="450"/>
      <c r="AO81" s="450"/>
      <c r="AP81" s="450"/>
      <c r="AQ81" s="450"/>
      <c r="AR81" s="450"/>
      <c r="AS81" s="634"/>
      <c r="AT81" s="449"/>
      <c r="AU81" s="449"/>
      <c r="AV81" s="450"/>
      <c r="AW81" s="450"/>
      <c r="AX81" s="450"/>
      <c r="AY81" s="450"/>
      <c r="AZ81" s="450"/>
      <c r="BA81" s="450"/>
      <c r="BB81" s="450"/>
      <c r="BC81" s="450"/>
      <c r="BD81" s="450"/>
      <c r="BE81" s="450"/>
      <c r="BF81" s="450"/>
      <c r="BG81" s="450"/>
      <c r="BH81" s="450"/>
      <c r="BI81" s="450"/>
      <c r="BJ81" s="450"/>
      <c r="BK81" s="450"/>
      <c r="BL81" s="450">
        <v>120757.99</v>
      </c>
      <c r="BM81" s="450">
        <v>75739.1</v>
      </c>
      <c r="BN81" s="450">
        <v>0.0</v>
      </c>
      <c r="BO81" s="450">
        <v>0.0</v>
      </c>
      <c r="BP81" s="450">
        <v>0.0</v>
      </c>
      <c r="BQ81" s="450">
        <v>0.0</v>
      </c>
      <c r="BR81" s="450">
        <v>0.0</v>
      </c>
      <c r="BS81" s="615" t="str">
        <f t="array" ref="BS81">XLOOKUP(D81,'PL TOTAL XP'!A:A,'PL TOTAL XP'!C:C,"0")</f>
        <v>0</v>
      </c>
      <c r="BT81" s="616"/>
    </row>
    <row r="82" ht="15.75" customHeight="1">
      <c r="A82" s="183" t="s">
        <v>3820</v>
      </c>
      <c r="B82" s="78" t="s">
        <v>4070</v>
      </c>
      <c r="C82" s="617" t="s">
        <v>4071</v>
      </c>
      <c r="D82" s="522">
        <v>3432427.0</v>
      </c>
      <c r="E82" s="522" t="s">
        <v>18</v>
      </c>
      <c r="F82" s="522" t="s">
        <v>19</v>
      </c>
      <c r="G82" s="522" t="s">
        <v>256</v>
      </c>
      <c r="H82" s="522" t="str">
        <f>IFERROR(VLOOKUP(G82,'Cadastro de assessores'!A:B,2,FALSE),"Não Cadastrado")</f>
        <v>18009</v>
      </c>
      <c r="I82" s="522"/>
      <c r="J82" s="51" t="s">
        <v>186</v>
      </c>
      <c r="K82" s="522" t="s">
        <v>2563</v>
      </c>
      <c r="L82" s="618">
        <v>44445.0</v>
      </c>
      <c r="M82" s="618">
        <v>44445.0</v>
      </c>
      <c r="N82" s="619">
        <v>44658.0</v>
      </c>
      <c r="O82" s="522" t="s">
        <v>4030</v>
      </c>
      <c r="P82" s="612">
        <v>0.008</v>
      </c>
      <c r="Q82" s="620" t="s">
        <v>4072</v>
      </c>
      <c r="R82" s="613"/>
      <c r="S82" s="522" t="str">
        <f t="shared" ref="S82:S87" si="10">IF(BC82&lt;=0,"",IF(BC82&lt;=1000000,"Não Qualificado",IF(AND(BC82&gt;1000000,BC82&lt;=10000000),"Qualificado","Profissional")))</f>
        <v>Não Qualificado</v>
      </c>
      <c r="T82" s="522" t="s">
        <v>108</v>
      </c>
      <c r="U82" s="522" t="s">
        <v>2619</v>
      </c>
      <c r="V82" s="522" t="s">
        <v>152</v>
      </c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614"/>
      <c r="AI82" s="614"/>
      <c r="AJ82" s="450"/>
      <c r="AK82" s="450"/>
      <c r="AL82" s="450"/>
      <c r="AM82" s="450"/>
      <c r="AN82" s="450"/>
      <c r="AO82" s="450"/>
      <c r="AP82" s="450"/>
      <c r="AQ82" s="450"/>
      <c r="AR82" s="450"/>
      <c r="AS82" s="634"/>
      <c r="AT82" s="449"/>
      <c r="AU82" s="449">
        <v>94822.6</v>
      </c>
      <c r="AV82" s="450">
        <v>790036.52</v>
      </c>
      <c r="AW82" s="450">
        <v>726856.26</v>
      </c>
      <c r="AX82" s="450">
        <v>795364.26</v>
      </c>
      <c r="AY82" s="450">
        <v>797596.38</v>
      </c>
      <c r="AZ82" s="450">
        <v>802342.4</v>
      </c>
      <c r="BA82" s="450">
        <v>804114.28</v>
      </c>
      <c r="BB82" s="450">
        <v>812829.84</v>
      </c>
      <c r="BC82" s="450">
        <v>5153.82</v>
      </c>
      <c r="BD82" s="450" t="s">
        <v>2566</v>
      </c>
      <c r="BE82" s="450" t="s">
        <v>2566</v>
      </c>
      <c r="BF82" s="450">
        <v>0.0</v>
      </c>
      <c r="BG82" s="450">
        <v>0.0</v>
      </c>
      <c r="BH82" s="450">
        <v>0.0</v>
      </c>
      <c r="BI82" s="450">
        <v>0.0</v>
      </c>
      <c r="BJ82" s="450">
        <v>0.0</v>
      </c>
      <c r="BK82" s="450">
        <v>0.0</v>
      </c>
      <c r="BL82" s="450">
        <v>0.0</v>
      </c>
      <c r="BM82" s="450">
        <v>0.0</v>
      </c>
      <c r="BN82" s="450">
        <v>0.0</v>
      </c>
      <c r="BO82" s="450">
        <v>0.0</v>
      </c>
      <c r="BP82" s="450">
        <v>0.0</v>
      </c>
      <c r="BQ82" s="450">
        <v>0.0</v>
      </c>
      <c r="BR82" s="450">
        <v>0.0</v>
      </c>
      <c r="BS82" s="615" t="str">
        <f t="array" ref="BS82">XLOOKUP(D82,'PL TOTAL XP'!A:A,'PL TOTAL XP'!C:C,"0")</f>
        <v>0</v>
      </c>
      <c r="BT82" s="616"/>
    </row>
    <row r="83" ht="15.75" customHeight="1">
      <c r="A83" s="183" t="s">
        <v>3820</v>
      </c>
      <c r="B83" s="78" t="s">
        <v>4073</v>
      </c>
      <c r="C83" s="617" t="s">
        <v>4074</v>
      </c>
      <c r="D83" s="522">
        <v>4478774.0</v>
      </c>
      <c r="E83" s="512" t="s">
        <v>105</v>
      </c>
      <c r="F83" s="512" t="s">
        <v>29</v>
      </c>
      <c r="G83" s="512" t="s">
        <v>4075</v>
      </c>
      <c r="H83" s="512" t="str">
        <f>IFERROR(VLOOKUP(G83,'Cadastro de assessores'!A:B,2,FALSE),"Não Cadastrado")</f>
        <v>19634</v>
      </c>
      <c r="I83" s="512"/>
      <c r="J83" s="51" t="s">
        <v>3823</v>
      </c>
      <c r="K83" s="512" t="s">
        <v>107</v>
      </c>
      <c r="L83" s="610">
        <v>44103.0</v>
      </c>
      <c r="M83" s="610">
        <v>44103.0</v>
      </c>
      <c r="N83" s="522"/>
      <c r="O83" s="522" t="s">
        <v>3836</v>
      </c>
      <c r="P83" s="612">
        <v>0.012</v>
      </c>
      <c r="Q83" s="620" t="s">
        <v>1481</v>
      </c>
      <c r="R83" s="613" t="s">
        <v>4052</v>
      </c>
      <c r="S83" s="522" t="str">
        <f t="shared" si="10"/>
        <v>Não Qualificado</v>
      </c>
      <c r="T83" s="522" t="s">
        <v>108</v>
      </c>
      <c r="U83" s="522" t="s">
        <v>2591</v>
      </c>
      <c r="V83" s="522" t="s">
        <v>29</v>
      </c>
      <c r="W83" s="614" t="s">
        <v>3830</v>
      </c>
      <c r="X83" s="614" t="s">
        <v>3830</v>
      </c>
      <c r="Y83" s="614" t="s">
        <v>3830</v>
      </c>
      <c r="Z83" s="614" t="s">
        <v>3830</v>
      </c>
      <c r="AA83" s="614" t="s">
        <v>3830</v>
      </c>
      <c r="AB83" s="614" t="s">
        <v>3830</v>
      </c>
      <c r="AC83" s="614" t="s">
        <v>3830</v>
      </c>
      <c r="AD83" s="614" t="s">
        <v>3830</v>
      </c>
      <c r="AE83" s="614" t="s">
        <v>3830</v>
      </c>
      <c r="AF83" s="614" t="s">
        <v>3830</v>
      </c>
      <c r="AG83" s="614" t="s">
        <v>3830</v>
      </c>
      <c r="AH83" s="614" t="s">
        <v>4076</v>
      </c>
      <c r="AI83" s="614" t="s">
        <v>4077</v>
      </c>
      <c r="AJ83" s="614" t="s">
        <v>4078</v>
      </c>
      <c r="AK83" s="450">
        <v>1423465.95</v>
      </c>
      <c r="AL83" s="450">
        <v>1512359.88</v>
      </c>
      <c r="AM83" s="450">
        <v>1489838.71</v>
      </c>
      <c r="AN83" s="450">
        <v>1488019.84</v>
      </c>
      <c r="AO83" s="450">
        <v>1506734.11</v>
      </c>
      <c r="AP83" s="450">
        <v>1512062.63</v>
      </c>
      <c r="AQ83" s="450">
        <v>1509001.29</v>
      </c>
      <c r="AR83" s="450">
        <v>1528614.3</v>
      </c>
      <c r="AS83" s="450">
        <v>1524699.01</v>
      </c>
      <c r="AT83" s="450">
        <v>1512159.31</v>
      </c>
      <c r="AU83" s="450">
        <v>1510732.11</v>
      </c>
      <c r="AV83" s="450">
        <v>1501938.54</v>
      </c>
      <c r="AW83" s="450">
        <v>1465342.22</v>
      </c>
      <c r="AX83" s="450">
        <v>1477414.58</v>
      </c>
      <c r="AY83" s="450">
        <v>1496287.5</v>
      </c>
      <c r="AZ83" s="450">
        <v>1519718.74</v>
      </c>
      <c r="BA83" s="450">
        <v>1527633.84</v>
      </c>
      <c r="BB83" s="450">
        <v>1162706.87</v>
      </c>
      <c r="BC83" s="450">
        <v>174.69</v>
      </c>
      <c r="BD83" s="450">
        <v>1326567.3</v>
      </c>
      <c r="BE83" s="450">
        <v>2503.41</v>
      </c>
      <c r="BF83" s="450">
        <v>1495.38</v>
      </c>
      <c r="BG83" s="450">
        <v>1966.01</v>
      </c>
      <c r="BH83" s="450">
        <v>1976.82</v>
      </c>
      <c r="BI83" s="450">
        <v>1988.34</v>
      </c>
      <c r="BJ83" s="450">
        <v>1379.16</v>
      </c>
      <c r="BK83" s="450">
        <v>1211.4</v>
      </c>
      <c r="BL83" s="450">
        <v>2393.99</v>
      </c>
      <c r="BM83" s="450">
        <v>2412.31</v>
      </c>
      <c r="BN83" s="450">
        <v>2430.53</v>
      </c>
      <c r="BO83" s="450">
        <v>2450.83</v>
      </c>
      <c r="BP83" s="450">
        <v>2450.07</v>
      </c>
      <c r="BQ83" s="450">
        <v>2466.34</v>
      </c>
      <c r="BR83" s="450">
        <v>0.0</v>
      </c>
      <c r="BS83" s="615">
        <f t="array" ref="BS83">XLOOKUP(D83,'PL TOTAL XP'!A:A,'PL TOTAL XP'!C:C,"0")</f>
        <v>0</v>
      </c>
      <c r="BT83" s="616"/>
    </row>
    <row r="84" ht="15.75" customHeight="1">
      <c r="A84" s="183" t="s">
        <v>3820</v>
      </c>
      <c r="B84" s="78" t="s">
        <v>4079</v>
      </c>
      <c r="C84" s="564" t="s">
        <v>4080</v>
      </c>
      <c r="D84" s="566">
        <v>5692353.0</v>
      </c>
      <c r="E84" s="522" t="s">
        <v>18</v>
      </c>
      <c r="F84" s="511" t="s">
        <v>19</v>
      </c>
      <c r="G84" s="522" t="s">
        <v>256</v>
      </c>
      <c r="H84" s="511" t="str">
        <f>IFERROR(VLOOKUP(G84,'Cadastro de assessores'!A:B,2,FALSE),"Não Cadastrado")</f>
        <v>18009</v>
      </c>
      <c r="I84" s="511"/>
      <c r="J84" s="51" t="s">
        <v>186</v>
      </c>
      <c r="K84" s="522" t="s">
        <v>2563</v>
      </c>
      <c r="L84" s="619">
        <v>44466.0</v>
      </c>
      <c r="M84" s="619">
        <v>44466.0</v>
      </c>
      <c r="N84" s="567">
        <v>44740.0</v>
      </c>
      <c r="O84" s="566" t="s">
        <v>3840</v>
      </c>
      <c r="P84" s="612">
        <v>0.025</v>
      </c>
      <c r="Q84" s="224" t="s">
        <v>4081</v>
      </c>
      <c r="R84" s="613"/>
      <c r="S84" s="522" t="str">
        <f t="shared" si="10"/>
        <v>Não Qualificado</v>
      </c>
      <c r="T84" s="566" t="s">
        <v>108</v>
      </c>
      <c r="U84" s="566" t="s">
        <v>2619</v>
      </c>
      <c r="V84" s="566" t="s">
        <v>152</v>
      </c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614"/>
      <c r="AJ84" s="450"/>
      <c r="AK84" s="450"/>
      <c r="AL84" s="450"/>
      <c r="AM84" s="450"/>
      <c r="AN84" s="450"/>
      <c r="AO84" s="450"/>
      <c r="AP84" s="450"/>
      <c r="AQ84" s="450"/>
      <c r="AR84" s="468"/>
      <c r="AS84" s="450"/>
      <c r="AT84" s="450"/>
      <c r="AU84" s="450"/>
      <c r="AV84" s="450">
        <v>97811.35</v>
      </c>
      <c r="AW84" s="450">
        <v>89906.87</v>
      </c>
      <c r="AX84" s="450">
        <v>88798.49</v>
      </c>
      <c r="AY84" s="450">
        <v>90813.47</v>
      </c>
      <c r="AZ84" s="450">
        <v>96367.88</v>
      </c>
      <c r="BA84" s="450">
        <v>97942.73</v>
      </c>
      <c r="BB84" s="450">
        <v>103896.13</v>
      </c>
      <c r="BC84" s="450">
        <v>864975.46</v>
      </c>
      <c r="BD84" s="450">
        <v>98036.14</v>
      </c>
      <c r="BE84" s="450">
        <v>94018.69</v>
      </c>
      <c r="BF84" s="450">
        <v>0.0</v>
      </c>
      <c r="BG84" s="450">
        <v>0.0</v>
      </c>
      <c r="BH84" s="450">
        <v>0.0</v>
      </c>
      <c r="BI84" s="450">
        <v>0.0</v>
      </c>
      <c r="BJ84" s="450">
        <v>0.0</v>
      </c>
      <c r="BK84" s="450">
        <v>0.0</v>
      </c>
      <c r="BL84" s="450">
        <v>0.0</v>
      </c>
      <c r="BM84" s="450">
        <v>0.0</v>
      </c>
      <c r="BN84" s="450">
        <v>0.0</v>
      </c>
      <c r="BO84" s="450">
        <v>0.0</v>
      </c>
      <c r="BP84" s="450">
        <v>0.0</v>
      </c>
      <c r="BQ84" s="450">
        <v>0.0</v>
      </c>
      <c r="BR84" s="450">
        <v>0.0</v>
      </c>
      <c r="BS84" s="615" t="str">
        <f t="array" ref="BS84">XLOOKUP(D84,'PL TOTAL XP'!A:A,'PL TOTAL XP'!C:C,"0")</f>
        <v>0</v>
      </c>
      <c r="BT84" s="616"/>
    </row>
    <row r="85" ht="15.75" customHeight="1">
      <c r="A85" s="183" t="s">
        <v>3820</v>
      </c>
      <c r="B85" s="78" t="s">
        <v>4082</v>
      </c>
      <c r="C85" s="621" t="s">
        <v>4083</v>
      </c>
      <c r="D85" s="512">
        <v>4848604.0</v>
      </c>
      <c r="E85" s="512" t="s">
        <v>105</v>
      </c>
      <c r="F85" s="512" t="s">
        <v>29</v>
      </c>
      <c r="G85" s="512" t="s">
        <v>4084</v>
      </c>
      <c r="H85" s="512" t="str">
        <f>IFERROR(VLOOKUP(G85,'Cadastro de assessores'!A:B,2,FALSE),"Não Cadastrado")</f>
        <v>15049</v>
      </c>
      <c r="I85" s="512"/>
      <c r="J85" s="51" t="s">
        <v>3823</v>
      </c>
      <c r="K85" s="512" t="s">
        <v>107</v>
      </c>
      <c r="L85" s="610">
        <v>44236.0</v>
      </c>
      <c r="M85" s="610">
        <v>44236.0</v>
      </c>
      <c r="N85" s="522"/>
      <c r="O85" s="522" t="s">
        <v>3836</v>
      </c>
      <c r="P85" s="612">
        <v>0.012</v>
      </c>
      <c r="Q85" s="620"/>
      <c r="R85" s="613"/>
      <c r="S85" s="522" t="str">
        <f t="shared" si="10"/>
        <v/>
      </c>
      <c r="T85" s="522" t="s">
        <v>108</v>
      </c>
      <c r="U85" s="522" t="s">
        <v>2602</v>
      </c>
      <c r="V85" s="522" t="s">
        <v>29</v>
      </c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450"/>
      <c r="AL85" s="450"/>
      <c r="AM85" s="450">
        <v>146955.88</v>
      </c>
      <c r="AN85" s="450">
        <v>147150.33</v>
      </c>
      <c r="AO85" s="450">
        <v>149418.72</v>
      </c>
      <c r="AP85" s="450">
        <v>149969.63</v>
      </c>
      <c r="AQ85" s="450">
        <v>149714.89</v>
      </c>
      <c r="AR85" s="450">
        <v>181886.53</v>
      </c>
      <c r="AS85" s="450">
        <v>181532.35</v>
      </c>
      <c r="AT85" s="450">
        <v>180125.23</v>
      </c>
      <c r="AU85" s="450">
        <v>179926.86</v>
      </c>
      <c r="AV85" s="450">
        <v>178909.18</v>
      </c>
      <c r="AW85" s="450">
        <v>176963.67</v>
      </c>
      <c r="AX85" s="450">
        <v>177283.61</v>
      </c>
      <c r="AY85" s="450">
        <v>179138.63</v>
      </c>
      <c r="AZ85" s="450">
        <v>182081.13</v>
      </c>
      <c r="BA85" s="450">
        <v>183317.3</v>
      </c>
      <c r="BB85" s="450">
        <v>187287.9</v>
      </c>
      <c r="BC85" s="450">
        <v>0.0</v>
      </c>
      <c r="BD85" s="450">
        <v>184765.22</v>
      </c>
      <c r="BE85" s="450">
        <v>185120.25</v>
      </c>
      <c r="BF85" s="450">
        <v>187260.3</v>
      </c>
      <c r="BG85" s="450">
        <v>188244.6059</v>
      </c>
      <c r="BH85" s="450">
        <v>189325.22</v>
      </c>
      <c r="BI85" s="450">
        <v>192673.31</v>
      </c>
      <c r="BJ85" s="450">
        <v>193423.34</v>
      </c>
      <c r="BK85" s="450">
        <v>194931.28</v>
      </c>
      <c r="BL85" s="450">
        <v>197098.51</v>
      </c>
      <c r="BM85" s="450">
        <v>3.44</v>
      </c>
      <c r="BN85" s="450">
        <v>3.45</v>
      </c>
      <c r="BO85" s="450">
        <v>3.45</v>
      </c>
      <c r="BP85" s="450">
        <v>3.45</v>
      </c>
      <c r="BQ85" s="450">
        <v>3.45</v>
      </c>
      <c r="BR85" s="450">
        <v>3.45</v>
      </c>
      <c r="BS85" s="615">
        <f t="array" ref="BS85">XLOOKUP(D85,'PL TOTAL XP'!A:A,'PL TOTAL XP'!C:C,"0")</f>
        <v>0</v>
      </c>
      <c r="BT85" s="616"/>
    </row>
    <row r="86" ht="15.75" customHeight="1">
      <c r="A86" s="183" t="s">
        <v>3820</v>
      </c>
      <c r="B86" s="78" t="s">
        <v>4085</v>
      </c>
      <c r="C86" s="617" t="s">
        <v>4086</v>
      </c>
      <c r="D86" s="522">
        <v>4537911.0</v>
      </c>
      <c r="E86" s="512" t="s">
        <v>105</v>
      </c>
      <c r="F86" s="512" t="s">
        <v>29</v>
      </c>
      <c r="G86" s="512" t="s">
        <v>4087</v>
      </c>
      <c r="H86" s="512" t="str">
        <f>IFERROR(VLOOKUP(G86,'Cadastro de assessores'!A:B,2,FALSE),"Não Cadastrado")</f>
        <v>17243</v>
      </c>
      <c r="I86" s="512"/>
      <c r="J86" s="51" t="s">
        <v>186</v>
      </c>
      <c r="K86" s="512" t="s">
        <v>107</v>
      </c>
      <c r="L86" s="611">
        <v>44126.0</v>
      </c>
      <c r="M86" s="611">
        <v>44130.0</v>
      </c>
      <c r="N86" s="619">
        <v>44988.0</v>
      </c>
      <c r="O86" s="522" t="s">
        <v>3828</v>
      </c>
      <c r="P86" s="612">
        <v>0.015</v>
      </c>
      <c r="Q86" s="620" t="s">
        <v>4088</v>
      </c>
      <c r="R86" s="613"/>
      <c r="S86" s="522" t="str">
        <f t="shared" si="10"/>
        <v>Não Qualificado</v>
      </c>
      <c r="T86" s="522" t="s">
        <v>369</v>
      </c>
      <c r="U86" s="522" t="s">
        <v>4089</v>
      </c>
      <c r="V86" s="522" t="s">
        <v>29</v>
      </c>
      <c r="W86" s="614" t="s">
        <v>3830</v>
      </c>
      <c r="X86" s="614" t="s">
        <v>3830</v>
      </c>
      <c r="Y86" s="614" t="s">
        <v>3830</v>
      </c>
      <c r="Z86" s="614" t="s">
        <v>3830</v>
      </c>
      <c r="AA86" s="614" t="s">
        <v>3830</v>
      </c>
      <c r="AB86" s="614" t="s">
        <v>3830</v>
      </c>
      <c r="AC86" s="614" t="s">
        <v>3830</v>
      </c>
      <c r="AD86" s="614" t="s">
        <v>3830</v>
      </c>
      <c r="AE86" s="614" t="s">
        <v>3830</v>
      </c>
      <c r="AF86" s="614" t="s">
        <v>3830</v>
      </c>
      <c r="AG86" s="614" t="s">
        <v>3830</v>
      </c>
      <c r="AH86" s="614" t="s">
        <v>3830</v>
      </c>
      <c r="AI86" s="614" t="s">
        <v>4090</v>
      </c>
      <c r="AJ86" s="614" t="s">
        <v>4091</v>
      </c>
      <c r="AK86" s="450">
        <v>317786.8</v>
      </c>
      <c r="AL86" s="450">
        <v>312252.63</v>
      </c>
      <c r="AM86" s="450">
        <v>301575.39</v>
      </c>
      <c r="AN86" s="450">
        <v>301504.49</v>
      </c>
      <c r="AO86" s="450">
        <v>309518.36</v>
      </c>
      <c r="AP86" s="450">
        <v>310904.33</v>
      </c>
      <c r="AQ86" s="450">
        <v>309620.59</v>
      </c>
      <c r="AR86" s="450">
        <v>316856.43</v>
      </c>
      <c r="AS86" s="450">
        <v>314355.59</v>
      </c>
      <c r="AT86" s="450">
        <v>308287.7</v>
      </c>
      <c r="AU86" s="450">
        <v>306461.39</v>
      </c>
      <c r="AV86" s="450">
        <v>300470.19</v>
      </c>
      <c r="AW86" s="450">
        <v>291302.49</v>
      </c>
      <c r="AX86" s="450">
        <v>291250.23</v>
      </c>
      <c r="AY86" s="450">
        <v>295115.92</v>
      </c>
      <c r="AZ86" s="450">
        <v>303368.19</v>
      </c>
      <c r="BA86" s="450">
        <v>306023.4</v>
      </c>
      <c r="BB86" s="450">
        <v>316159.86</v>
      </c>
      <c r="BC86" s="450">
        <v>534309.17</v>
      </c>
      <c r="BD86" s="450">
        <v>313682.22</v>
      </c>
      <c r="BE86" s="450">
        <v>312332.84</v>
      </c>
      <c r="BF86" s="450">
        <v>317237.17</v>
      </c>
      <c r="BG86" s="450">
        <v>318375.9797</v>
      </c>
      <c r="BH86" s="450">
        <v>319532.1</v>
      </c>
      <c r="BI86" s="450">
        <v>327348.86</v>
      </c>
      <c r="BJ86" s="450">
        <v>327998.59</v>
      </c>
      <c r="BK86" s="450">
        <v>330047.99</v>
      </c>
      <c r="BL86" s="450">
        <v>333662.13</v>
      </c>
      <c r="BM86" s="450">
        <v>0.0</v>
      </c>
      <c r="BN86" s="450">
        <v>0.0</v>
      </c>
      <c r="BO86" s="450">
        <v>0.0</v>
      </c>
      <c r="BP86" s="450">
        <v>0.0</v>
      </c>
      <c r="BQ86" s="450">
        <v>0.0</v>
      </c>
      <c r="BR86" s="450">
        <v>0.0</v>
      </c>
      <c r="BS86" s="615" t="str">
        <f t="array" ref="BS86">XLOOKUP(D86,'PL TOTAL XP'!A:A,'PL TOTAL XP'!C:C,"0")</f>
        <v>0</v>
      </c>
      <c r="BT86" s="616"/>
    </row>
    <row r="87" ht="15.75" customHeight="1">
      <c r="A87" s="183" t="s">
        <v>3820</v>
      </c>
      <c r="B87" s="78" t="s">
        <v>4092</v>
      </c>
      <c r="C87" s="645" t="s">
        <v>4093</v>
      </c>
      <c r="D87" s="623">
        <v>4068685.0</v>
      </c>
      <c r="E87" s="512" t="s">
        <v>18</v>
      </c>
      <c r="F87" s="609" t="s">
        <v>19</v>
      </c>
      <c r="G87" s="512" t="s">
        <v>256</v>
      </c>
      <c r="H87" s="512" t="str">
        <f>IFERROR(VLOOKUP(G87,'Cadastro de assessores'!A:B,2,FALSE),"Não Cadastrado")</f>
        <v>18009</v>
      </c>
      <c r="I87" s="512"/>
      <c r="J87" s="51" t="s">
        <v>3823</v>
      </c>
      <c r="K87" s="512" t="s">
        <v>107</v>
      </c>
      <c r="L87" s="610">
        <v>44427.0</v>
      </c>
      <c r="M87" s="610">
        <v>44454.0</v>
      </c>
      <c r="N87" s="566"/>
      <c r="O87" s="566" t="s">
        <v>3828</v>
      </c>
      <c r="P87" s="612">
        <v>0.015</v>
      </c>
      <c r="Q87" s="224" t="s">
        <v>4094</v>
      </c>
      <c r="R87" s="613"/>
      <c r="S87" s="522" t="str">
        <f t="shared" si="10"/>
        <v/>
      </c>
      <c r="T87" s="522" t="s">
        <v>108</v>
      </c>
      <c r="U87" s="522" t="s">
        <v>4095</v>
      </c>
      <c r="V87" s="566" t="s">
        <v>19</v>
      </c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50"/>
      <c r="AJ87" s="450"/>
      <c r="AK87" s="450"/>
      <c r="AL87" s="450"/>
      <c r="AM87" s="450"/>
      <c r="AN87" s="450"/>
      <c r="AO87" s="450"/>
      <c r="AP87" s="450"/>
      <c r="AQ87" s="468"/>
      <c r="AR87" s="468"/>
      <c r="AS87" s="449"/>
      <c r="AT87" s="449"/>
      <c r="AU87" s="468"/>
      <c r="AV87" s="450">
        <v>841460.79</v>
      </c>
      <c r="AW87" s="450">
        <v>771926.61</v>
      </c>
      <c r="AX87" s="450">
        <v>867575.17</v>
      </c>
      <c r="AY87" s="450">
        <v>879220.83</v>
      </c>
      <c r="AZ87" s="450">
        <v>980138.51</v>
      </c>
      <c r="BA87" s="450">
        <v>1486297.25</v>
      </c>
      <c r="BB87" s="450">
        <v>1523003.1</v>
      </c>
      <c r="BC87" s="450"/>
      <c r="BD87" s="450">
        <v>1322102.38</v>
      </c>
      <c r="BE87" s="450">
        <v>1065770.24</v>
      </c>
      <c r="BF87" s="450">
        <v>1015852.31</v>
      </c>
      <c r="BG87" s="450">
        <v>822465.4286</v>
      </c>
      <c r="BH87" s="450">
        <v>694072.65</v>
      </c>
      <c r="BI87" s="450">
        <v>601564.34</v>
      </c>
      <c r="BJ87" s="450">
        <v>398054.13</v>
      </c>
      <c r="BK87" s="450">
        <v>400120.56</v>
      </c>
      <c r="BL87" s="450">
        <v>402331.2</v>
      </c>
      <c r="BM87" s="450">
        <v>304281.3</v>
      </c>
      <c r="BN87" s="450">
        <v>308168.91</v>
      </c>
      <c r="BO87" s="450">
        <v>0.0</v>
      </c>
      <c r="BP87" s="450">
        <v>0.0</v>
      </c>
      <c r="BQ87" s="450">
        <v>0.0</v>
      </c>
      <c r="BR87" s="450">
        <v>0.0</v>
      </c>
      <c r="BS87" s="615" t="str">
        <f t="array" ref="BS87">XLOOKUP(D87,'PL TOTAL XP'!A:A,'PL TOTAL XP'!C:C,"0")</f>
        <v>0</v>
      </c>
      <c r="BT87" s="616"/>
    </row>
    <row r="88" ht="15.75" customHeight="1">
      <c r="A88" s="183" t="s">
        <v>3820</v>
      </c>
      <c r="B88" s="78" t="s">
        <v>4096</v>
      </c>
      <c r="C88" s="645" t="s">
        <v>591</v>
      </c>
      <c r="D88" s="623">
        <v>6200964.0</v>
      </c>
      <c r="E88" s="512" t="s">
        <v>18</v>
      </c>
      <c r="F88" s="609" t="s">
        <v>19</v>
      </c>
      <c r="G88" s="512" t="s">
        <v>20</v>
      </c>
      <c r="H88" s="512">
        <f>IFERROR(VLOOKUP(G88,'Cadastro de assessores'!A:B,2,FALSE),"Não Cadastrado")</f>
        <v>12331</v>
      </c>
      <c r="I88" s="512"/>
      <c r="J88" s="51" t="s">
        <v>3823</v>
      </c>
      <c r="K88" s="512"/>
      <c r="L88" s="610"/>
      <c r="M88" s="610">
        <v>44851.0</v>
      </c>
      <c r="N88" s="566"/>
      <c r="O88" s="566" t="s">
        <v>3828</v>
      </c>
      <c r="P88" s="612">
        <v>0.015</v>
      </c>
      <c r="Q88" s="224" t="s">
        <v>4097</v>
      </c>
      <c r="R88" s="613"/>
      <c r="S88" s="522"/>
      <c r="T88" s="522"/>
      <c r="U88" s="522"/>
      <c r="V88" s="566" t="s">
        <v>19</v>
      </c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50"/>
      <c r="AJ88" s="450"/>
      <c r="AK88" s="450"/>
      <c r="AL88" s="450"/>
      <c r="AM88" s="450"/>
      <c r="AN88" s="450"/>
      <c r="AO88" s="450"/>
      <c r="AP88" s="450"/>
      <c r="AQ88" s="468"/>
      <c r="AR88" s="468"/>
      <c r="AS88" s="449"/>
      <c r="AT88" s="449"/>
      <c r="AU88" s="468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>
        <v>100573.01</v>
      </c>
      <c r="BJ88" s="450">
        <v>101202.63</v>
      </c>
      <c r="BK88" s="450">
        <v>101938.92</v>
      </c>
      <c r="BL88" s="450">
        <v>102987.13</v>
      </c>
      <c r="BM88" s="450">
        <v>103762.49</v>
      </c>
      <c r="BN88" s="450">
        <v>4135.72</v>
      </c>
      <c r="BO88" s="450">
        <v>0.0</v>
      </c>
      <c r="BP88" s="450">
        <v>0.0</v>
      </c>
      <c r="BQ88" s="450">
        <v>0.0</v>
      </c>
      <c r="BR88" s="450">
        <v>0.0</v>
      </c>
      <c r="BS88" s="615">
        <f t="array" ref="BS88">XLOOKUP(D88,'PL TOTAL XP'!A:A,'PL TOTAL XP'!C:C,"0")</f>
        <v>0</v>
      </c>
      <c r="BT88" s="616"/>
    </row>
    <row r="89" ht="15.75" customHeight="1">
      <c r="A89" s="183" t="s">
        <v>3820</v>
      </c>
      <c r="B89" s="78" t="s">
        <v>4098</v>
      </c>
      <c r="C89" s="564" t="s">
        <v>4099</v>
      </c>
      <c r="D89" s="635">
        <v>7911381.0</v>
      </c>
      <c r="E89" s="511" t="s">
        <v>18</v>
      </c>
      <c r="F89" s="511" t="s">
        <v>29</v>
      </c>
      <c r="G89" s="522" t="s">
        <v>60</v>
      </c>
      <c r="H89" s="566">
        <f>IFERROR(VLOOKUP(G89,'Cadastro de assessores'!A:B,2,FALSE),"Não Cadastrado")</f>
        <v>12332</v>
      </c>
      <c r="I89" s="566"/>
      <c r="J89" s="51" t="s">
        <v>186</v>
      </c>
      <c r="K89" s="522" t="s">
        <v>2563</v>
      </c>
      <c r="L89" s="619">
        <v>44655.0</v>
      </c>
      <c r="M89" s="619">
        <v>44655.0</v>
      </c>
      <c r="N89" s="567">
        <v>44723.0</v>
      </c>
      <c r="O89" s="566" t="s">
        <v>3834</v>
      </c>
      <c r="P89" s="612">
        <v>0.007</v>
      </c>
      <c r="Q89" s="224" t="s">
        <v>4100</v>
      </c>
      <c r="R89" s="613"/>
      <c r="S89" s="522" t="str">
        <f>IF(BC89&lt;=0,"",IF(BC89&lt;=1000000,"Não Qualificado",IF(AND(BC89&gt;1000000,BC89&lt;=10000000),"Qualificado","Profissional")))</f>
        <v>Não Qualificado</v>
      </c>
      <c r="T89" s="522" t="s">
        <v>108</v>
      </c>
      <c r="U89" s="522" t="s">
        <v>2675</v>
      </c>
      <c r="V89" s="522" t="s">
        <v>29</v>
      </c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614"/>
      <c r="AJ89" s="450"/>
      <c r="AK89" s="450"/>
      <c r="AL89" s="450"/>
      <c r="AM89" s="450"/>
      <c r="AN89" s="450"/>
      <c r="AO89" s="450"/>
      <c r="AP89" s="450"/>
      <c r="AQ89" s="450"/>
      <c r="AR89" s="450"/>
      <c r="AS89" s="468"/>
      <c r="AT89" s="449"/>
      <c r="AU89" s="449"/>
      <c r="AV89" s="450"/>
      <c r="AW89" s="450"/>
      <c r="AX89" s="450"/>
      <c r="AY89" s="450"/>
      <c r="AZ89" s="450"/>
      <c r="BA89" s="450"/>
      <c r="BB89" s="450"/>
      <c r="BC89" s="450">
        <v>238157.51</v>
      </c>
      <c r="BD89" s="450">
        <v>101108.1</v>
      </c>
      <c r="BE89" s="450">
        <v>101769.13</v>
      </c>
      <c r="BF89" s="450">
        <v>0.0</v>
      </c>
      <c r="BG89" s="450">
        <v>0.0</v>
      </c>
      <c r="BH89" s="450">
        <v>0.0</v>
      </c>
      <c r="BI89" s="450">
        <v>0.0</v>
      </c>
      <c r="BJ89" s="450">
        <v>0.0</v>
      </c>
      <c r="BK89" s="450">
        <v>0.0</v>
      </c>
      <c r="BL89" s="450">
        <v>0.0</v>
      </c>
      <c r="BM89" s="450">
        <v>0.0</v>
      </c>
      <c r="BN89" s="450">
        <v>0.0</v>
      </c>
      <c r="BO89" s="450">
        <v>0.0</v>
      </c>
      <c r="BP89" s="450">
        <v>0.0</v>
      </c>
      <c r="BQ89" s="450">
        <v>0.0</v>
      </c>
      <c r="BR89" s="450">
        <v>0.0</v>
      </c>
      <c r="BS89" s="615" t="str">
        <f t="array" ref="BS89">XLOOKUP(D89,'PL TOTAL XP'!A:A,'PL TOTAL XP'!C:C,"0")</f>
        <v>0</v>
      </c>
      <c r="BT89" s="616"/>
    </row>
    <row r="90" ht="15.75" customHeight="1">
      <c r="A90" s="183" t="s">
        <v>3820</v>
      </c>
      <c r="B90" s="78" t="s">
        <v>605</v>
      </c>
      <c r="C90" s="645" t="s">
        <v>4101</v>
      </c>
      <c r="D90" s="623">
        <v>9009694.0</v>
      </c>
      <c r="E90" s="512" t="s">
        <v>18</v>
      </c>
      <c r="F90" s="609" t="s">
        <v>19</v>
      </c>
      <c r="G90" s="512" t="s">
        <v>20</v>
      </c>
      <c r="H90" s="512">
        <f>IFERROR(VLOOKUP(G90,'Cadastro de assessores'!A:B,2,FALSE),"Não Cadastrado")</f>
        <v>12331</v>
      </c>
      <c r="I90" s="512"/>
      <c r="J90" s="51" t="s">
        <v>3823</v>
      </c>
      <c r="K90" s="512" t="s">
        <v>107</v>
      </c>
      <c r="L90" s="610">
        <v>44760.0</v>
      </c>
      <c r="M90" s="610">
        <v>44762.0</v>
      </c>
      <c r="N90" s="566"/>
      <c r="O90" s="566" t="s">
        <v>3836</v>
      </c>
      <c r="P90" s="612">
        <v>0.012</v>
      </c>
      <c r="Q90" s="620" t="s">
        <v>4102</v>
      </c>
      <c r="R90" s="613"/>
      <c r="S90" s="522"/>
      <c r="T90" s="522" t="s">
        <v>108</v>
      </c>
      <c r="U90" s="522"/>
      <c r="V90" s="566" t="s">
        <v>19</v>
      </c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50"/>
      <c r="AJ90" s="450"/>
      <c r="AK90" s="450"/>
      <c r="AL90" s="450"/>
      <c r="AM90" s="450"/>
      <c r="AN90" s="450"/>
      <c r="AO90" s="450"/>
      <c r="AP90" s="450"/>
      <c r="AQ90" s="468"/>
      <c r="AR90" s="468"/>
      <c r="AS90" s="449"/>
      <c r="AT90" s="449"/>
      <c r="AU90" s="468"/>
      <c r="AV90" s="450"/>
      <c r="AW90" s="450"/>
      <c r="AX90" s="450"/>
      <c r="AY90" s="450"/>
      <c r="AZ90" s="450"/>
      <c r="BA90" s="450"/>
      <c r="BB90" s="450"/>
      <c r="BC90" s="450"/>
      <c r="BD90" s="450"/>
      <c r="BE90" s="450"/>
      <c r="BF90" s="450">
        <v>150490.96</v>
      </c>
      <c r="BG90" s="450">
        <v>191744.6131</v>
      </c>
      <c r="BH90" s="450">
        <v>173541.41</v>
      </c>
      <c r="BI90" s="450">
        <v>177038.27</v>
      </c>
      <c r="BJ90" s="450">
        <v>177889.47</v>
      </c>
      <c r="BK90" s="450">
        <v>179567.29</v>
      </c>
      <c r="BL90" s="450">
        <v>6285.65</v>
      </c>
      <c r="BM90" s="450">
        <v>88.68</v>
      </c>
      <c r="BN90" s="450">
        <v>88.69</v>
      </c>
      <c r="BO90" s="450">
        <v>88.69</v>
      </c>
      <c r="BP90" s="450">
        <v>88.69</v>
      </c>
      <c r="BQ90" s="450">
        <v>88.69</v>
      </c>
      <c r="BR90" s="450">
        <v>88.69</v>
      </c>
      <c r="BS90" s="615">
        <f t="array" ref="BS90">XLOOKUP(D90,'PL TOTAL XP'!A:A,'PL TOTAL XP'!C:C,"0")</f>
        <v>0</v>
      </c>
      <c r="BT90" s="616"/>
    </row>
    <row r="91" ht="15.75" customHeight="1">
      <c r="A91" s="183" t="s">
        <v>3820</v>
      </c>
      <c r="B91" s="78" t="s">
        <v>608</v>
      </c>
      <c r="C91" s="564" t="s">
        <v>606</v>
      </c>
      <c r="D91" s="566">
        <v>2218849.0</v>
      </c>
      <c r="E91" s="512" t="s">
        <v>18</v>
      </c>
      <c r="F91" s="609" t="s">
        <v>19</v>
      </c>
      <c r="G91" s="512" t="s">
        <v>256</v>
      </c>
      <c r="H91" s="566" t="str">
        <f>IFERROR(VLOOKUP(G91,'Cadastro de assessores'!A:B,2,FALSE),"Não Cadastrado")</f>
        <v>18009</v>
      </c>
      <c r="I91" s="566"/>
      <c r="J91" s="51" t="s">
        <v>3823</v>
      </c>
      <c r="K91" s="512" t="s">
        <v>107</v>
      </c>
      <c r="L91" s="610">
        <v>44407.0</v>
      </c>
      <c r="M91" s="610">
        <v>44407.0</v>
      </c>
      <c r="N91" s="566"/>
      <c r="O91" s="566" t="s">
        <v>4029</v>
      </c>
      <c r="P91" s="612">
        <v>0.02</v>
      </c>
      <c r="Q91" s="224" t="s">
        <v>4103</v>
      </c>
      <c r="R91" s="613"/>
      <c r="S91" s="522" t="str">
        <f t="shared" ref="S91:S108" si="11">IF(BC91&lt;=0,"",IF(BC91&lt;=1000000,"Não Qualificado",IF(AND(BC91&gt;1000000,BC91&lt;=10000000),"Qualificado","Profissional")))</f>
        <v>Não Qualificado</v>
      </c>
      <c r="T91" s="522" t="s">
        <v>108</v>
      </c>
      <c r="U91" s="522" t="s">
        <v>2619</v>
      </c>
      <c r="V91" s="522" t="s">
        <v>152</v>
      </c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614"/>
      <c r="AI91" s="450"/>
      <c r="AJ91" s="450"/>
      <c r="AK91" s="450"/>
      <c r="AL91" s="450"/>
      <c r="AM91" s="450"/>
      <c r="AN91" s="450"/>
      <c r="AO91" s="450"/>
      <c r="AP91" s="450"/>
      <c r="AQ91" s="450"/>
      <c r="AR91" s="468"/>
      <c r="AS91" s="468"/>
      <c r="AT91" s="449">
        <v>254666.05</v>
      </c>
      <c r="AU91" s="449">
        <v>252460.97</v>
      </c>
      <c r="AV91" s="450">
        <v>256694.45</v>
      </c>
      <c r="AW91" s="450">
        <v>241065.82</v>
      </c>
      <c r="AX91" s="450">
        <v>244859.61</v>
      </c>
      <c r="AY91" s="450">
        <v>243016.79</v>
      </c>
      <c r="AZ91" s="450">
        <v>249436.95</v>
      </c>
      <c r="BA91" s="450">
        <v>257266.38</v>
      </c>
      <c r="BB91" s="450">
        <v>241372.76</v>
      </c>
      <c r="BC91" s="450">
        <v>153467.55</v>
      </c>
      <c r="BD91" s="450">
        <v>239398.93</v>
      </c>
      <c r="BE91" s="450">
        <v>223029.79</v>
      </c>
      <c r="BF91" s="450">
        <v>218626.56</v>
      </c>
      <c r="BG91" s="450">
        <v>224454.5489</v>
      </c>
      <c r="BH91" s="450">
        <v>226595.59</v>
      </c>
      <c r="BI91" s="450">
        <v>245546.86</v>
      </c>
      <c r="BJ91" s="450">
        <v>233211.47</v>
      </c>
      <c r="BK91" s="450">
        <v>231295.8</v>
      </c>
      <c r="BL91" s="450">
        <v>229524.0</v>
      </c>
      <c r="BM91" s="450">
        <v>227321.7</v>
      </c>
      <c r="BN91" s="450">
        <v>229710.88</v>
      </c>
      <c r="BO91" s="450">
        <v>234156.92</v>
      </c>
      <c r="BP91" s="450">
        <v>233974.86</v>
      </c>
      <c r="BQ91" s="450">
        <v>240669.12</v>
      </c>
      <c r="BR91" s="450">
        <v>239327.8</v>
      </c>
      <c r="BS91" s="615">
        <f t="array" ref="BS91">XLOOKUP(D91,'PL TOTAL XP'!A:A,'PL TOTAL XP'!C:C,"0")</f>
        <v>0</v>
      </c>
      <c r="BT91" s="616"/>
    </row>
    <row r="92" ht="15.75" customHeight="1">
      <c r="A92" s="183" t="s">
        <v>3820</v>
      </c>
      <c r="B92" s="78" t="s">
        <v>4104</v>
      </c>
      <c r="C92" s="564" t="s">
        <v>4105</v>
      </c>
      <c r="D92" s="566">
        <v>5900668.0</v>
      </c>
      <c r="E92" s="512" t="s">
        <v>18</v>
      </c>
      <c r="F92" s="609" t="s">
        <v>19</v>
      </c>
      <c r="G92" s="512" t="s">
        <v>256</v>
      </c>
      <c r="H92" s="566" t="str">
        <f>IFERROR(VLOOKUP(G92,'Cadastro de assessores'!A:B,2,FALSE),"Não Cadastrado")</f>
        <v>18009</v>
      </c>
      <c r="I92" s="566"/>
      <c r="J92" s="51" t="s">
        <v>3823</v>
      </c>
      <c r="K92" s="522" t="s">
        <v>147</v>
      </c>
      <c r="L92" s="522" t="s">
        <v>2600</v>
      </c>
      <c r="M92" s="640" t="s">
        <v>2599</v>
      </c>
      <c r="N92" s="566"/>
      <c r="O92" s="566" t="s">
        <v>3824</v>
      </c>
      <c r="P92" s="612">
        <v>0.02</v>
      </c>
      <c r="Q92" s="224"/>
      <c r="R92" s="613"/>
      <c r="S92" s="522" t="str">
        <f t="shared" si="11"/>
        <v/>
      </c>
      <c r="T92" s="522" t="s">
        <v>108</v>
      </c>
      <c r="U92" s="522" t="s">
        <v>2619</v>
      </c>
      <c r="V92" s="522" t="s">
        <v>152</v>
      </c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614"/>
      <c r="AJ92" s="450"/>
      <c r="AK92" s="450"/>
      <c r="AL92" s="450"/>
      <c r="AM92" s="450"/>
      <c r="AN92" s="450"/>
      <c r="AO92" s="450"/>
      <c r="AP92" s="450"/>
      <c r="AQ92" s="450"/>
      <c r="AR92" s="450"/>
      <c r="AS92" s="468"/>
      <c r="AT92" s="449"/>
      <c r="AU92" s="449"/>
      <c r="AV92" s="450"/>
      <c r="AW92" s="450"/>
      <c r="AX92" s="450"/>
      <c r="AY92" s="450"/>
      <c r="AZ92" s="450"/>
      <c r="BA92" s="450">
        <v>0.0</v>
      </c>
      <c r="BB92" s="450">
        <v>0.0</v>
      </c>
      <c r="BC92" s="450">
        <v>0.0</v>
      </c>
      <c r="BD92" s="450" t="s">
        <v>2566</v>
      </c>
      <c r="BE92" s="450" t="s">
        <v>2566</v>
      </c>
      <c r="BF92" s="450">
        <v>0.0</v>
      </c>
      <c r="BG92" s="450">
        <v>0.0</v>
      </c>
      <c r="BH92" s="450">
        <v>0.0</v>
      </c>
      <c r="BI92" s="450">
        <v>0.0</v>
      </c>
      <c r="BJ92" s="450">
        <v>0.0</v>
      </c>
      <c r="BK92" s="450">
        <v>0.0</v>
      </c>
      <c r="BL92" s="450">
        <v>0.0</v>
      </c>
      <c r="BM92" s="450">
        <v>0.0</v>
      </c>
      <c r="BN92" s="450">
        <v>0.0</v>
      </c>
      <c r="BO92" s="450">
        <v>0.0</v>
      </c>
      <c r="BP92" s="450">
        <v>0.0</v>
      </c>
      <c r="BQ92" s="450">
        <v>0.0</v>
      </c>
      <c r="BR92" s="450">
        <v>0.0</v>
      </c>
      <c r="BS92" s="615">
        <f t="array" ref="BS92">XLOOKUP(D92,'PL TOTAL XP'!A:A,'PL TOTAL XP'!C:C,"0")</f>
        <v>0</v>
      </c>
      <c r="BT92" s="616"/>
    </row>
    <row r="93" ht="15.75" customHeight="1">
      <c r="A93" s="183" t="s">
        <v>3820</v>
      </c>
      <c r="B93" s="78" t="s">
        <v>4106</v>
      </c>
      <c r="C93" s="617" t="s">
        <v>4107</v>
      </c>
      <c r="D93" s="522">
        <v>4748841.0</v>
      </c>
      <c r="E93" s="522" t="s">
        <v>2550</v>
      </c>
      <c r="F93" s="522" t="s">
        <v>29</v>
      </c>
      <c r="G93" s="522" t="s">
        <v>2550</v>
      </c>
      <c r="H93" s="522" t="str">
        <f>IFERROR(VLOOKUP(G93,'Cadastro de assessores'!A:B,2,FALSE),"Não Cadastrado")</f>
        <v>18986</v>
      </c>
      <c r="I93" s="522"/>
      <c r="J93" s="51" t="s">
        <v>186</v>
      </c>
      <c r="K93" s="522" t="s">
        <v>2563</v>
      </c>
      <c r="L93" s="619">
        <v>44215.0</v>
      </c>
      <c r="M93" s="619">
        <v>44215.0</v>
      </c>
      <c r="N93" s="619">
        <v>44719.0</v>
      </c>
      <c r="O93" s="522" t="s">
        <v>3840</v>
      </c>
      <c r="P93" s="612">
        <v>0.025</v>
      </c>
      <c r="Q93" s="620" t="s">
        <v>4108</v>
      </c>
      <c r="R93" s="613"/>
      <c r="S93" s="522" t="str">
        <f t="shared" si="11"/>
        <v/>
      </c>
      <c r="T93" s="522" t="s">
        <v>108</v>
      </c>
      <c r="U93" s="522" t="s">
        <v>2580</v>
      </c>
      <c r="V93" s="522" t="s">
        <v>29</v>
      </c>
      <c r="W93" s="614"/>
      <c r="X93" s="614"/>
      <c r="Y93" s="614"/>
      <c r="Z93" s="614"/>
      <c r="AA93" s="614"/>
      <c r="AB93" s="614"/>
      <c r="AC93" s="614"/>
      <c r="AD93" s="614"/>
      <c r="AE93" s="614"/>
      <c r="AF93" s="614"/>
      <c r="AG93" s="614"/>
      <c r="AH93" s="614"/>
      <c r="AI93" s="614"/>
      <c r="AJ93" s="614"/>
      <c r="AK93" s="450"/>
      <c r="AL93" s="450">
        <v>249727.0</v>
      </c>
      <c r="AM93" s="450">
        <v>243322.85</v>
      </c>
      <c r="AN93" s="450">
        <v>242818.18</v>
      </c>
      <c r="AO93" s="450">
        <v>250418.51</v>
      </c>
      <c r="AP93" s="450">
        <v>251699.24</v>
      </c>
      <c r="AQ93" s="450">
        <v>215492.57</v>
      </c>
      <c r="AR93" s="450">
        <v>221713.63</v>
      </c>
      <c r="AS93" s="450">
        <v>218723.89</v>
      </c>
      <c r="AT93" s="450">
        <v>174595.72</v>
      </c>
      <c r="AU93" s="450">
        <v>172223.71</v>
      </c>
      <c r="AV93" s="450">
        <v>244460.85</v>
      </c>
      <c r="AW93" s="450">
        <v>124071.75</v>
      </c>
      <c r="AX93" s="450">
        <v>121472.21</v>
      </c>
      <c r="AY93" s="450">
        <v>124413.65</v>
      </c>
      <c r="AZ93" s="450">
        <v>132440.34</v>
      </c>
      <c r="BA93" s="450">
        <v>34951.48</v>
      </c>
      <c r="BB93" s="450">
        <v>0.0</v>
      </c>
      <c r="BC93" s="450">
        <v>0.0</v>
      </c>
      <c r="BD93" s="450">
        <v>619.95</v>
      </c>
      <c r="BE93" s="450" t="s">
        <v>2566</v>
      </c>
      <c r="BF93" s="450">
        <v>0.0</v>
      </c>
      <c r="BG93" s="450">
        <v>0.0</v>
      </c>
      <c r="BH93" s="450">
        <v>0.0</v>
      </c>
      <c r="BI93" s="450">
        <v>0.0</v>
      </c>
      <c r="BJ93" s="450">
        <v>0.0</v>
      </c>
      <c r="BK93" s="450">
        <v>0.0</v>
      </c>
      <c r="BL93" s="450">
        <v>0.0</v>
      </c>
      <c r="BM93" s="450">
        <v>0.0</v>
      </c>
      <c r="BN93" s="450">
        <v>0.0</v>
      </c>
      <c r="BO93" s="450">
        <v>0.0</v>
      </c>
      <c r="BP93" s="450">
        <v>0.0</v>
      </c>
      <c r="BQ93" s="450">
        <v>0.0</v>
      </c>
      <c r="BR93" s="450">
        <v>0.0</v>
      </c>
      <c r="BS93" s="615" t="str">
        <f t="array" ref="BS93">XLOOKUP(D93,'PL TOTAL XP'!A:A,'PL TOTAL XP'!C:C,"0")</f>
        <v>0</v>
      </c>
      <c r="BT93" s="616"/>
    </row>
    <row r="94" ht="15.75" customHeight="1">
      <c r="A94" s="183" t="s">
        <v>3820</v>
      </c>
      <c r="B94" s="78" t="s">
        <v>4109</v>
      </c>
      <c r="C94" s="564" t="s">
        <v>4110</v>
      </c>
      <c r="D94" s="566">
        <v>5891248.0</v>
      </c>
      <c r="E94" s="522" t="s">
        <v>18</v>
      </c>
      <c r="F94" s="511" t="s">
        <v>19</v>
      </c>
      <c r="G94" s="522" t="s">
        <v>256</v>
      </c>
      <c r="H94" s="511" t="str">
        <f>IFERROR(VLOOKUP(G94,'Cadastro de assessores'!A:B,2,FALSE),"Não Cadastrado")</f>
        <v>18009</v>
      </c>
      <c r="I94" s="511"/>
      <c r="J94" s="51" t="s">
        <v>186</v>
      </c>
      <c r="K94" s="522" t="s">
        <v>2563</v>
      </c>
      <c r="L94" s="567">
        <v>44385.0</v>
      </c>
      <c r="M94" s="567">
        <v>44385.0</v>
      </c>
      <c r="N94" s="567">
        <v>44650.0</v>
      </c>
      <c r="O94" s="566" t="s">
        <v>3824</v>
      </c>
      <c r="P94" s="612">
        <v>0.02</v>
      </c>
      <c r="Q94" s="620" t="s">
        <v>4111</v>
      </c>
      <c r="R94" s="613"/>
      <c r="S94" s="522" t="str">
        <f t="shared" si="11"/>
        <v>Qualificado</v>
      </c>
      <c r="T94" s="522" t="s">
        <v>108</v>
      </c>
      <c r="U94" s="522" t="s">
        <v>4112</v>
      </c>
      <c r="V94" s="522" t="s">
        <v>152</v>
      </c>
      <c r="W94" s="614"/>
      <c r="X94" s="614"/>
      <c r="Y94" s="614"/>
      <c r="Z94" s="614"/>
      <c r="AA94" s="614"/>
      <c r="AB94" s="614"/>
      <c r="AC94" s="614"/>
      <c r="AD94" s="614"/>
      <c r="AE94" s="614"/>
      <c r="AF94" s="614"/>
      <c r="AG94" s="614"/>
      <c r="AH94" s="614"/>
      <c r="AI94" s="614"/>
      <c r="AJ94" s="614"/>
      <c r="AK94" s="450"/>
      <c r="AL94" s="450"/>
      <c r="AM94" s="450"/>
      <c r="AN94" s="450"/>
      <c r="AO94" s="450"/>
      <c r="AP94" s="450"/>
      <c r="AQ94" s="450"/>
      <c r="AR94" s="450"/>
      <c r="AS94" s="450"/>
      <c r="AT94" s="450">
        <v>150008.05</v>
      </c>
      <c r="AU94" s="450">
        <v>148076.54</v>
      </c>
      <c r="AV94" s="450">
        <v>143699.95</v>
      </c>
      <c r="AW94" s="450">
        <v>136925.11</v>
      </c>
      <c r="AX94" s="450">
        <v>136509.01</v>
      </c>
      <c r="AY94" s="450">
        <v>138172.22</v>
      </c>
      <c r="AZ94" s="450">
        <v>144484.64</v>
      </c>
      <c r="BA94" s="450">
        <v>145748.73</v>
      </c>
      <c r="BB94" s="450">
        <v>152597.54</v>
      </c>
      <c r="BC94" s="450">
        <v>2853631.15</v>
      </c>
      <c r="BD94" s="450" t="s">
        <v>2566</v>
      </c>
      <c r="BE94" s="450" t="s">
        <v>2566</v>
      </c>
      <c r="BF94" s="450">
        <v>0.0</v>
      </c>
      <c r="BG94" s="450">
        <v>0.0</v>
      </c>
      <c r="BH94" s="450">
        <v>0.0</v>
      </c>
      <c r="BI94" s="450">
        <v>0.0</v>
      </c>
      <c r="BJ94" s="450">
        <v>0.0</v>
      </c>
      <c r="BK94" s="450">
        <v>0.0</v>
      </c>
      <c r="BL94" s="450">
        <v>0.0</v>
      </c>
      <c r="BM94" s="450">
        <v>0.0</v>
      </c>
      <c r="BN94" s="450">
        <v>0.0</v>
      </c>
      <c r="BO94" s="450">
        <v>0.0</v>
      </c>
      <c r="BP94" s="450">
        <v>0.0</v>
      </c>
      <c r="BQ94" s="450">
        <v>0.0</v>
      </c>
      <c r="BR94" s="450">
        <v>0.0</v>
      </c>
      <c r="BS94" s="615" t="str">
        <f t="array" ref="BS94">XLOOKUP(D94,'PL TOTAL XP'!A:A,'PL TOTAL XP'!C:C,"0")</f>
        <v>0</v>
      </c>
      <c r="BT94" s="616"/>
    </row>
    <row r="95" ht="15.75" customHeight="1">
      <c r="A95" s="183" t="s">
        <v>3820</v>
      </c>
      <c r="B95" s="78" t="s">
        <v>4113</v>
      </c>
      <c r="C95" s="617" t="s">
        <v>4114</v>
      </c>
      <c r="D95" s="522">
        <v>4947220.0</v>
      </c>
      <c r="E95" s="522" t="s">
        <v>18</v>
      </c>
      <c r="F95" s="522" t="s">
        <v>29</v>
      </c>
      <c r="G95" s="522" t="s">
        <v>4115</v>
      </c>
      <c r="H95" s="522">
        <f>IFERROR(VLOOKUP(G95,'Cadastro de assessores'!A:B,2,FALSE),"Não Cadastrado")</f>
        <v>12339</v>
      </c>
      <c r="I95" s="522"/>
      <c r="J95" s="51" t="s">
        <v>186</v>
      </c>
      <c r="K95" s="522" t="s">
        <v>2563</v>
      </c>
      <c r="L95" s="619">
        <v>44277.0</v>
      </c>
      <c r="M95" s="619">
        <v>44277.0</v>
      </c>
      <c r="N95" s="619">
        <v>44781.0</v>
      </c>
      <c r="O95" s="522" t="s">
        <v>3836</v>
      </c>
      <c r="P95" s="612">
        <v>0.012</v>
      </c>
      <c r="Q95" s="620" t="s">
        <v>4116</v>
      </c>
      <c r="R95" s="613"/>
      <c r="S95" s="522" t="str">
        <f t="shared" si="11"/>
        <v>Não Qualificado</v>
      </c>
      <c r="T95" s="522" t="s">
        <v>108</v>
      </c>
      <c r="U95" s="522" t="s">
        <v>2619</v>
      </c>
      <c r="V95" s="522" t="s">
        <v>152</v>
      </c>
      <c r="W95" s="614"/>
      <c r="X95" s="614"/>
      <c r="Y95" s="614"/>
      <c r="Z95" s="614"/>
      <c r="AA95" s="614"/>
      <c r="AB95" s="614"/>
      <c r="AC95" s="614"/>
      <c r="AD95" s="614"/>
      <c r="AE95" s="614"/>
      <c r="AF95" s="614"/>
      <c r="AG95" s="614"/>
      <c r="AH95" s="614"/>
      <c r="AI95" s="614"/>
      <c r="AJ95" s="614"/>
      <c r="AK95" s="450"/>
      <c r="AL95" s="450"/>
      <c r="AM95" s="450"/>
      <c r="AN95" s="450"/>
      <c r="AO95" s="450">
        <v>150812.69</v>
      </c>
      <c r="AP95" s="450">
        <v>151366.6</v>
      </c>
      <c r="AQ95" s="450">
        <v>151085.45</v>
      </c>
      <c r="AR95" s="450">
        <v>148417.9</v>
      </c>
      <c r="AS95" s="450">
        <v>148017.04</v>
      </c>
      <c r="AT95" s="450">
        <v>146721.57</v>
      </c>
      <c r="AU95" s="450">
        <v>146506.39</v>
      </c>
      <c r="AV95" s="450">
        <v>150122.96</v>
      </c>
      <c r="AW95" s="450">
        <v>144128.04</v>
      </c>
      <c r="AX95" s="450">
        <v>149443.76</v>
      </c>
      <c r="AY95" s="450">
        <v>150913.95</v>
      </c>
      <c r="AZ95" s="450">
        <v>152666.89</v>
      </c>
      <c r="BA95" s="450">
        <v>153760.43</v>
      </c>
      <c r="BB95" s="450">
        <v>158086.84</v>
      </c>
      <c r="BC95" s="450">
        <v>218875.33</v>
      </c>
      <c r="BD95" s="450">
        <v>157281.76</v>
      </c>
      <c r="BE95" s="450">
        <v>157002.07</v>
      </c>
      <c r="BF95" s="450">
        <v>159766.73</v>
      </c>
      <c r="BG95" s="450">
        <v>0.0</v>
      </c>
      <c r="BH95" s="450">
        <v>0.0</v>
      </c>
      <c r="BI95" s="450">
        <v>0.0</v>
      </c>
      <c r="BJ95" s="450">
        <v>0.0</v>
      </c>
      <c r="BK95" s="450">
        <v>0.0</v>
      </c>
      <c r="BL95" s="450">
        <v>0.0</v>
      </c>
      <c r="BM95" s="450">
        <v>0.0</v>
      </c>
      <c r="BN95" s="450">
        <v>0.0</v>
      </c>
      <c r="BO95" s="450">
        <v>0.0</v>
      </c>
      <c r="BP95" s="450">
        <v>0.0</v>
      </c>
      <c r="BQ95" s="450">
        <v>0.0</v>
      </c>
      <c r="BR95" s="450">
        <v>0.0</v>
      </c>
      <c r="BS95" s="615" t="str">
        <f t="array" ref="BS95">XLOOKUP(D95,'PL TOTAL XP'!A:A,'PL TOTAL XP'!C:C,"0")</f>
        <v>0</v>
      </c>
      <c r="BT95" s="616"/>
    </row>
    <row r="96" ht="15.75" customHeight="1">
      <c r="A96" s="183" t="s">
        <v>3820</v>
      </c>
      <c r="B96" s="78" t="s">
        <v>4117</v>
      </c>
      <c r="C96" s="645" t="s">
        <v>4118</v>
      </c>
      <c r="D96" s="609">
        <v>6478648.0</v>
      </c>
      <c r="E96" s="512" t="s">
        <v>18</v>
      </c>
      <c r="F96" s="609" t="s">
        <v>19</v>
      </c>
      <c r="G96" s="627" t="s">
        <v>256</v>
      </c>
      <c r="H96" s="627" t="str">
        <f>IFERROR(VLOOKUP(G96,'Cadastro de assessores'!A:B,2,FALSE),"Não Cadastrado")</f>
        <v>18009</v>
      </c>
      <c r="I96" s="627"/>
      <c r="J96" s="51" t="s">
        <v>186</v>
      </c>
      <c r="K96" s="512" t="s">
        <v>107</v>
      </c>
      <c r="L96" s="610">
        <v>44442.0</v>
      </c>
      <c r="M96" s="610">
        <v>44445.0</v>
      </c>
      <c r="N96" s="618">
        <v>44914.0</v>
      </c>
      <c r="O96" s="522" t="s">
        <v>3834</v>
      </c>
      <c r="P96" s="612">
        <v>0.007</v>
      </c>
      <c r="Q96" s="224" t="s">
        <v>4119</v>
      </c>
      <c r="R96" s="613"/>
      <c r="S96" s="522" t="str">
        <f t="shared" si="11"/>
        <v>Não Qualificado</v>
      </c>
      <c r="T96" s="522" t="s">
        <v>108</v>
      </c>
      <c r="U96" s="522" t="s">
        <v>2842</v>
      </c>
      <c r="V96" s="566" t="s">
        <v>19</v>
      </c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614"/>
      <c r="AI96" s="614"/>
      <c r="AJ96" s="450"/>
      <c r="AK96" s="450"/>
      <c r="AL96" s="450"/>
      <c r="AM96" s="450"/>
      <c r="AN96" s="450"/>
      <c r="AO96" s="450"/>
      <c r="AP96" s="450"/>
      <c r="AQ96" s="450"/>
      <c r="AR96" s="450"/>
      <c r="AS96" s="634"/>
      <c r="AT96" s="449"/>
      <c r="AU96" s="449"/>
      <c r="AV96" s="450">
        <v>297488.08</v>
      </c>
      <c r="AW96" s="450">
        <v>294524.17</v>
      </c>
      <c r="AX96" s="450">
        <v>288767.11</v>
      </c>
      <c r="AY96" s="450">
        <v>291862.29</v>
      </c>
      <c r="AZ96" s="450">
        <v>294452.0</v>
      </c>
      <c r="BA96" s="450">
        <v>296620.5</v>
      </c>
      <c r="BB96" s="450">
        <v>299685.82</v>
      </c>
      <c r="BC96" s="450">
        <v>195987.57</v>
      </c>
      <c r="BD96" s="450">
        <v>236196.34</v>
      </c>
      <c r="BE96" s="450">
        <v>202739.8</v>
      </c>
      <c r="BF96" s="450">
        <v>170632.19</v>
      </c>
      <c r="BG96" s="450">
        <v>171250.6338</v>
      </c>
      <c r="BH96" s="450">
        <v>172148.08</v>
      </c>
      <c r="BI96" s="450">
        <v>142866.96</v>
      </c>
      <c r="BJ96" s="450">
        <v>144168.4</v>
      </c>
      <c r="BK96" s="450">
        <v>0.0</v>
      </c>
      <c r="BL96" s="450">
        <v>0.0</v>
      </c>
      <c r="BM96" s="450">
        <v>0.0</v>
      </c>
      <c r="BN96" s="450">
        <v>0.0</v>
      </c>
      <c r="BO96" s="450">
        <v>0.0</v>
      </c>
      <c r="BP96" s="450">
        <v>0.0</v>
      </c>
      <c r="BQ96" s="450">
        <v>0.0</v>
      </c>
      <c r="BR96" s="450">
        <v>0.0</v>
      </c>
      <c r="BS96" s="615" t="str">
        <f t="array" ref="BS96">XLOOKUP(D96,'PL TOTAL XP'!A:A,'PL TOTAL XP'!C:C,"0")</f>
        <v>0</v>
      </c>
      <c r="BT96" s="616"/>
    </row>
    <row r="97" ht="15.75" customHeight="1">
      <c r="A97" s="183" t="s">
        <v>3820</v>
      </c>
      <c r="B97" s="78" t="s">
        <v>4120</v>
      </c>
      <c r="C97" s="617" t="s">
        <v>4121</v>
      </c>
      <c r="D97" s="522">
        <v>4553905.0</v>
      </c>
      <c r="E97" s="512" t="s">
        <v>105</v>
      </c>
      <c r="F97" s="512" t="s">
        <v>29</v>
      </c>
      <c r="G97" s="512" t="s">
        <v>4122</v>
      </c>
      <c r="H97" s="512" t="str">
        <f>IFERROR(VLOOKUP(G97,'Cadastro de assessores'!A:B,2,FALSE),"Não Cadastrado")</f>
        <v>19157</v>
      </c>
      <c r="I97" s="512"/>
      <c r="J97" s="51" t="s">
        <v>3823</v>
      </c>
      <c r="K97" s="522" t="s">
        <v>147</v>
      </c>
      <c r="L97" s="611">
        <v>44130.0</v>
      </c>
      <c r="M97" s="611">
        <v>44132.0</v>
      </c>
      <c r="N97" s="566"/>
      <c r="O97" s="566" t="s">
        <v>3824</v>
      </c>
      <c r="P97" s="612">
        <v>0.02</v>
      </c>
      <c r="Q97" s="620"/>
      <c r="R97" s="613"/>
      <c r="S97" s="522" t="str">
        <f t="shared" si="11"/>
        <v/>
      </c>
      <c r="T97" s="522" t="s">
        <v>108</v>
      </c>
      <c r="U97" s="522" t="s">
        <v>2591</v>
      </c>
      <c r="V97" s="522" t="s">
        <v>29</v>
      </c>
      <c r="W97" s="614" t="s">
        <v>3830</v>
      </c>
      <c r="X97" s="614" t="s">
        <v>3830</v>
      </c>
      <c r="Y97" s="614" t="s">
        <v>3830</v>
      </c>
      <c r="Z97" s="614" t="s">
        <v>3830</v>
      </c>
      <c r="AA97" s="614" t="s">
        <v>3830</v>
      </c>
      <c r="AB97" s="614" t="s">
        <v>3830</v>
      </c>
      <c r="AC97" s="614" t="s">
        <v>3830</v>
      </c>
      <c r="AD97" s="614" t="s">
        <v>3830</v>
      </c>
      <c r="AE97" s="614" t="s">
        <v>3830</v>
      </c>
      <c r="AF97" s="614" t="s">
        <v>3830</v>
      </c>
      <c r="AG97" s="614" t="s">
        <v>3830</v>
      </c>
      <c r="AH97" s="614" t="s">
        <v>3830</v>
      </c>
      <c r="AI97" s="614" t="s">
        <v>4123</v>
      </c>
      <c r="AJ97" s="614" t="s">
        <v>4124</v>
      </c>
      <c r="AK97" s="450">
        <v>336245.25</v>
      </c>
      <c r="AL97" s="450">
        <v>327508.7</v>
      </c>
      <c r="AM97" s="450">
        <v>2271.16</v>
      </c>
      <c r="AN97" s="450">
        <v>2283.37</v>
      </c>
      <c r="AO97" s="450">
        <v>673.61</v>
      </c>
      <c r="AP97" s="450">
        <v>672.82</v>
      </c>
      <c r="AQ97" s="450">
        <v>672.62</v>
      </c>
      <c r="AR97" s="450">
        <v>471.67</v>
      </c>
      <c r="AS97" s="450">
        <v>470.83</v>
      </c>
      <c r="AT97" s="450">
        <v>148.06</v>
      </c>
      <c r="AU97" s="450">
        <v>147.84</v>
      </c>
      <c r="AV97" s="450"/>
      <c r="AW97" s="450">
        <v>147.43</v>
      </c>
      <c r="AX97" s="450">
        <v>147.23</v>
      </c>
      <c r="AY97" s="450"/>
      <c r="AZ97" s="450"/>
      <c r="BA97" s="450">
        <v>0.0</v>
      </c>
      <c r="BB97" s="450">
        <v>0.0</v>
      </c>
      <c r="BC97" s="450"/>
      <c r="BD97" s="450" t="s">
        <v>2566</v>
      </c>
      <c r="BE97" s="450" t="s">
        <v>2566</v>
      </c>
      <c r="BF97" s="450">
        <v>0.0</v>
      </c>
      <c r="BG97" s="450">
        <v>0.0</v>
      </c>
      <c r="BH97" s="450">
        <v>0.0</v>
      </c>
      <c r="BI97" s="450">
        <v>0.0</v>
      </c>
      <c r="BJ97" s="450">
        <v>0.0</v>
      </c>
      <c r="BK97" s="450">
        <v>0.0</v>
      </c>
      <c r="BL97" s="450">
        <v>0.0</v>
      </c>
      <c r="BM97" s="450">
        <v>0.0</v>
      </c>
      <c r="BN97" s="450">
        <v>0.0</v>
      </c>
      <c r="BO97" s="450">
        <v>0.0</v>
      </c>
      <c r="BP97" s="450">
        <v>0.0</v>
      </c>
      <c r="BQ97" s="450">
        <v>0.0</v>
      </c>
      <c r="BR97" s="450">
        <v>0.0</v>
      </c>
      <c r="BS97" s="615">
        <f t="array" ref="BS97">XLOOKUP(D97,'PL TOTAL XP'!A:A,'PL TOTAL XP'!C:C,"0")</f>
        <v>0</v>
      </c>
      <c r="BT97" s="616"/>
    </row>
    <row r="98" ht="15.75" customHeight="1">
      <c r="A98" s="183" t="s">
        <v>3820</v>
      </c>
      <c r="B98" s="78" t="s">
        <v>3661</v>
      </c>
      <c r="C98" s="617" t="s">
        <v>3658</v>
      </c>
      <c r="D98" s="522">
        <v>4425922.0</v>
      </c>
      <c r="E98" s="522" t="s">
        <v>105</v>
      </c>
      <c r="F98" s="522" t="s">
        <v>29</v>
      </c>
      <c r="G98" s="522" t="s">
        <v>3660</v>
      </c>
      <c r="H98" s="522" t="str">
        <f>IFERROR(VLOOKUP(G98,'Cadastro de assessores'!A:B,2,FALSE),"Não Cadastrado")</f>
        <v>14574</v>
      </c>
      <c r="I98" s="522"/>
      <c r="J98" s="51" t="s">
        <v>186</v>
      </c>
      <c r="K98" s="522" t="s">
        <v>2563</v>
      </c>
      <c r="L98" s="619">
        <v>44076.0</v>
      </c>
      <c r="M98" s="619">
        <v>44076.0</v>
      </c>
      <c r="N98" s="522"/>
      <c r="O98" s="522" t="s">
        <v>3828</v>
      </c>
      <c r="P98" s="612">
        <v>0.015</v>
      </c>
      <c r="Q98" s="620" t="s">
        <v>4125</v>
      </c>
      <c r="R98" s="613"/>
      <c r="S98" s="522" t="str">
        <f t="shared" si="11"/>
        <v/>
      </c>
      <c r="T98" s="522" t="s">
        <v>108</v>
      </c>
      <c r="U98" s="522" t="s">
        <v>2565</v>
      </c>
      <c r="V98" s="522" t="s">
        <v>29</v>
      </c>
      <c r="W98" s="614" t="s">
        <v>3830</v>
      </c>
      <c r="X98" s="614" t="s">
        <v>3830</v>
      </c>
      <c r="Y98" s="614" t="s">
        <v>3830</v>
      </c>
      <c r="Z98" s="614" t="s">
        <v>3830</v>
      </c>
      <c r="AA98" s="614" t="s">
        <v>3830</v>
      </c>
      <c r="AB98" s="614" t="s">
        <v>3830</v>
      </c>
      <c r="AC98" s="614" t="s">
        <v>3830</v>
      </c>
      <c r="AD98" s="614" t="s">
        <v>3830</v>
      </c>
      <c r="AE98" s="614" t="s">
        <v>3830</v>
      </c>
      <c r="AF98" s="614" t="s">
        <v>3830</v>
      </c>
      <c r="AG98" s="614" t="s">
        <v>3830</v>
      </c>
      <c r="AH98" s="614" t="s">
        <v>4126</v>
      </c>
      <c r="AI98" s="614" t="s">
        <v>4127</v>
      </c>
      <c r="AJ98" s="614" t="s">
        <v>4128</v>
      </c>
      <c r="AK98" s="450">
        <v>332622.02</v>
      </c>
      <c r="AL98" s="450">
        <v>356716.66</v>
      </c>
      <c r="AM98" s="450">
        <v>350126.55</v>
      </c>
      <c r="AN98" s="450">
        <v>349090.27</v>
      </c>
      <c r="AO98" s="450">
        <v>353327.56</v>
      </c>
      <c r="AP98" s="450">
        <v>334305.97</v>
      </c>
      <c r="AQ98" s="450">
        <v>353443.95</v>
      </c>
      <c r="AR98" s="450">
        <v>360751.78</v>
      </c>
      <c r="AS98" s="450">
        <v>357800.14</v>
      </c>
      <c r="AT98" s="450">
        <v>350755.04</v>
      </c>
      <c r="AU98" s="450">
        <v>348476.75</v>
      </c>
      <c r="AV98" s="450">
        <v>342229.3</v>
      </c>
      <c r="AW98" s="450">
        <v>329338.04</v>
      </c>
      <c r="AX98" s="450">
        <v>330257.68</v>
      </c>
      <c r="AY98" s="450">
        <v>335131.51</v>
      </c>
      <c r="AZ98" s="450">
        <v>344623.91</v>
      </c>
      <c r="BA98" s="450">
        <v>347228.85</v>
      </c>
      <c r="BB98" s="450">
        <v>359653.09</v>
      </c>
      <c r="BC98" s="450"/>
      <c r="BD98" s="450">
        <v>357090.15</v>
      </c>
      <c r="BE98" s="450">
        <v>355228.29</v>
      </c>
      <c r="BF98" s="450">
        <v>142544.19</v>
      </c>
      <c r="BG98" s="450">
        <v>192.99</v>
      </c>
      <c r="BH98" s="450">
        <v>193.57</v>
      </c>
      <c r="BI98" s="450">
        <v>193.57</v>
      </c>
      <c r="BJ98" s="450">
        <v>193.57</v>
      </c>
      <c r="BK98" s="450">
        <v>193.57</v>
      </c>
      <c r="BL98" s="450">
        <v>0.0</v>
      </c>
      <c r="BM98" s="450">
        <v>0.0</v>
      </c>
      <c r="BN98" s="450">
        <v>0.0</v>
      </c>
      <c r="BO98" s="450">
        <v>0.0</v>
      </c>
      <c r="BP98" s="450">
        <v>0.0</v>
      </c>
      <c r="BQ98" s="450">
        <v>0.0</v>
      </c>
      <c r="BR98" s="450">
        <v>0.0</v>
      </c>
      <c r="BS98" s="615" t="str">
        <f t="array" ref="BS98">XLOOKUP(D98,'PL TOTAL XP'!A:A,'PL TOTAL XP'!C:C,"0")</f>
        <v>0</v>
      </c>
      <c r="BT98" s="616"/>
    </row>
    <row r="99" ht="21.75" customHeight="1">
      <c r="A99" s="183" t="s">
        <v>3820</v>
      </c>
      <c r="B99" s="78" t="s">
        <v>4129</v>
      </c>
      <c r="C99" s="564" t="s">
        <v>4130</v>
      </c>
      <c r="D99" s="635">
        <v>3863949.0</v>
      </c>
      <c r="E99" s="511" t="s">
        <v>18</v>
      </c>
      <c r="F99" s="511" t="s">
        <v>19</v>
      </c>
      <c r="G99" s="522" t="s">
        <v>20</v>
      </c>
      <c r="H99" s="522">
        <f>IFERROR(VLOOKUP(G99,'Cadastro de assessores'!A:B,2,FALSE),"Não Cadastrado")</f>
        <v>12331</v>
      </c>
      <c r="I99" s="522"/>
      <c r="J99" s="51" t="s">
        <v>186</v>
      </c>
      <c r="K99" s="522" t="s">
        <v>2563</v>
      </c>
      <c r="L99" s="619">
        <v>44648.0</v>
      </c>
      <c r="M99" s="619">
        <v>44648.0</v>
      </c>
      <c r="N99" s="619">
        <v>44796.0</v>
      </c>
      <c r="O99" s="522" t="s">
        <v>3828</v>
      </c>
      <c r="P99" s="612">
        <v>0.0</v>
      </c>
      <c r="Q99" s="646" t="s">
        <v>4131</v>
      </c>
      <c r="R99" s="613"/>
      <c r="S99" s="522" t="str">
        <f t="shared" si="11"/>
        <v>Não Qualificado</v>
      </c>
      <c r="T99" s="522" t="s">
        <v>108</v>
      </c>
      <c r="U99" s="522" t="s">
        <v>2652</v>
      </c>
      <c r="V99" s="522" t="s">
        <v>19</v>
      </c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  <c r="AI99" s="614"/>
      <c r="AJ99" s="614"/>
      <c r="AK99" s="450"/>
      <c r="AL99" s="450"/>
      <c r="AM99" s="450"/>
      <c r="AN99" s="450"/>
      <c r="AO99" s="450"/>
      <c r="AP99" s="450"/>
      <c r="AQ99" s="450"/>
      <c r="AR99" s="450"/>
      <c r="AS99" s="450"/>
      <c r="AT99" s="450"/>
      <c r="AU99" s="450"/>
      <c r="AV99" s="450"/>
      <c r="AW99" s="450"/>
      <c r="AX99" s="450"/>
      <c r="AY99" s="450"/>
      <c r="AZ99" s="450"/>
      <c r="BA99" s="450"/>
      <c r="BB99" s="450"/>
      <c r="BC99" s="450">
        <v>418602.28</v>
      </c>
      <c r="BD99" s="450" t="s">
        <v>2566</v>
      </c>
      <c r="BE99" s="450">
        <v>736159.95</v>
      </c>
      <c r="BF99" s="450">
        <v>813166.53</v>
      </c>
      <c r="BG99" s="450">
        <v>0.0</v>
      </c>
      <c r="BH99" s="450">
        <v>0.0</v>
      </c>
      <c r="BI99" s="450">
        <v>0.0</v>
      </c>
      <c r="BJ99" s="450">
        <v>0.0</v>
      </c>
      <c r="BK99" s="450">
        <v>0.0</v>
      </c>
      <c r="BL99" s="450">
        <v>0.0</v>
      </c>
      <c r="BM99" s="450">
        <v>0.0</v>
      </c>
      <c r="BN99" s="450">
        <v>0.0</v>
      </c>
      <c r="BO99" s="450">
        <v>0.0</v>
      </c>
      <c r="BP99" s="450">
        <v>0.0</v>
      </c>
      <c r="BQ99" s="450">
        <v>0.0</v>
      </c>
      <c r="BR99" s="450">
        <v>0.0</v>
      </c>
      <c r="BS99" s="615" t="str">
        <f t="array" ref="BS99">XLOOKUP(D99,'PL TOTAL XP'!A:A,'PL TOTAL XP'!C:C,"0")</f>
        <v>0</v>
      </c>
      <c r="BT99" s="616"/>
    </row>
    <row r="100" ht="15.75" customHeight="1">
      <c r="A100" s="183" t="s">
        <v>3820</v>
      </c>
      <c r="B100" s="78" t="s">
        <v>4129</v>
      </c>
      <c r="C100" s="564" t="s">
        <v>4130</v>
      </c>
      <c r="D100" s="647">
        <v>8165220.0</v>
      </c>
      <c r="E100" s="511" t="s">
        <v>18</v>
      </c>
      <c r="F100" s="511" t="s">
        <v>19</v>
      </c>
      <c r="G100" s="522" t="s">
        <v>20</v>
      </c>
      <c r="H100" s="522">
        <f>IFERROR(VLOOKUP(G100,'Cadastro de assessores'!A:B,2,FALSE),"Não Cadastrado")</f>
        <v>12331</v>
      </c>
      <c r="I100" s="522"/>
      <c r="J100" s="51" t="s">
        <v>186</v>
      </c>
      <c r="K100" s="522" t="s">
        <v>2563</v>
      </c>
      <c r="L100" s="619">
        <v>44648.0</v>
      </c>
      <c r="M100" s="619">
        <v>44648.0</v>
      </c>
      <c r="N100" s="619">
        <v>44796.0</v>
      </c>
      <c r="O100" s="522" t="s">
        <v>3828</v>
      </c>
      <c r="P100" s="612">
        <v>0.015</v>
      </c>
      <c r="Q100" s="224" t="s">
        <v>4132</v>
      </c>
      <c r="R100" s="613"/>
      <c r="S100" s="522" t="str">
        <f t="shared" si="11"/>
        <v/>
      </c>
      <c r="T100" s="522" t="s">
        <v>108</v>
      </c>
      <c r="U100" s="522" t="s">
        <v>2652</v>
      </c>
      <c r="V100" s="522" t="s">
        <v>19</v>
      </c>
      <c r="W100" s="614"/>
      <c r="X100" s="614"/>
      <c r="Y100" s="614"/>
      <c r="Z100" s="614"/>
      <c r="AA100" s="614"/>
      <c r="AB100" s="614"/>
      <c r="AC100" s="614"/>
      <c r="AD100" s="614"/>
      <c r="AE100" s="614"/>
      <c r="AF100" s="614"/>
      <c r="AG100" s="614"/>
      <c r="AH100" s="614"/>
      <c r="AI100" s="614"/>
      <c r="AJ100" s="614"/>
      <c r="AK100" s="450"/>
      <c r="AL100" s="450"/>
      <c r="AM100" s="450"/>
      <c r="AN100" s="450"/>
      <c r="AO100" s="450"/>
      <c r="AP100" s="450"/>
      <c r="AQ100" s="450"/>
      <c r="AR100" s="450"/>
      <c r="AS100" s="450"/>
      <c r="AT100" s="450"/>
      <c r="AU100" s="450"/>
      <c r="AV100" s="450"/>
      <c r="AW100" s="450"/>
      <c r="AX100" s="450"/>
      <c r="AY100" s="450"/>
      <c r="AZ100" s="450"/>
      <c r="BA100" s="450"/>
      <c r="BB100" s="450">
        <v>797478.62</v>
      </c>
      <c r="BC100" s="450"/>
      <c r="BD100" s="450">
        <v>1622117.01</v>
      </c>
      <c r="BE100" s="450">
        <v>1609817.88</v>
      </c>
      <c r="BF100" s="450">
        <v>1636731.16</v>
      </c>
      <c r="BG100" s="450">
        <v>0.0</v>
      </c>
      <c r="BH100" s="450">
        <v>0.0</v>
      </c>
      <c r="BI100" s="450">
        <v>0.0</v>
      </c>
      <c r="BJ100" s="450">
        <v>0.0</v>
      </c>
      <c r="BK100" s="450">
        <v>0.0</v>
      </c>
      <c r="BL100" s="450">
        <v>0.0</v>
      </c>
      <c r="BM100" s="450">
        <v>0.0</v>
      </c>
      <c r="BN100" s="450">
        <v>0.0</v>
      </c>
      <c r="BO100" s="450">
        <v>0.0</v>
      </c>
      <c r="BP100" s="450">
        <v>0.0</v>
      </c>
      <c r="BQ100" s="450">
        <v>0.0</v>
      </c>
      <c r="BR100" s="450">
        <v>0.0</v>
      </c>
      <c r="BS100" s="615" t="str">
        <f t="array" ref="BS100">XLOOKUP(D100,'PL TOTAL XP'!A:A,'PL TOTAL XP'!C:C,"0")</f>
        <v>0</v>
      </c>
      <c r="BT100" s="616"/>
    </row>
    <row r="101" ht="15.75" customHeight="1">
      <c r="A101" s="183" t="s">
        <v>3820</v>
      </c>
      <c r="B101" s="78" t="s">
        <v>4133</v>
      </c>
      <c r="C101" s="617" t="s">
        <v>4134</v>
      </c>
      <c r="D101" s="522">
        <v>4638237.0</v>
      </c>
      <c r="E101" s="522" t="s">
        <v>105</v>
      </c>
      <c r="F101" s="522" t="s">
        <v>29</v>
      </c>
      <c r="G101" s="522" t="s">
        <v>4084</v>
      </c>
      <c r="H101" s="522" t="str">
        <f>IFERROR(VLOOKUP(G101,'Cadastro de assessores'!A:B,2,FALSE),"Não Cadastrado")</f>
        <v>15049</v>
      </c>
      <c r="I101" s="522"/>
      <c r="J101" s="51" t="s">
        <v>186</v>
      </c>
      <c r="K101" s="522" t="s">
        <v>2563</v>
      </c>
      <c r="L101" s="618"/>
      <c r="M101" s="618">
        <v>44186.0</v>
      </c>
      <c r="N101" s="619">
        <v>44803.0</v>
      </c>
      <c r="O101" s="522" t="s">
        <v>3836</v>
      </c>
      <c r="P101" s="612">
        <v>0.012</v>
      </c>
      <c r="Q101" s="620" t="s">
        <v>4135</v>
      </c>
      <c r="R101" s="613"/>
      <c r="S101" s="522" t="str">
        <f t="shared" si="11"/>
        <v>Não Qualificado</v>
      </c>
      <c r="T101" s="522" t="s">
        <v>108</v>
      </c>
      <c r="U101" s="522" t="s">
        <v>4136</v>
      </c>
      <c r="V101" s="522" t="s">
        <v>1497</v>
      </c>
      <c r="W101" s="614" t="s">
        <v>3830</v>
      </c>
      <c r="X101" s="614" t="s">
        <v>3830</v>
      </c>
      <c r="Y101" s="614" t="s">
        <v>3830</v>
      </c>
      <c r="Z101" s="614" t="s">
        <v>3830</v>
      </c>
      <c r="AA101" s="614" t="s">
        <v>3830</v>
      </c>
      <c r="AB101" s="614" t="s">
        <v>3830</v>
      </c>
      <c r="AC101" s="614" t="s">
        <v>3830</v>
      </c>
      <c r="AD101" s="614" t="s">
        <v>3830</v>
      </c>
      <c r="AE101" s="614" t="s">
        <v>3830</v>
      </c>
      <c r="AF101" s="614" t="s">
        <v>3830</v>
      </c>
      <c r="AG101" s="614" t="s">
        <v>3830</v>
      </c>
      <c r="AH101" s="614" t="s">
        <v>3830</v>
      </c>
      <c r="AI101" s="614" t="s">
        <v>3830</v>
      </c>
      <c r="AJ101" s="614" t="s">
        <v>3830</v>
      </c>
      <c r="AK101" s="450">
        <v>334010.75</v>
      </c>
      <c r="AL101" s="450">
        <v>332253.71</v>
      </c>
      <c r="AM101" s="450">
        <v>327468.32</v>
      </c>
      <c r="AN101" s="450">
        <v>327192.17</v>
      </c>
      <c r="AO101" s="450">
        <v>331871.26</v>
      </c>
      <c r="AP101" s="450">
        <v>333008.95</v>
      </c>
      <c r="AQ101" s="450">
        <v>332375.94</v>
      </c>
      <c r="AR101" s="450">
        <v>336309.33</v>
      </c>
      <c r="AS101" s="450">
        <v>335654.58</v>
      </c>
      <c r="AT101" s="450">
        <v>333100.16</v>
      </c>
      <c r="AU101" s="450">
        <v>332839.44</v>
      </c>
      <c r="AV101" s="450">
        <v>329388.09</v>
      </c>
      <c r="AW101" s="450">
        <v>322475.07</v>
      </c>
      <c r="AX101" s="450">
        <v>324334.38</v>
      </c>
      <c r="AY101" s="450">
        <v>326703.99</v>
      </c>
      <c r="AZ101" s="450">
        <v>330897.99</v>
      </c>
      <c r="BA101" s="450">
        <v>332362.58</v>
      </c>
      <c r="BB101" s="450">
        <v>341339.7</v>
      </c>
      <c r="BC101" s="450">
        <v>378490.65</v>
      </c>
      <c r="BD101" s="450">
        <v>345720.65</v>
      </c>
      <c r="BE101" s="450">
        <v>346261.72</v>
      </c>
      <c r="BF101" s="450">
        <v>350112.51</v>
      </c>
      <c r="BG101" s="450">
        <v>399695.2839</v>
      </c>
      <c r="BH101" s="450">
        <v>0.0</v>
      </c>
      <c r="BI101" s="450">
        <v>0.0</v>
      </c>
      <c r="BJ101" s="450">
        <v>0.0</v>
      </c>
      <c r="BK101" s="450">
        <v>0.0</v>
      </c>
      <c r="BL101" s="450">
        <v>0.0</v>
      </c>
      <c r="BM101" s="450">
        <v>0.0</v>
      </c>
      <c r="BN101" s="450">
        <v>0.0</v>
      </c>
      <c r="BO101" s="450">
        <v>0.0</v>
      </c>
      <c r="BP101" s="450">
        <v>0.0</v>
      </c>
      <c r="BQ101" s="450">
        <v>0.0</v>
      </c>
      <c r="BR101" s="450">
        <v>0.0</v>
      </c>
      <c r="BS101" s="615" t="str">
        <f t="array" ref="BS101">XLOOKUP(D101,'PL TOTAL XP'!A:A,'PL TOTAL XP'!C:C,"0")</f>
        <v>0</v>
      </c>
      <c r="BT101" s="616"/>
    </row>
    <row r="102" ht="15.75" customHeight="1">
      <c r="A102" s="183" t="s">
        <v>3820</v>
      </c>
      <c r="B102" s="78" t="s">
        <v>4137</v>
      </c>
      <c r="C102" s="617" t="s">
        <v>4138</v>
      </c>
      <c r="D102" s="522">
        <v>9920.0</v>
      </c>
      <c r="E102" s="522" t="s">
        <v>105</v>
      </c>
      <c r="F102" s="522" t="s">
        <v>29</v>
      </c>
      <c r="G102" s="522" t="s">
        <v>105</v>
      </c>
      <c r="H102" s="522" t="str">
        <f>IFERROR(VLOOKUP(G102,'Cadastro de assessores'!A:B,2,FALSE),"Não Cadastrado")</f>
        <v>13489</v>
      </c>
      <c r="I102" s="522"/>
      <c r="J102" s="51" t="s">
        <v>186</v>
      </c>
      <c r="K102" s="522"/>
      <c r="L102" s="619"/>
      <c r="M102" s="619">
        <v>44105.0</v>
      </c>
      <c r="N102" s="619">
        <v>44777.0</v>
      </c>
      <c r="O102" s="522" t="s">
        <v>4139</v>
      </c>
      <c r="P102" s="612">
        <v>0.015</v>
      </c>
      <c r="Q102" s="482" t="s">
        <v>4140</v>
      </c>
      <c r="R102" s="613"/>
      <c r="S102" s="522" t="str">
        <f t="shared" si="11"/>
        <v>Não Qualificado</v>
      </c>
      <c r="T102" s="522" t="s">
        <v>4141</v>
      </c>
      <c r="U102" s="522" t="s">
        <v>2664</v>
      </c>
      <c r="V102" s="522" t="s">
        <v>791</v>
      </c>
      <c r="W102" s="614" t="s">
        <v>3830</v>
      </c>
      <c r="X102" s="614" t="s">
        <v>3830</v>
      </c>
      <c r="Y102" s="614" t="s">
        <v>3830</v>
      </c>
      <c r="Z102" s="614" t="s">
        <v>3830</v>
      </c>
      <c r="AA102" s="614" t="s">
        <v>3830</v>
      </c>
      <c r="AB102" s="614" t="s">
        <v>3830</v>
      </c>
      <c r="AC102" s="614" t="s">
        <v>3830</v>
      </c>
      <c r="AD102" s="614" t="s">
        <v>3830</v>
      </c>
      <c r="AE102" s="614" t="s">
        <v>3830</v>
      </c>
      <c r="AF102" s="614" t="s">
        <v>3830</v>
      </c>
      <c r="AG102" s="614" t="s">
        <v>3830</v>
      </c>
      <c r="AH102" s="614" t="s">
        <v>3830</v>
      </c>
      <c r="AI102" s="614" t="s">
        <v>3830</v>
      </c>
      <c r="AJ102" s="614" t="s">
        <v>4142</v>
      </c>
      <c r="AK102" s="450">
        <v>2771534.06</v>
      </c>
      <c r="AL102" s="450">
        <v>2885886.28</v>
      </c>
      <c r="AM102" s="450">
        <v>3436838.54</v>
      </c>
      <c r="AN102" s="450">
        <v>3293949.6</v>
      </c>
      <c r="AO102" s="450"/>
      <c r="AP102" s="450"/>
      <c r="AQ102" s="450"/>
      <c r="AR102" s="450"/>
      <c r="AS102" s="450"/>
      <c r="AT102" s="450"/>
      <c r="AU102" s="450"/>
      <c r="AV102" s="450">
        <v>4909388.92</v>
      </c>
      <c r="AW102" s="450" t="s">
        <v>4143</v>
      </c>
      <c r="AX102" s="450">
        <v>5865279.99</v>
      </c>
      <c r="AY102" s="450">
        <v>5913319.64</v>
      </c>
      <c r="AZ102" s="450">
        <v>5677638.3</v>
      </c>
      <c r="BA102" s="450">
        <v>0.0</v>
      </c>
      <c r="BB102" s="450">
        <v>5213099.86</v>
      </c>
      <c r="BC102" s="450">
        <v>380705.62</v>
      </c>
      <c r="BD102" s="450">
        <v>5054957.01</v>
      </c>
      <c r="BE102" s="450">
        <v>4679038.54</v>
      </c>
      <c r="BF102" s="450">
        <v>2812337.42</v>
      </c>
      <c r="BG102" s="450">
        <v>2909721.52</v>
      </c>
      <c r="BH102" s="450">
        <v>2487945.54</v>
      </c>
      <c r="BI102" s="450">
        <v>2461411.44</v>
      </c>
      <c r="BJ102" s="450">
        <v>0.0</v>
      </c>
      <c r="BK102" s="450">
        <v>0.0</v>
      </c>
      <c r="BL102" s="450">
        <v>0.0</v>
      </c>
      <c r="BM102" s="450">
        <v>0.0</v>
      </c>
      <c r="BN102" s="450">
        <v>0.0</v>
      </c>
      <c r="BO102" s="450">
        <v>0.0</v>
      </c>
      <c r="BP102" s="450">
        <v>0.0</v>
      </c>
      <c r="BQ102" s="450">
        <v>0.0</v>
      </c>
      <c r="BR102" s="450">
        <v>0.0</v>
      </c>
      <c r="BS102" s="615" t="str">
        <f t="array" ref="BS102">XLOOKUP(D102,'PL TOTAL XP'!A:A,'PL TOTAL XP'!C:C,"0")</f>
        <v>0</v>
      </c>
      <c r="BT102" s="616"/>
    </row>
    <row r="103" ht="15.75" customHeight="1">
      <c r="A103" s="183" t="s">
        <v>3820</v>
      </c>
      <c r="B103" s="78" t="s">
        <v>4144</v>
      </c>
      <c r="C103" s="564" t="s">
        <v>4145</v>
      </c>
      <c r="D103" s="511">
        <v>4422283.0</v>
      </c>
      <c r="E103" s="522" t="s">
        <v>105</v>
      </c>
      <c r="F103" s="511" t="s">
        <v>29</v>
      </c>
      <c r="G103" s="522" t="s">
        <v>4146</v>
      </c>
      <c r="H103" s="522" t="str">
        <f>IFERROR(VLOOKUP(G103,'Cadastro de assessores'!A:B,2,FALSE),"Não Cadastrado")</f>
        <v>17489</v>
      </c>
      <c r="I103" s="522"/>
      <c r="J103" s="51" t="s">
        <v>186</v>
      </c>
      <c r="K103" s="522" t="s">
        <v>2563</v>
      </c>
      <c r="L103" s="619">
        <v>44091.0</v>
      </c>
      <c r="M103" s="619">
        <v>44091.0</v>
      </c>
      <c r="N103" s="619">
        <v>44692.0</v>
      </c>
      <c r="O103" s="522" t="s">
        <v>3840</v>
      </c>
      <c r="P103" s="612">
        <v>0.025</v>
      </c>
      <c r="Q103" s="620" t="s">
        <v>3916</v>
      </c>
      <c r="R103" s="613"/>
      <c r="S103" s="522" t="str">
        <f t="shared" si="11"/>
        <v>Não Qualificado</v>
      </c>
      <c r="T103" s="522" t="s">
        <v>108</v>
      </c>
      <c r="U103" s="522" t="s">
        <v>2565</v>
      </c>
      <c r="V103" s="522" t="s">
        <v>29</v>
      </c>
      <c r="W103" s="614" t="s">
        <v>3830</v>
      </c>
      <c r="X103" s="614" t="s">
        <v>3830</v>
      </c>
      <c r="Y103" s="614" t="s">
        <v>3830</v>
      </c>
      <c r="Z103" s="614" t="s">
        <v>3830</v>
      </c>
      <c r="AA103" s="614" t="s">
        <v>3830</v>
      </c>
      <c r="AB103" s="614" t="s">
        <v>3830</v>
      </c>
      <c r="AC103" s="614" t="s">
        <v>3830</v>
      </c>
      <c r="AD103" s="614" t="s">
        <v>3830</v>
      </c>
      <c r="AE103" s="614" t="s">
        <v>3830</v>
      </c>
      <c r="AF103" s="614" t="s">
        <v>3830</v>
      </c>
      <c r="AG103" s="614" t="s">
        <v>3830</v>
      </c>
      <c r="AH103" s="614" t="s">
        <v>4147</v>
      </c>
      <c r="AI103" s="614" t="s">
        <v>4148</v>
      </c>
      <c r="AJ103" s="614" t="s">
        <v>4149</v>
      </c>
      <c r="AK103" s="450">
        <v>228059.23</v>
      </c>
      <c r="AL103" s="450">
        <v>236874.14</v>
      </c>
      <c r="AM103" s="450">
        <v>217444.9</v>
      </c>
      <c r="AN103" s="450">
        <v>213642.96</v>
      </c>
      <c r="AO103" s="450">
        <v>229999.93</v>
      </c>
      <c r="AP103" s="450">
        <v>233074.92</v>
      </c>
      <c r="AQ103" s="450">
        <v>230701.99</v>
      </c>
      <c r="AR103" s="450">
        <v>243813.22</v>
      </c>
      <c r="AS103" s="450">
        <v>287567.35</v>
      </c>
      <c r="AT103" s="450">
        <v>272336.4</v>
      </c>
      <c r="AU103" s="450">
        <v>265999.32</v>
      </c>
      <c r="AV103" s="450">
        <v>250059.49</v>
      </c>
      <c r="AW103" s="450">
        <v>231068.13</v>
      </c>
      <c r="AX103" s="450">
        <v>228837.55</v>
      </c>
      <c r="AY103" s="450">
        <v>233693.02</v>
      </c>
      <c r="AZ103" s="450">
        <v>250355.06</v>
      </c>
      <c r="BA103" s="450">
        <v>252121.53</v>
      </c>
      <c r="BB103" s="450">
        <v>647.64</v>
      </c>
      <c r="BC103" s="450">
        <v>261066.47</v>
      </c>
      <c r="BD103" s="450" t="s">
        <v>2566</v>
      </c>
      <c r="BE103" s="450" t="s">
        <v>2566</v>
      </c>
      <c r="BF103" s="450">
        <v>0.0</v>
      </c>
      <c r="BG103" s="450">
        <v>0.0</v>
      </c>
      <c r="BH103" s="450">
        <v>0.0</v>
      </c>
      <c r="BI103" s="450">
        <v>0.0</v>
      </c>
      <c r="BJ103" s="450">
        <v>0.0</v>
      </c>
      <c r="BK103" s="450">
        <v>0.0</v>
      </c>
      <c r="BL103" s="450">
        <v>0.0</v>
      </c>
      <c r="BM103" s="450">
        <v>0.0</v>
      </c>
      <c r="BN103" s="450">
        <v>0.0</v>
      </c>
      <c r="BO103" s="450">
        <v>0.0</v>
      </c>
      <c r="BP103" s="450">
        <v>0.0</v>
      </c>
      <c r="BQ103" s="450">
        <v>0.0</v>
      </c>
      <c r="BR103" s="450">
        <v>0.0</v>
      </c>
      <c r="BS103" s="615" t="str">
        <f t="array" ref="BS103">XLOOKUP(D103,'PL TOTAL XP'!A:A,'PL TOTAL XP'!C:C,"0")</f>
        <v>0</v>
      </c>
      <c r="BT103" s="616"/>
    </row>
    <row r="104" ht="15.75" customHeight="1">
      <c r="A104" s="183" t="s">
        <v>3820</v>
      </c>
      <c r="B104" s="78" t="s">
        <v>4150</v>
      </c>
      <c r="C104" s="564" t="s">
        <v>4151</v>
      </c>
      <c r="D104" s="511">
        <v>5928177.0</v>
      </c>
      <c r="E104" s="522" t="s">
        <v>18</v>
      </c>
      <c r="F104" s="511" t="s">
        <v>19</v>
      </c>
      <c r="G104" s="522" t="s">
        <v>4152</v>
      </c>
      <c r="H104" s="522" t="str">
        <f>IFERROR(VLOOKUP(G104,'Cadastro de assessores'!A:B,2,FALSE),"Não Cadastrado")</f>
        <v>14294</v>
      </c>
      <c r="I104" s="522"/>
      <c r="J104" s="51" t="s">
        <v>186</v>
      </c>
      <c r="K104" s="522" t="s">
        <v>2563</v>
      </c>
      <c r="L104" s="619">
        <v>44398.0</v>
      </c>
      <c r="M104" s="619">
        <v>44398.0</v>
      </c>
      <c r="N104" s="619">
        <v>44680.0</v>
      </c>
      <c r="O104" s="522" t="s">
        <v>3834</v>
      </c>
      <c r="P104" s="612">
        <v>0.007</v>
      </c>
      <c r="Q104" s="224" t="s">
        <v>4153</v>
      </c>
      <c r="R104" s="613"/>
      <c r="S104" s="522" t="str">
        <f t="shared" si="11"/>
        <v>Não Qualificado</v>
      </c>
      <c r="T104" s="566" t="s">
        <v>369</v>
      </c>
      <c r="U104" s="566" t="s">
        <v>4154</v>
      </c>
      <c r="V104" s="566" t="s">
        <v>34</v>
      </c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614"/>
      <c r="AI104" s="614"/>
      <c r="AJ104" s="450"/>
      <c r="AK104" s="450"/>
      <c r="AL104" s="450"/>
      <c r="AM104" s="450"/>
      <c r="AN104" s="450"/>
      <c r="AO104" s="450"/>
      <c r="AP104" s="450"/>
      <c r="AQ104" s="450"/>
      <c r="AR104" s="450"/>
      <c r="AS104" s="468"/>
      <c r="AT104" s="449">
        <v>198000.83</v>
      </c>
      <c r="AU104" s="449">
        <v>191770.41</v>
      </c>
      <c r="AV104" s="450">
        <v>189166.3</v>
      </c>
      <c r="AW104" s="450">
        <v>284624.5</v>
      </c>
      <c r="AX104" s="450">
        <v>269744.82</v>
      </c>
      <c r="AY104" s="450">
        <v>288041.75</v>
      </c>
      <c r="AZ104" s="450">
        <v>288412.59</v>
      </c>
      <c r="BA104" s="450">
        <v>287953.71</v>
      </c>
      <c r="BB104" s="450">
        <v>290240.08</v>
      </c>
      <c r="BC104" s="450">
        <v>159941.53</v>
      </c>
      <c r="BD104" s="450" t="s">
        <v>2566</v>
      </c>
      <c r="BE104" s="450" t="s">
        <v>2566</v>
      </c>
      <c r="BF104" s="450">
        <v>0.0</v>
      </c>
      <c r="BG104" s="450">
        <v>0.0</v>
      </c>
      <c r="BH104" s="450">
        <v>0.0</v>
      </c>
      <c r="BI104" s="450">
        <v>0.0</v>
      </c>
      <c r="BJ104" s="450">
        <v>0.0</v>
      </c>
      <c r="BK104" s="450">
        <v>0.0</v>
      </c>
      <c r="BL104" s="450">
        <v>0.0</v>
      </c>
      <c r="BM104" s="450">
        <v>0.0</v>
      </c>
      <c r="BN104" s="450">
        <v>0.0</v>
      </c>
      <c r="BO104" s="450">
        <v>0.0</v>
      </c>
      <c r="BP104" s="450">
        <v>0.0</v>
      </c>
      <c r="BQ104" s="450">
        <v>0.0</v>
      </c>
      <c r="BR104" s="450">
        <v>0.0</v>
      </c>
      <c r="BS104" s="615" t="str">
        <f t="array" ref="BS104">XLOOKUP(D104,'PL TOTAL XP'!A:A,'PL TOTAL XP'!C:C,"0")</f>
        <v>0</v>
      </c>
      <c r="BT104" s="616"/>
    </row>
    <row r="105" ht="15.75" customHeight="1">
      <c r="A105" s="183" t="s">
        <v>3820</v>
      </c>
      <c r="B105" s="78" t="s">
        <v>4155</v>
      </c>
      <c r="C105" s="617" t="s">
        <v>4156</v>
      </c>
      <c r="D105" s="522">
        <v>4627802.0</v>
      </c>
      <c r="E105" s="522" t="s">
        <v>105</v>
      </c>
      <c r="F105" s="522" t="s">
        <v>29</v>
      </c>
      <c r="G105" s="522" t="s">
        <v>637</v>
      </c>
      <c r="H105" s="522" t="str">
        <f>IFERROR(VLOOKUP(G105,'Cadastro de assessores'!A:B,2,FALSE),"Não Cadastrado")</f>
        <v>14699</v>
      </c>
      <c r="I105" s="522"/>
      <c r="J105" s="51" t="s">
        <v>186</v>
      </c>
      <c r="K105" s="522" t="s">
        <v>2563</v>
      </c>
      <c r="L105" s="618">
        <v>44183.0</v>
      </c>
      <c r="M105" s="618">
        <v>44183.0</v>
      </c>
      <c r="N105" s="619">
        <v>44253.0</v>
      </c>
      <c r="O105" s="522" t="s">
        <v>3828</v>
      </c>
      <c r="P105" s="612">
        <v>0.015</v>
      </c>
      <c r="Q105" s="620" t="s">
        <v>4157</v>
      </c>
      <c r="R105" s="613"/>
      <c r="S105" s="522" t="str">
        <f t="shared" si="11"/>
        <v/>
      </c>
      <c r="T105" s="522" t="s">
        <v>108</v>
      </c>
      <c r="U105" s="522" t="s">
        <v>2591</v>
      </c>
      <c r="V105" s="522" t="s">
        <v>29</v>
      </c>
      <c r="W105" s="614" t="s">
        <v>3830</v>
      </c>
      <c r="X105" s="614" t="s">
        <v>3830</v>
      </c>
      <c r="Y105" s="614" t="s">
        <v>3830</v>
      </c>
      <c r="Z105" s="614" t="s">
        <v>3830</v>
      </c>
      <c r="AA105" s="614" t="s">
        <v>3830</v>
      </c>
      <c r="AB105" s="614" t="s">
        <v>3830</v>
      </c>
      <c r="AC105" s="614" t="s">
        <v>3830</v>
      </c>
      <c r="AD105" s="614" t="s">
        <v>3830</v>
      </c>
      <c r="AE105" s="614" t="s">
        <v>3830</v>
      </c>
      <c r="AF105" s="614" t="s">
        <v>3830</v>
      </c>
      <c r="AG105" s="614" t="s">
        <v>3830</v>
      </c>
      <c r="AH105" s="614" t="s">
        <v>3830</v>
      </c>
      <c r="AI105" s="614" t="s">
        <v>3830</v>
      </c>
      <c r="AJ105" s="614" t="s">
        <v>3830</v>
      </c>
      <c r="AK105" s="450">
        <v>149407.51</v>
      </c>
      <c r="AL105" s="450">
        <v>147535.36</v>
      </c>
      <c r="AM105" s="450">
        <v>143348.16</v>
      </c>
      <c r="AN105" s="450">
        <v>143421.06</v>
      </c>
      <c r="AO105" s="450"/>
      <c r="AP105" s="450"/>
      <c r="AQ105" s="450"/>
      <c r="AR105" s="450"/>
      <c r="AS105" s="450"/>
      <c r="AT105" s="450"/>
      <c r="AU105" s="450"/>
      <c r="AV105" s="450"/>
      <c r="AW105" s="450"/>
      <c r="AX105" s="450"/>
      <c r="AY105" s="450"/>
      <c r="AZ105" s="450"/>
      <c r="BA105" s="450">
        <v>0.0</v>
      </c>
      <c r="BB105" s="450">
        <v>0.0</v>
      </c>
      <c r="BC105" s="450"/>
      <c r="BD105" s="450" t="s">
        <v>2566</v>
      </c>
      <c r="BE105" s="450" t="s">
        <v>2566</v>
      </c>
      <c r="BF105" s="450">
        <v>0.0</v>
      </c>
      <c r="BG105" s="450">
        <v>0.0</v>
      </c>
      <c r="BH105" s="450">
        <v>0.0</v>
      </c>
      <c r="BI105" s="450">
        <v>0.0</v>
      </c>
      <c r="BJ105" s="450">
        <v>0.0</v>
      </c>
      <c r="BK105" s="450">
        <v>0.0</v>
      </c>
      <c r="BL105" s="450">
        <v>0.0</v>
      </c>
      <c r="BM105" s="450">
        <v>0.0</v>
      </c>
      <c r="BN105" s="450">
        <v>0.0</v>
      </c>
      <c r="BO105" s="450">
        <v>0.0</v>
      </c>
      <c r="BP105" s="450">
        <v>0.0</v>
      </c>
      <c r="BQ105" s="450">
        <v>0.0</v>
      </c>
      <c r="BR105" s="450">
        <v>0.0</v>
      </c>
      <c r="BS105" s="615" t="str">
        <f t="array" ref="BS105">XLOOKUP(D105,'PL TOTAL XP'!A:A,'PL TOTAL XP'!C:C,"0")</f>
        <v>0</v>
      </c>
      <c r="BT105" s="616"/>
    </row>
    <row r="106" ht="15.75" customHeight="1">
      <c r="A106" s="183" t="s">
        <v>3820</v>
      </c>
      <c r="B106" s="78" t="s">
        <v>4158</v>
      </c>
      <c r="C106" s="617" t="s">
        <v>4159</v>
      </c>
      <c r="D106" s="522">
        <v>4401235.0</v>
      </c>
      <c r="E106" s="512" t="s">
        <v>18</v>
      </c>
      <c r="F106" s="512" t="s">
        <v>29</v>
      </c>
      <c r="G106" s="512" t="s">
        <v>4160</v>
      </c>
      <c r="H106" s="512">
        <f>IFERROR(VLOOKUP(G106,'Cadastro de assessores'!A:B,2,FALSE),"Não Cadastrado")</f>
        <v>12337</v>
      </c>
      <c r="I106" s="512"/>
      <c r="J106" s="51" t="s">
        <v>186</v>
      </c>
      <c r="K106" s="512" t="s">
        <v>107</v>
      </c>
      <c r="L106" s="610">
        <v>44819.0</v>
      </c>
      <c r="M106" s="610">
        <v>44089.0</v>
      </c>
      <c r="N106" s="619">
        <v>44930.0</v>
      </c>
      <c r="O106" s="522" t="s">
        <v>3834</v>
      </c>
      <c r="P106" s="612">
        <v>0.007</v>
      </c>
      <c r="Q106" s="620" t="s">
        <v>4161</v>
      </c>
      <c r="R106" s="613"/>
      <c r="S106" s="522" t="str">
        <f t="shared" si="11"/>
        <v/>
      </c>
      <c r="T106" s="522" t="s">
        <v>108</v>
      </c>
      <c r="U106" s="522" t="s">
        <v>2623</v>
      </c>
      <c r="V106" s="566" t="s">
        <v>29</v>
      </c>
      <c r="W106" s="614" t="s">
        <v>3830</v>
      </c>
      <c r="X106" s="614" t="s">
        <v>3830</v>
      </c>
      <c r="Y106" s="614" t="s">
        <v>3830</v>
      </c>
      <c r="Z106" s="614" t="s">
        <v>3830</v>
      </c>
      <c r="AA106" s="614" t="s">
        <v>3830</v>
      </c>
      <c r="AB106" s="614" t="s">
        <v>3830</v>
      </c>
      <c r="AC106" s="614" t="s">
        <v>3830</v>
      </c>
      <c r="AD106" s="614" t="s">
        <v>3830</v>
      </c>
      <c r="AE106" s="614" t="s">
        <v>3830</v>
      </c>
      <c r="AF106" s="614" t="s">
        <v>3830</v>
      </c>
      <c r="AG106" s="614" t="s">
        <v>3830</v>
      </c>
      <c r="AH106" s="614" t="s">
        <v>4162</v>
      </c>
      <c r="AI106" s="614" t="s">
        <v>4163</v>
      </c>
      <c r="AJ106" s="614" t="s">
        <v>4164</v>
      </c>
      <c r="AK106" s="450">
        <v>158000.92</v>
      </c>
      <c r="AL106" s="450">
        <v>156780.98</v>
      </c>
      <c r="AM106" s="450">
        <v>148764.07</v>
      </c>
      <c r="AN106" s="450">
        <v>148011.8</v>
      </c>
      <c r="AO106" s="450">
        <v>149946.39</v>
      </c>
      <c r="AP106" s="450">
        <v>155619.74</v>
      </c>
      <c r="AQ106" s="450">
        <v>155229.57</v>
      </c>
      <c r="AR106" s="450">
        <v>157196.16</v>
      </c>
      <c r="AS106" s="450">
        <v>156856.68</v>
      </c>
      <c r="AT106" s="450">
        <v>155382.92</v>
      </c>
      <c r="AU106" s="450">
        <v>145979.42</v>
      </c>
      <c r="AV106" s="450">
        <v>149936.46</v>
      </c>
      <c r="AW106" s="450">
        <v>147740.58</v>
      </c>
      <c r="AX106" s="450">
        <v>149316.53</v>
      </c>
      <c r="AY106" s="450">
        <v>150756.21</v>
      </c>
      <c r="AZ106" s="450">
        <v>137733.47</v>
      </c>
      <c r="BA106" s="450">
        <v>138563.75</v>
      </c>
      <c r="BB106" s="450">
        <v>109762.82</v>
      </c>
      <c r="BC106" s="450"/>
      <c r="BD106" s="450">
        <v>53843.02</v>
      </c>
      <c r="BE106" s="450">
        <v>54225.79</v>
      </c>
      <c r="BF106" s="450">
        <v>54563.14</v>
      </c>
      <c r="BG106" s="450">
        <v>54875.38548</v>
      </c>
      <c r="BH106" s="450">
        <v>55136.67</v>
      </c>
      <c r="BI106" s="450">
        <v>50462.64</v>
      </c>
      <c r="BJ106" s="450">
        <v>50779.39</v>
      </c>
      <c r="BK106" s="450">
        <v>51066.94</v>
      </c>
      <c r="BL106" s="450">
        <v>0.0</v>
      </c>
      <c r="BM106" s="450">
        <v>0.0</v>
      </c>
      <c r="BN106" s="450">
        <v>0.0</v>
      </c>
      <c r="BO106" s="450">
        <v>0.0</v>
      </c>
      <c r="BP106" s="450">
        <v>0.0</v>
      </c>
      <c r="BQ106" s="450">
        <v>0.0</v>
      </c>
      <c r="BR106" s="450">
        <v>0.0</v>
      </c>
      <c r="BS106" s="615" t="str">
        <f t="array" ref="BS106">XLOOKUP(D106,'PL TOTAL XP'!A:A,'PL TOTAL XP'!C:C,"0")</f>
        <v>0</v>
      </c>
      <c r="BT106" s="616"/>
    </row>
    <row r="107" ht="15.75" customHeight="1">
      <c r="A107" s="183" t="s">
        <v>3820</v>
      </c>
      <c r="B107" s="78" t="s">
        <v>677</v>
      </c>
      <c r="C107" s="617" t="s">
        <v>675</v>
      </c>
      <c r="D107" s="522">
        <v>2720929.0</v>
      </c>
      <c r="E107" s="512" t="s">
        <v>18</v>
      </c>
      <c r="F107" s="512" t="s">
        <v>29</v>
      </c>
      <c r="G107" s="512" t="s">
        <v>4160</v>
      </c>
      <c r="H107" s="512">
        <f>IFERROR(VLOOKUP(G107,'Cadastro de assessores'!A:B,2,FALSE),"Não Cadastrado")</f>
        <v>12337</v>
      </c>
      <c r="I107" s="512"/>
      <c r="J107" s="51" t="s">
        <v>3823</v>
      </c>
      <c r="K107" s="512" t="s">
        <v>107</v>
      </c>
      <c r="L107" s="610">
        <v>44109.0</v>
      </c>
      <c r="M107" s="610">
        <v>44111.0</v>
      </c>
      <c r="N107" s="522"/>
      <c r="O107" s="522" t="s">
        <v>3836</v>
      </c>
      <c r="P107" s="612">
        <v>0.012</v>
      </c>
      <c r="Q107" s="620" t="s">
        <v>4165</v>
      </c>
      <c r="R107" s="613"/>
      <c r="S107" s="522" t="str">
        <f t="shared" si="11"/>
        <v>Qualificado</v>
      </c>
      <c r="T107" s="522" t="s">
        <v>108</v>
      </c>
      <c r="U107" s="522" t="s">
        <v>2623</v>
      </c>
      <c r="V107" s="566" t="s">
        <v>29</v>
      </c>
      <c r="W107" s="614" t="s">
        <v>3830</v>
      </c>
      <c r="X107" s="614" t="s">
        <v>3830</v>
      </c>
      <c r="Y107" s="614" t="s">
        <v>3830</v>
      </c>
      <c r="Z107" s="614" t="s">
        <v>3830</v>
      </c>
      <c r="AA107" s="614" t="s">
        <v>3830</v>
      </c>
      <c r="AB107" s="614" t="s">
        <v>3830</v>
      </c>
      <c r="AC107" s="614" t="s">
        <v>3830</v>
      </c>
      <c r="AD107" s="614" t="s">
        <v>3830</v>
      </c>
      <c r="AE107" s="614" t="s">
        <v>3830</v>
      </c>
      <c r="AF107" s="614" t="s">
        <v>3830</v>
      </c>
      <c r="AG107" s="614" t="s">
        <v>3830</v>
      </c>
      <c r="AH107" s="614" t="s">
        <v>3830</v>
      </c>
      <c r="AI107" s="614" t="s">
        <v>4166</v>
      </c>
      <c r="AJ107" s="614" t="s">
        <v>4167</v>
      </c>
      <c r="AK107" s="450">
        <v>214146.98</v>
      </c>
      <c r="AL107" s="450">
        <v>211152.05</v>
      </c>
      <c r="AM107" s="450">
        <v>206300.19</v>
      </c>
      <c r="AN107" s="450">
        <v>206103.81</v>
      </c>
      <c r="AO107" s="450">
        <v>211234.79</v>
      </c>
      <c r="AP107" s="450">
        <v>212494.33</v>
      </c>
      <c r="AQ107" s="450">
        <v>211683.24</v>
      </c>
      <c r="AR107" s="450">
        <v>216507.1</v>
      </c>
      <c r="AS107" s="450">
        <v>214852.46</v>
      </c>
      <c r="AT107" s="450">
        <v>210692.14</v>
      </c>
      <c r="AU107" s="450">
        <v>209464.44</v>
      </c>
      <c r="AV107" s="450">
        <v>205935.76</v>
      </c>
      <c r="AW107" s="450">
        <v>198966.19</v>
      </c>
      <c r="AX107" s="450">
        <v>199055.46</v>
      </c>
      <c r="AY107" s="450">
        <v>201556.75</v>
      </c>
      <c r="AZ107" s="450">
        <v>206270.2</v>
      </c>
      <c r="BA107" s="450">
        <v>207607.88</v>
      </c>
      <c r="BB107" s="450">
        <v>212992.64</v>
      </c>
      <c r="BC107" s="450">
        <v>2801747.01</v>
      </c>
      <c r="BD107" s="450">
        <v>214391.58</v>
      </c>
      <c r="BE107" s="450">
        <v>214580.06</v>
      </c>
      <c r="BF107" s="450">
        <v>217629.26</v>
      </c>
      <c r="BG107" s="450">
        <v>219057.5213</v>
      </c>
      <c r="BH107" s="450">
        <v>219738.96</v>
      </c>
      <c r="BI107" s="450">
        <v>224257.6</v>
      </c>
      <c r="BJ107" s="450">
        <v>224509.42</v>
      </c>
      <c r="BK107" s="450">
        <v>226272.51</v>
      </c>
      <c r="BL107" s="450">
        <v>268906.04</v>
      </c>
      <c r="BM107" s="450">
        <v>270644.58</v>
      </c>
      <c r="BN107" s="450">
        <v>223571.8</v>
      </c>
      <c r="BO107" s="450">
        <v>0.0</v>
      </c>
      <c r="BP107" s="450">
        <v>0.0</v>
      </c>
      <c r="BQ107" s="450">
        <v>0.0</v>
      </c>
      <c r="BR107" s="450">
        <v>0.0</v>
      </c>
      <c r="BS107" s="615">
        <f t="array" ref="BS107">XLOOKUP(D107,'PL TOTAL XP'!A:A,'PL TOTAL XP'!C:C,"0")</f>
        <v>0</v>
      </c>
      <c r="BT107" s="616"/>
    </row>
    <row r="108" ht="15.75" customHeight="1">
      <c r="A108" s="183" t="s">
        <v>3820</v>
      </c>
      <c r="B108" s="78" t="s">
        <v>677</v>
      </c>
      <c r="C108" s="564" t="s">
        <v>675</v>
      </c>
      <c r="D108" s="623">
        <v>8233833.0</v>
      </c>
      <c r="E108" s="512" t="s">
        <v>18</v>
      </c>
      <c r="F108" s="512" t="s">
        <v>29</v>
      </c>
      <c r="G108" s="512" t="s">
        <v>168</v>
      </c>
      <c r="H108" s="512">
        <f>IFERROR(VLOOKUP(G108,'Cadastro de assessores'!A:B,2,FALSE),"Não Cadastrado")</f>
        <v>12344</v>
      </c>
      <c r="I108" s="512"/>
      <c r="J108" s="51" t="s">
        <v>3823</v>
      </c>
      <c r="K108" s="522" t="s">
        <v>147</v>
      </c>
      <c r="L108" s="522" t="s">
        <v>2600</v>
      </c>
      <c r="M108" s="640" t="s">
        <v>2599</v>
      </c>
      <c r="N108" s="522"/>
      <c r="O108" s="522" t="s">
        <v>4168</v>
      </c>
      <c r="P108" s="612">
        <v>0.01</v>
      </c>
      <c r="Q108" s="620"/>
      <c r="R108" s="613"/>
      <c r="S108" s="522" t="str">
        <f t="shared" si="11"/>
        <v>Não Qualificado</v>
      </c>
      <c r="T108" s="522" t="s">
        <v>108</v>
      </c>
      <c r="U108" s="522" t="s">
        <v>2623</v>
      </c>
      <c r="V108" s="522" t="s">
        <v>29</v>
      </c>
      <c r="W108" s="614"/>
      <c r="X108" s="614"/>
      <c r="Y108" s="614"/>
      <c r="Z108" s="614"/>
      <c r="AA108" s="614"/>
      <c r="AB108" s="614"/>
      <c r="AC108" s="614"/>
      <c r="AD108" s="614"/>
      <c r="AE108" s="614"/>
      <c r="AF108" s="614"/>
      <c r="AG108" s="614"/>
      <c r="AH108" s="614"/>
      <c r="AI108" s="614"/>
      <c r="AJ108" s="614"/>
      <c r="AK108" s="450"/>
      <c r="AL108" s="450"/>
      <c r="AM108" s="450"/>
      <c r="AN108" s="450"/>
      <c r="AO108" s="450"/>
      <c r="AP108" s="450"/>
      <c r="AQ108" s="450"/>
      <c r="AR108" s="450"/>
      <c r="AS108" s="450"/>
      <c r="AT108" s="450"/>
      <c r="AU108" s="450"/>
      <c r="AV108" s="450"/>
      <c r="AW108" s="450"/>
      <c r="AX108" s="450"/>
      <c r="AY108" s="450"/>
      <c r="AZ108" s="450"/>
      <c r="BA108" s="450"/>
      <c r="BB108" s="450"/>
      <c r="BC108" s="450">
        <v>530725.79</v>
      </c>
      <c r="BD108" s="450" t="s">
        <v>2566</v>
      </c>
      <c r="BE108" s="450" t="s">
        <v>2566</v>
      </c>
      <c r="BF108" s="450">
        <v>0.0</v>
      </c>
      <c r="BG108" s="450">
        <v>0.0</v>
      </c>
      <c r="BH108" s="450">
        <v>0.0</v>
      </c>
      <c r="BI108" s="450">
        <v>0.0</v>
      </c>
      <c r="BJ108" s="450">
        <v>0.0</v>
      </c>
      <c r="BK108" s="450">
        <v>0.0</v>
      </c>
      <c r="BL108" s="450">
        <v>0.0</v>
      </c>
      <c r="BM108" s="450">
        <v>0.0</v>
      </c>
      <c r="BN108" s="450">
        <v>0.0</v>
      </c>
      <c r="BO108" s="450">
        <v>0.0</v>
      </c>
      <c r="BP108" s="450">
        <v>0.0</v>
      </c>
      <c r="BQ108" s="450">
        <v>0.0</v>
      </c>
      <c r="BR108" s="450">
        <v>0.0</v>
      </c>
      <c r="BS108" s="615">
        <f t="array" ref="BS108">XLOOKUP(D108,'PL TOTAL XP'!A:A,'PL TOTAL XP'!C:C,"0")</f>
        <v>0</v>
      </c>
      <c r="BT108" s="616"/>
    </row>
    <row r="109" ht="15.75" customHeight="1">
      <c r="A109" s="183" t="s">
        <v>3820</v>
      </c>
      <c r="B109" s="78" t="s">
        <v>684</v>
      </c>
      <c r="C109" s="617" t="s">
        <v>4169</v>
      </c>
      <c r="D109" s="623">
        <v>6096787.0</v>
      </c>
      <c r="E109" s="512" t="s">
        <v>105</v>
      </c>
      <c r="F109" s="512" t="s">
        <v>29</v>
      </c>
      <c r="G109" s="512" t="s">
        <v>4170</v>
      </c>
      <c r="H109" s="512">
        <f>IFERROR(VLOOKUP(G109,'Cadastro de assessores'!A:B,2,FALSE),"Não Cadastrado")</f>
        <v>12352</v>
      </c>
      <c r="I109" s="512"/>
      <c r="J109" s="51" t="s">
        <v>3823</v>
      </c>
      <c r="K109" s="512"/>
      <c r="L109" s="610">
        <v>44834.0</v>
      </c>
      <c r="M109" s="610">
        <v>44840.0</v>
      </c>
      <c r="N109" s="566"/>
      <c r="O109" s="566" t="s">
        <v>3834</v>
      </c>
      <c r="P109" s="612">
        <v>0.01</v>
      </c>
      <c r="Q109" s="620"/>
      <c r="R109" s="613"/>
      <c r="S109" s="522"/>
      <c r="T109" s="522"/>
      <c r="U109" s="522"/>
      <c r="V109" s="522" t="s">
        <v>2600</v>
      </c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450"/>
      <c r="AL109" s="450"/>
      <c r="AM109" s="450"/>
      <c r="AN109" s="450"/>
      <c r="AO109" s="450"/>
      <c r="AP109" s="450"/>
      <c r="AQ109" s="450"/>
      <c r="AR109" s="450"/>
      <c r="AS109" s="450"/>
      <c r="AT109" s="450"/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>
        <v>0.0</v>
      </c>
      <c r="BI109" s="450">
        <v>383096.42</v>
      </c>
      <c r="BJ109" s="450">
        <v>383869.17</v>
      </c>
      <c r="BK109" s="450">
        <v>4193.17</v>
      </c>
      <c r="BL109" s="450">
        <v>0.0</v>
      </c>
      <c r="BM109" s="450">
        <v>0.0</v>
      </c>
      <c r="BN109" s="450">
        <v>0.0</v>
      </c>
      <c r="BO109" s="450">
        <v>0.0</v>
      </c>
      <c r="BP109" s="450">
        <v>0.0</v>
      </c>
      <c r="BQ109" s="450">
        <v>0.0</v>
      </c>
      <c r="BR109" s="450">
        <v>0.0</v>
      </c>
      <c r="BS109" s="615">
        <f t="array" ref="BS109">XLOOKUP(D109,'PL TOTAL XP'!A:A,'PL TOTAL XP'!C:C,"0")</f>
        <v>0</v>
      </c>
      <c r="BT109" s="616"/>
    </row>
    <row r="110" ht="15.75" customHeight="1">
      <c r="A110" s="183" t="s">
        <v>3820</v>
      </c>
      <c r="B110" s="78" t="s">
        <v>4171</v>
      </c>
      <c r="C110" s="617" t="s">
        <v>4172</v>
      </c>
      <c r="D110" s="522">
        <v>4860809.0</v>
      </c>
      <c r="E110" s="512" t="s">
        <v>105</v>
      </c>
      <c r="F110" s="512" t="s">
        <v>29</v>
      </c>
      <c r="G110" s="512" t="s">
        <v>637</v>
      </c>
      <c r="H110" s="512" t="str">
        <f>IFERROR(VLOOKUP(G110,'Cadastro de assessores'!A:B,2,FALSE),"Não Cadastrado")</f>
        <v>14699</v>
      </c>
      <c r="I110" s="512"/>
      <c r="J110" s="51" t="s">
        <v>3823</v>
      </c>
      <c r="K110" s="512" t="s">
        <v>107</v>
      </c>
      <c r="L110" s="610">
        <v>44264.0</v>
      </c>
      <c r="M110" s="610">
        <v>44264.0</v>
      </c>
      <c r="N110" s="566"/>
      <c r="O110" s="566" t="s">
        <v>3869</v>
      </c>
      <c r="P110" s="612">
        <v>0.008</v>
      </c>
      <c r="Q110" s="620"/>
      <c r="R110" s="613"/>
      <c r="S110" s="522" t="str">
        <f t="shared" ref="S110:S142" si="12">IF(BC110&lt;=0,"",IF(BC110&lt;=1000000,"Não Qualificado",IF(AND(BC110&gt;1000000,BC110&lt;=10000000),"Qualificado","Profissional")))</f>
        <v>Não Qualificado</v>
      </c>
      <c r="T110" s="522" t="s">
        <v>108</v>
      </c>
      <c r="U110" s="522" t="s">
        <v>2591</v>
      </c>
      <c r="V110" s="522" t="s">
        <v>29</v>
      </c>
      <c r="W110" s="614"/>
      <c r="X110" s="614"/>
      <c r="Y110" s="614"/>
      <c r="Z110" s="614"/>
      <c r="AA110" s="614"/>
      <c r="AB110" s="614"/>
      <c r="AC110" s="614"/>
      <c r="AD110" s="614"/>
      <c r="AE110" s="614"/>
      <c r="AF110" s="614"/>
      <c r="AG110" s="614"/>
      <c r="AH110" s="614"/>
      <c r="AI110" s="614"/>
      <c r="AJ110" s="614"/>
      <c r="AK110" s="450">
        <v>316737.04</v>
      </c>
      <c r="AL110" s="450">
        <v>320050.51</v>
      </c>
      <c r="AM110" s="450">
        <v>292466.89</v>
      </c>
      <c r="AN110" s="450">
        <v>149752.04</v>
      </c>
      <c r="AO110" s="450">
        <v>147313.12</v>
      </c>
      <c r="AP110" s="450">
        <v>147445.65</v>
      </c>
      <c r="AQ110" s="450">
        <v>148231.92</v>
      </c>
      <c r="AR110" s="450">
        <v>144976.22</v>
      </c>
      <c r="AS110" s="450">
        <v>143215.05</v>
      </c>
      <c r="AT110" s="450">
        <v>146411.48</v>
      </c>
      <c r="AU110" s="450">
        <v>141903.82</v>
      </c>
      <c r="AV110" s="450">
        <v>140307.37</v>
      </c>
      <c r="AW110" s="450">
        <v>138948.11</v>
      </c>
      <c r="AX110" s="450">
        <v>132047.88</v>
      </c>
      <c r="AY110" s="450">
        <v>140891.41</v>
      </c>
      <c r="AZ110" s="450">
        <v>141347.14</v>
      </c>
      <c r="BA110" s="450">
        <v>141401.31</v>
      </c>
      <c r="BB110" s="450">
        <v>142758.82</v>
      </c>
      <c r="BC110" s="450">
        <v>312981.85</v>
      </c>
      <c r="BD110" s="450">
        <v>144071.44</v>
      </c>
      <c r="BE110" s="450">
        <v>144003.8</v>
      </c>
      <c r="BF110" s="450">
        <v>145747.72</v>
      </c>
      <c r="BG110" s="450">
        <v>149526.95</v>
      </c>
      <c r="BH110" s="450">
        <v>149433.94</v>
      </c>
      <c r="BI110" s="450">
        <v>150816.74</v>
      </c>
      <c r="BJ110" s="450">
        <v>146054.5</v>
      </c>
      <c r="BK110" s="450">
        <v>145819.48</v>
      </c>
      <c r="BL110" s="450">
        <v>146711.05</v>
      </c>
      <c r="BM110" s="450">
        <v>145752.82</v>
      </c>
      <c r="BN110" s="450">
        <v>143514.06</v>
      </c>
      <c r="BO110" s="450">
        <v>148384.05</v>
      </c>
      <c r="BP110" s="450">
        <v>153882.45</v>
      </c>
      <c r="BQ110" s="450">
        <v>160355.88</v>
      </c>
      <c r="BR110" s="450">
        <v>0.0</v>
      </c>
      <c r="BS110" s="615" t="str">
        <f t="array" ref="BS110">XLOOKUP(D110,'PL TOTAL XP'!A:A,'PL TOTAL XP'!C:C,"0")</f>
        <v>0</v>
      </c>
      <c r="BT110" s="616"/>
    </row>
    <row r="111" ht="15.75" customHeight="1">
      <c r="A111" s="183" t="s">
        <v>3820</v>
      </c>
      <c r="B111" s="78" t="s">
        <v>4171</v>
      </c>
      <c r="C111" s="617" t="s">
        <v>4172</v>
      </c>
      <c r="D111" s="522">
        <v>4841420.0</v>
      </c>
      <c r="E111" s="512" t="s">
        <v>105</v>
      </c>
      <c r="F111" s="512" t="s">
        <v>29</v>
      </c>
      <c r="G111" s="512" t="s">
        <v>637</v>
      </c>
      <c r="H111" s="512" t="str">
        <f>IFERROR(VLOOKUP(G111,'Cadastro de assessores'!A:B,2,FALSE),"Não Cadastrado")</f>
        <v>14699</v>
      </c>
      <c r="I111" s="512"/>
      <c r="J111" s="51" t="s">
        <v>3823</v>
      </c>
      <c r="K111" s="512" t="s">
        <v>107</v>
      </c>
      <c r="L111" s="610">
        <v>44264.0</v>
      </c>
      <c r="M111" s="610">
        <v>44264.0</v>
      </c>
      <c r="N111" s="522"/>
      <c r="O111" s="522" t="s">
        <v>3828</v>
      </c>
      <c r="P111" s="612">
        <v>0.015</v>
      </c>
      <c r="Q111" s="620"/>
      <c r="R111" s="613"/>
      <c r="S111" s="522" t="str">
        <f t="shared" si="12"/>
        <v>Não Qualificado</v>
      </c>
      <c r="T111" s="522" t="s">
        <v>108</v>
      </c>
      <c r="U111" s="522" t="s">
        <v>2591</v>
      </c>
      <c r="V111" s="522" t="s">
        <v>29</v>
      </c>
      <c r="W111" s="614"/>
      <c r="X111" s="614"/>
      <c r="Y111" s="614"/>
      <c r="Z111" s="614"/>
      <c r="AA111" s="614"/>
      <c r="AB111" s="614"/>
      <c r="AC111" s="614"/>
      <c r="AD111" s="614"/>
      <c r="AE111" s="614"/>
      <c r="AF111" s="614"/>
      <c r="AG111" s="614"/>
      <c r="AH111" s="614"/>
      <c r="AI111" s="614"/>
      <c r="AJ111" s="614"/>
      <c r="AK111" s="450"/>
      <c r="AL111" s="450"/>
      <c r="AM111" s="450">
        <v>301087.94</v>
      </c>
      <c r="AN111" s="450">
        <v>150867.07</v>
      </c>
      <c r="AO111" s="450">
        <v>155551.06</v>
      </c>
      <c r="AP111" s="450">
        <v>156231.2</v>
      </c>
      <c r="AQ111" s="450">
        <v>155661.64</v>
      </c>
      <c r="AR111" s="450">
        <v>159128.51</v>
      </c>
      <c r="AS111" s="450">
        <v>158108.53</v>
      </c>
      <c r="AT111" s="450">
        <v>155000.46</v>
      </c>
      <c r="AU111" s="450">
        <v>154068.11</v>
      </c>
      <c r="AV111" s="450">
        <v>151105.82</v>
      </c>
      <c r="AW111" s="450">
        <v>145566.11</v>
      </c>
      <c r="AX111" s="450">
        <v>145303.58</v>
      </c>
      <c r="AY111" s="450">
        <v>147096.66</v>
      </c>
      <c r="AZ111" s="450">
        <v>151507.75</v>
      </c>
      <c r="BA111" s="450">
        <v>152685.65</v>
      </c>
      <c r="BB111" s="450">
        <v>158109.73</v>
      </c>
      <c r="BC111" s="450">
        <v>185102.43</v>
      </c>
      <c r="BD111" s="450">
        <v>156194.59</v>
      </c>
      <c r="BE111" s="450">
        <v>155424.41</v>
      </c>
      <c r="BF111" s="450">
        <v>158060.71</v>
      </c>
      <c r="BG111" s="450">
        <v>159202.6919</v>
      </c>
      <c r="BH111" s="450">
        <v>159665.11</v>
      </c>
      <c r="BI111" s="450">
        <v>165685.13</v>
      </c>
      <c r="BJ111" s="450">
        <v>164310.72</v>
      </c>
      <c r="BK111" s="450">
        <v>165277.38</v>
      </c>
      <c r="BL111" s="450">
        <v>167145.63</v>
      </c>
      <c r="BM111" s="450">
        <v>168212.36</v>
      </c>
      <c r="BN111" s="450">
        <v>169670.05</v>
      </c>
      <c r="BO111" s="450">
        <v>170866.19</v>
      </c>
      <c r="BP111" s="450">
        <v>172365.93</v>
      </c>
      <c r="BQ111" s="450">
        <v>173569.99</v>
      </c>
      <c r="BR111" s="450">
        <v>0.0</v>
      </c>
      <c r="BS111" s="615" t="str">
        <f t="array" ref="BS111">XLOOKUP(D111,'PL TOTAL XP'!A:A,'PL TOTAL XP'!C:C,"0")</f>
        <v>0</v>
      </c>
      <c r="BT111" s="616"/>
    </row>
    <row r="112" ht="15.75" customHeight="1">
      <c r="A112" s="183" t="s">
        <v>3820</v>
      </c>
      <c r="B112" s="78" t="s">
        <v>4173</v>
      </c>
      <c r="C112" s="564" t="s">
        <v>4174</v>
      </c>
      <c r="D112" s="566">
        <v>6404430.0</v>
      </c>
      <c r="E112" s="648" t="s">
        <v>4175</v>
      </c>
      <c r="F112" s="566" t="s">
        <v>791</v>
      </c>
      <c r="G112" s="566" t="s">
        <v>4176</v>
      </c>
      <c r="H112" s="566" t="str">
        <f>IFERROR(VLOOKUP(G112,'Cadastro de assessores'!A:B,2,FALSE),"Não Cadastrado")</f>
        <v>14434</v>
      </c>
      <c r="I112" s="566"/>
      <c r="J112" s="51" t="s">
        <v>186</v>
      </c>
      <c r="K112" s="522" t="s">
        <v>2563</v>
      </c>
      <c r="L112" s="649">
        <v>44461.0</v>
      </c>
      <c r="M112" s="649">
        <v>44461.0</v>
      </c>
      <c r="N112" s="566"/>
      <c r="O112" s="566" t="s">
        <v>3834</v>
      </c>
      <c r="P112" s="650">
        <v>0.007</v>
      </c>
      <c r="Q112" s="524" t="s">
        <v>4177</v>
      </c>
      <c r="R112" s="613"/>
      <c r="S112" s="522" t="str">
        <f t="shared" si="12"/>
        <v>Qualificado</v>
      </c>
      <c r="T112" s="522" t="s">
        <v>108</v>
      </c>
      <c r="U112" s="522" t="s">
        <v>2664</v>
      </c>
      <c r="V112" s="522" t="s">
        <v>791</v>
      </c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614"/>
      <c r="AJ112" s="450"/>
      <c r="AK112" s="450"/>
      <c r="AL112" s="450"/>
      <c r="AM112" s="450"/>
      <c r="AN112" s="450"/>
      <c r="AO112" s="450"/>
      <c r="AP112" s="450"/>
      <c r="AQ112" s="450"/>
      <c r="AR112" s="450"/>
      <c r="AS112" s="450"/>
      <c r="AT112" s="450"/>
      <c r="AU112" s="468"/>
      <c r="AV112" s="450">
        <v>100297.97</v>
      </c>
      <c r="AW112" s="450">
        <v>101063.58</v>
      </c>
      <c r="AX112" s="450">
        <v>101921.35</v>
      </c>
      <c r="AY112" s="450">
        <v>102754.34</v>
      </c>
      <c r="AZ112" s="450">
        <v>103559.48</v>
      </c>
      <c r="BA112" s="450">
        <v>104249.87</v>
      </c>
      <c r="BB112" s="450">
        <v>105384.25</v>
      </c>
      <c r="BC112" s="450">
        <v>1303389.66</v>
      </c>
      <c r="BD112" s="450">
        <v>-38.0</v>
      </c>
      <c r="BE112" s="450" t="s">
        <v>2566</v>
      </c>
      <c r="BF112" s="450">
        <v>-38.0</v>
      </c>
      <c r="BG112" s="450">
        <v>0.0</v>
      </c>
      <c r="BH112" s="450">
        <v>0.0</v>
      </c>
      <c r="BI112" s="450">
        <v>0.0</v>
      </c>
      <c r="BJ112" s="450">
        <v>0.0</v>
      </c>
      <c r="BK112" s="450">
        <v>0.0</v>
      </c>
      <c r="BL112" s="450">
        <v>0.0</v>
      </c>
      <c r="BM112" s="450">
        <v>0.0</v>
      </c>
      <c r="BN112" s="450">
        <v>0.0</v>
      </c>
      <c r="BO112" s="450">
        <v>0.0</v>
      </c>
      <c r="BP112" s="450">
        <v>0.0</v>
      </c>
      <c r="BQ112" s="450">
        <v>0.0</v>
      </c>
      <c r="BR112" s="450">
        <v>0.0</v>
      </c>
      <c r="BS112" s="615" t="str">
        <f t="array" ref="BS112">XLOOKUP(D112,'PL TOTAL XP'!A:A,'PL TOTAL XP'!C:C,"0")</f>
        <v>0</v>
      </c>
      <c r="BT112" s="616"/>
    </row>
    <row r="113" ht="15.75" customHeight="1">
      <c r="A113" s="183" t="s">
        <v>3820</v>
      </c>
      <c r="B113" s="78" t="s">
        <v>4173</v>
      </c>
      <c r="C113" s="564" t="s">
        <v>4174</v>
      </c>
      <c r="D113" s="651">
        <v>2126289.0</v>
      </c>
      <c r="E113" s="522" t="s">
        <v>4175</v>
      </c>
      <c r="F113" s="511" t="s">
        <v>791</v>
      </c>
      <c r="G113" s="566" t="s">
        <v>4176</v>
      </c>
      <c r="H113" s="566" t="str">
        <f>IFERROR(VLOOKUP(G113,'Cadastro de assessores'!A:B,2,FALSE),"Não Cadastrado")</f>
        <v>14434</v>
      </c>
      <c r="I113" s="566"/>
      <c r="J113" s="51" t="s">
        <v>186</v>
      </c>
      <c r="K113" s="522" t="s">
        <v>2563</v>
      </c>
      <c r="L113" s="619">
        <v>44432.0</v>
      </c>
      <c r="M113" s="619">
        <v>44432.0</v>
      </c>
      <c r="N113" s="566"/>
      <c r="O113" s="566" t="s">
        <v>3828</v>
      </c>
      <c r="P113" s="612">
        <v>0.015</v>
      </c>
      <c r="Q113" s="524" t="s">
        <v>4178</v>
      </c>
      <c r="R113" s="613"/>
      <c r="S113" s="522" t="str">
        <f t="shared" si="12"/>
        <v>Não Qualificado</v>
      </c>
      <c r="T113" s="522" t="s">
        <v>108</v>
      </c>
      <c r="U113" s="522" t="s">
        <v>2664</v>
      </c>
      <c r="V113" s="522" t="s">
        <v>791</v>
      </c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614"/>
      <c r="AI113" s="614"/>
      <c r="AJ113" s="450"/>
      <c r="AK113" s="450"/>
      <c r="AL113" s="450"/>
      <c r="AM113" s="450"/>
      <c r="AN113" s="450"/>
      <c r="AO113" s="450"/>
      <c r="AP113" s="450"/>
      <c r="AQ113" s="450"/>
      <c r="AR113" s="450"/>
      <c r="AS113" s="634"/>
      <c r="AT113" s="449"/>
      <c r="AU113" s="449">
        <v>150219.61</v>
      </c>
      <c r="AV113" s="450">
        <v>146775.86</v>
      </c>
      <c r="AW113" s="450">
        <v>142439.26</v>
      </c>
      <c r="AX113" s="450">
        <v>146170.56</v>
      </c>
      <c r="AY113" s="450">
        <v>140423.68</v>
      </c>
      <c r="AZ113" s="450">
        <v>143958.25</v>
      </c>
      <c r="BA113" s="450">
        <v>144649.05</v>
      </c>
      <c r="BB113" s="450">
        <v>149135.87</v>
      </c>
      <c r="BC113" s="450">
        <v>183577.5</v>
      </c>
      <c r="BD113" s="450">
        <v>33229.55</v>
      </c>
      <c r="BE113" s="450">
        <v>33441.82</v>
      </c>
      <c r="BF113" s="450">
        <v>0.0</v>
      </c>
      <c r="BG113" s="450">
        <v>0.0</v>
      </c>
      <c r="BH113" s="450">
        <v>0.0</v>
      </c>
      <c r="BI113" s="450">
        <v>0.0</v>
      </c>
      <c r="BJ113" s="450">
        <v>0.0</v>
      </c>
      <c r="BK113" s="450">
        <v>0.0</v>
      </c>
      <c r="BL113" s="450">
        <v>0.0</v>
      </c>
      <c r="BM113" s="450">
        <v>0.0</v>
      </c>
      <c r="BN113" s="450">
        <v>0.0</v>
      </c>
      <c r="BO113" s="450">
        <v>0.0</v>
      </c>
      <c r="BP113" s="450">
        <v>0.0</v>
      </c>
      <c r="BQ113" s="450">
        <v>0.0</v>
      </c>
      <c r="BR113" s="450">
        <v>0.0</v>
      </c>
      <c r="BS113" s="615" t="str">
        <f t="array" ref="BS113">XLOOKUP(D113,'PL TOTAL XP'!A:A,'PL TOTAL XP'!C:C,"0")</f>
        <v>0</v>
      </c>
      <c r="BT113" s="616"/>
    </row>
    <row r="114" ht="15.75" customHeight="1">
      <c r="A114" s="183" t="s">
        <v>3820</v>
      </c>
      <c r="B114" s="78" t="s">
        <v>687</v>
      </c>
      <c r="C114" s="617" t="s">
        <v>685</v>
      </c>
      <c r="D114" s="522">
        <v>4413613.0</v>
      </c>
      <c r="E114" s="512" t="s">
        <v>105</v>
      </c>
      <c r="F114" s="512" t="s">
        <v>29</v>
      </c>
      <c r="G114" s="512" t="s">
        <v>3993</v>
      </c>
      <c r="H114" s="512" t="str">
        <f>IFERROR(VLOOKUP(G114,'Cadastro de assessores'!A:B,2,FALSE),"Não Cadastrado")</f>
        <v>16459</v>
      </c>
      <c r="I114" s="512"/>
      <c r="J114" s="51" t="s">
        <v>3823</v>
      </c>
      <c r="K114" s="512" t="s">
        <v>107</v>
      </c>
      <c r="L114" s="610">
        <v>44071.0</v>
      </c>
      <c r="M114" s="610">
        <v>44071.0</v>
      </c>
      <c r="N114" s="566"/>
      <c r="O114" s="566" t="s">
        <v>3824</v>
      </c>
      <c r="P114" s="612">
        <v>0.02</v>
      </c>
      <c r="Q114" s="652"/>
      <c r="R114" s="613"/>
      <c r="S114" s="522" t="str">
        <f t="shared" si="12"/>
        <v>Não Qualificado</v>
      </c>
      <c r="T114" s="522" t="s">
        <v>108</v>
      </c>
      <c r="U114" s="522" t="s">
        <v>2623</v>
      </c>
      <c r="V114" s="522" t="s">
        <v>29</v>
      </c>
      <c r="W114" s="614"/>
      <c r="X114" s="614"/>
      <c r="Y114" s="614"/>
      <c r="Z114" s="614"/>
      <c r="AA114" s="614"/>
      <c r="AB114" s="614"/>
      <c r="AC114" s="614"/>
      <c r="AD114" s="614"/>
      <c r="AE114" s="614"/>
      <c r="AF114" s="614"/>
      <c r="AG114" s="614"/>
      <c r="AH114" s="614"/>
      <c r="AI114" s="614" t="s">
        <v>4179</v>
      </c>
      <c r="AJ114" s="614"/>
      <c r="AK114" s="450"/>
      <c r="AL114" s="450"/>
      <c r="AM114" s="450">
        <v>287823.86</v>
      </c>
      <c r="AN114" s="450">
        <v>289663.98</v>
      </c>
      <c r="AO114" s="450">
        <v>303410.88</v>
      </c>
      <c r="AP114" s="450">
        <v>305860.42</v>
      </c>
      <c r="AQ114" s="450">
        <v>303996.87</v>
      </c>
      <c r="AR114" s="450">
        <v>314873.72</v>
      </c>
      <c r="AS114" s="450">
        <v>309652.3</v>
      </c>
      <c r="AT114" s="450">
        <v>300037.81</v>
      </c>
      <c r="AU114" s="450">
        <v>297710.19</v>
      </c>
      <c r="AV114" s="450">
        <v>288150.76</v>
      </c>
      <c r="AW114" s="450">
        <v>273520.02</v>
      </c>
      <c r="AX114" s="450">
        <v>272465.67</v>
      </c>
      <c r="AY114" s="450">
        <v>191637.52</v>
      </c>
      <c r="AZ114" s="450">
        <v>205049.18</v>
      </c>
      <c r="BA114" s="450">
        <v>207130.98</v>
      </c>
      <c r="BB114" s="450">
        <v>221509.76</v>
      </c>
      <c r="BC114" s="450">
        <v>156707.61</v>
      </c>
      <c r="BD114" s="450">
        <v>208209.16</v>
      </c>
      <c r="BE114" s="450">
        <v>200274.56</v>
      </c>
      <c r="BF114" s="450">
        <v>210463.69</v>
      </c>
      <c r="BG114" s="450">
        <v>215961.7895</v>
      </c>
      <c r="BH114" s="450">
        <v>213416.11</v>
      </c>
      <c r="BI114" s="450">
        <v>230135.22</v>
      </c>
      <c r="BJ114" s="450">
        <v>227576.03</v>
      </c>
      <c r="BK114" s="450">
        <v>228179.9</v>
      </c>
      <c r="BL114" s="450">
        <v>227388.77</v>
      </c>
      <c r="BM114" s="450">
        <v>69546.0</v>
      </c>
      <c r="BN114" s="450">
        <v>51227.05</v>
      </c>
      <c r="BO114" s="450">
        <v>50813.61</v>
      </c>
      <c r="BP114" s="450">
        <v>0.0</v>
      </c>
      <c r="BQ114" s="450">
        <v>0.0</v>
      </c>
      <c r="BR114" s="450">
        <v>0.0</v>
      </c>
      <c r="BS114" s="615" t="str">
        <f t="array" ref="BS114">XLOOKUP(D114,'PL TOTAL XP'!A:A,'PL TOTAL XP'!C:C,"0")</f>
        <v>0</v>
      </c>
      <c r="BT114" s="616"/>
    </row>
    <row r="115" ht="15.75" customHeight="1">
      <c r="A115" s="183" t="s">
        <v>3820</v>
      </c>
      <c r="B115" s="78" t="s">
        <v>4180</v>
      </c>
      <c r="C115" s="564" t="s">
        <v>4181</v>
      </c>
      <c r="D115" s="635">
        <v>7991210.0</v>
      </c>
      <c r="E115" s="511" t="s">
        <v>18</v>
      </c>
      <c r="F115" s="511" t="s">
        <v>29</v>
      </c>
      <c r="G115" s="522" t="s">
        <v>60</v>
      </c>
      <c r="H115" s="522">
        <f>IFERROR(VLOOKUP(G115,'Cadastro de assessores'!A:B,2,FALSE),"Não Cadastrado")</f>
        <v>12332</v>
      </c>
      <c r="I115" s="522"/>
      <c r="J115" s="51" t="s">
        <v>186</v>
      </c>
      <c r="K115" s="522" t="s">
        <v>2563</v>
      </c>
      <c r="L115" s="619">
        <v>44613.0</v>
      </c>
      <c r="M115" s="619">
        <v>44613.0</v>
      </c>
      <c r="N115" s="619">
        <v>44711.0</v>
      </c>
      <c r="O115" s="522" t="s">
        <v>3834</v>
      </c>
      <c r="P115" s="568">
        <v>0.007</v>
      </c>
      <c r="Q115" s="224" t="s">
        <v>4182</v>
      </c>
      <c r="R115" s="613"/>
      <c r="S115" s="522" t="str">
        <f t="shared" si="12"/>
        <v>Não Qualificado</v>
      </c>
      <c r="T115" s="511" t="s">
        <v>108</v>
      </c>
      <c r="U115" s="511"/>
      <c r="V115" s="511" t="s">
        <v>2600</v>
      </c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50"/>
      <c r="AM115" s="450"/>
      <c r="AN115" s="450"/>
      <c r="AO115" s="450"/>
      <c r="AP115" s="450"/>
      <c r="AQ115" s="450"/>
      <c r="AR115" s="450"/>
      <c r="AS115" s="450"/>
      <c r="AT115" s="450"/>
      <c r="AU115" s="450"/>
      <c r="AV115" s="450"/>
      <c r="AW115" s="450"/>
      <c r="AX115" s="450"/>
      <c r="AY115" s="450"/>
      <c r="AZ115" s="450"/>
      <c r="BA115" s="450">
        <v>15022.58</v>
      </c>
      <c r="BB115" s="450">
        <v>15167.26</v>
      </c>
      <c r="BC115" s="450">
        <v>339789.54</v>
      </c>
      <c r="BD115" s="450">
        <v>5.75</v>
      </c>
      <c r="BE115" s="450" t="s">
        <v>2566</v>
      </c>
      <c r="BF115" s="450">
        <v>0.0</v>
      </c>
      <c r="BG115" s="450">
        <v>0.0</v>
      </c>
      <c r="BH115" s="450">
        <v>0.0</v>
      </c>
      <c r="BI115" s="450">
        <v>0.0</v>
      </c>
      <c r="BJ115" s="450">
        <v>0.0</v>
      </c>
      <c r="BK115" s="450">
        <v>0.0</v>
      </c>
      <c r="BL115" s="450">
        <v>0.0</v>
      </c>
      <c r="BM115" s="450">
        <v>0.0</v>
      </c>
      <c r="BN115" s="450">
        <v>0.0</v>
      </c>
      <c r="BO115" s="450">
        <v>0.0</v>
      </c>
      <c r="BP115" s="450">
        <v>0.0</v>
      </c>
      <c r="BQ115" s="450">
        <v>0.0</v>
      </c>
      <c r="BR115" s="450">
        <v>0.0</v>
      </c>
      <c r="BS115" s="615" t="str">
        <f t="array" ref="BS115">XLOOKUP(D115,'PL TOTAL XP'!A:A,'PL TOTAL XP'!C:C,"0")</f>
        <v>0</v>
      </c>
      <c r="BT115" s="616"/>
    </row>
    <row r="116" ht="15.75" customHeight="1">
      <c r="A116" s="183" t="s">
        <v>3820</v>
      </c>
      <c r="B116" s="78" t="s">
        <v>4183</v>
      </c>
      <c r="C116" s="564" t="s">
        <v>4184</v>
      </c>
      <c r="D116" s="566">
        <v>5182986.0</v>
      </c>
      <c r="E116" s="512" t="s">
        <v>18</v>
      </c>
      <c r="F116" s="512" t="s">
        <v>29</v>
      </c>
      <c r="G116" s="512" t="s">
        <v>4185</v>
      </c>
      <c r="H116" s="512" t="str">
        <f>IFERROR(VLOOKUP(G116,'Cadastro de assessores'!A:B,2,FALSE),"Não Cadastrado")</f>
        <v>13363</v>
      </c>
      <c r="I116" s="512"/>
      <c r="J116" s="51" t="s">
        <v>3823</v>
      </c>
      <c r="K116" s="522" t="s">
        <v>147</v>
      </c>
      <c r="L116" s="610">
        <v>44298.0</v>
      </c>
      <c r="M116" s="610">
        <v>44305.0</v>
      </c>
      <c r="N116" s="522"/>
      <c r="O116" s="522" t="s">
        <v>3840</v>
      </c>
      <c r="P116" s="568">
        <v>0.025</v>
      </c>
      <c r="Q116" s="224"/>
      <c r="R116" s="613"/>
      <c r="S116" s="522" t="str">
        <f t="shared" si="12"/>
        <v>Não Qualificado</v>
      </c>
      <c r="T116" s="511" t="s">
        <v>108</v>
      </c>
      <c r="U116" s="511" t="s">
        <v>2591</v>
      </c>
      <c r="V116" s="511" t="s">
        <v>29</v>
      </c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50"/>
      <c r="AM116" s="450"/>
      <c r="AN116" s="450"/>
      <c r="AO116" s="450"/>
      <c r="AP116" s="450">
        <v>174861.59</v>
      </c>
      <c r="AQ116" s="450">
        <v>172898.11</v>
      </c>
      <c r="AR116" s="450">
        <v>182704.69</v>
      </c>
      <c r="AS116" s="450">
        <v>178534.1</v>
      </c>
      <c r="AT116" s="450">
        <v>169129.47</v>
      </c>
      <c r="AU116" s="450">
        <v>2522.5</v>
      </c>
      <c r="AV116" s="450"/>
      <c r="AW116" s="450">
        <v>739.14</v>
      </c>
      <c r="AX116" s="450">
        <v>737.74</v>
      </c>
      <c r="AY116" s="450">
        <v>673.95</v>
      </c>
      <c r="AZ116" s="450">
        <v>66.12</v>
      </c>
      <c r="BA116" s="450">
        <v>65.93</v>
      </c>
      <c r="BB116" s="450">
        <v>65.71</v>
      </c>
      <c r="BC116" s="450">
        <v>211752.69</v>
      </c>
      <c r="BD116" s="450">
        <v>71.28</v>
      </c>
      <c r="BE116" s="450">
        <v>71.28</v>
      </c>
      <c r="BF116" s="450">
        <v>71.28</v>
      </c>
      <c r="BG116" s="450">
        <v>71.28</v>
      </c>
      <c r="BH116" s="450">
        <v>71.28</v>
      </c>
      <c r="BI116" s="450">
        <v>0.0</v>
      </c>
      <c r="BJ116" s="450">
        <v>0.0</v>
      </c>
      <c r="BK116" s="450">
        <v>0.0</v>
      </c>
      <c r="BL116" s="450">
        <v>0.0</v>
      </c>
      <c r="BM116" s="450">
        <v>0.0</v>
      </c>
      <c r="BN116" s="450">
        <v>0.0</v>
      </c>
      <c r="BO116" s="450">
        <v>0.0</v>
      </c>
      <c r="BP116" s="450">
        <v>0.0</v>
      </c>
      <c r="BQ116" s="450">
        <v>0.0</v>
      </c>
      <c r="BR116" s="450">
        <v>0.0</v>
      </c>
      <c r="BS116" s="615">
        <f t="array" ref="BS116">XLOOKUP(D116,'PL TOTAL XP'!A:A,'PL TOTAL XP'!C:C,"0")</f>
        <v>0</v>
      </c>
      <c r="BT116" s="616"/>
    </row>
    <row r="117" ht="15.75" customHeight="1">
      <c r="A117" s="183" t="s">
        <v>3820</v>
      </c>
      <c r="B117" s="78" t="s">
        <v>4186</v>
      </c>
      <c r="C117" s="564" t="s">
        <v>4187</v>
      </c>
      <c r="D117" s="566">
        <v>2735065.0</v>
      </c>
      <c r="E117" s="522" t="s">
        <v>18</v>
      </c>
      <c r="F117" s="511" t="s">
        <v>29</v>
      </c>
      <c r="G117" s="511" t="s">
        <v>3708</v>
      </c>
      <c r="H117" s="511" t="str">
        <f>IFERROR(VLOOKUP(G117,'Cadastro de assessores'!A:B,2,FALSE),"Não Cadastrado")</f>
        <v>18266</v>
      </c>
      <c r="I117" s="511"/>
      <c r="J117" s="51" t="s">
        <v>186</v>
      </c>
      <c r="K117" s="522" t="s">
        <v>2563</v>
      </c>
      <c r="L117" s="619">
        <v>44365.0</v>
      </c>
      <c r="M117" s="619">
        <v>44365.0</v>
      </c>
      <c r="N117" s="567">
        <v>44641.0</v>
      </c>
      <c r="O117" s="566" t="s">
        <v>3869</v>
      </c>
      <c r="P117" s="568">
        <v>0.008</v>
      </c>
      <c r="Q117" s="224" t="s">
        <v>4188</v>
      </c>
      <c r="R117" s="613"/>
      <c r="S117" s="522" t="str">
        <f t="shared" si="12"/>
        <v/>
      </c>
      <c r="T117" s="522" t="s">
        <v>108</v>
      </c>
      <c r="U117" s="522" t="s">
        <v>2664</v>
      </c>
      <c r="V117" s="511" t="s">
        <v>791</v>
      </c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50"/>
      <c r="AK117" s="450"/>
      <c r="AL117" s="450"/>
      <c r="AM117" s="450"/>
      <c r="AN117" s="450"/>
      <c r="AO117" s="450"/>
      <c r="AP117" s="450"/>
      <c r="AQ117" s="450"/>
      <c r="AR117" s="468"/>
      <c r="AS117" s="450">
        <v>102001.37</v>
      </c>
      <c r="AT117" s="450">
        <v>96568.92</v>
      </c>
      <c r="AU117" s="450">
        <v>94310.87</v>
      </c>
      <c r="AV117" s="450">
        <v>89024.75</v>
      </c>
      <c r="AW117" s="450">
        <v>91265.06</v>
      </c>
      <c r="AX117" s="450">
        <v>90022.02</v>
      </c>
      <c r="AY117" s="450">
        <v>92037.89</v>
      </c>
      <c r="AZ117" s="450">
        <v>97589.94</v>
      </c>
      <c r="BA117" s="450">
        <v>99213.24</v>
      </c>
      <c r="BB117" s="450">
        <v>0.0</v>
      </c>
      <c r="BC117" s="450"/>
      <c r="BD117" s="450" t="s">
        <v>2566</v>
      </c>
      <c r="BE117" s="450" t="s">
        <v>2566</v>
      </c>
      <c r="BF117" s="450">
        <v>0.0</v>
      </c>
      <c r="BG117" s="450">
        <v>0.0</v>
      </c>
      <c r="BH117" s="450">
        <v>0.0</v>
      </c>
      <c r="BI117" s="450">
        <v>0.0</v>
      </c>
      <c r="BJ117" s="450">
        <v>0.0</v>
      </c>
      <c r="BK117" s="450">
        <v>0.0</v>
      </c>
      <c r="BL117" s="450">
        <v>0.0</v>
      </c>
      <c r="BM117" s="450">
        <v>0.0</v>
      </c>
      <c r="BN117" s="450">
        <v>0.0</v>
      </c>
      <c r="BO117" s="450">
        <v>0.0</v>
      </c>
      <c r="BP117" s="450">
        <v>0.0</v>
      </c>
      <c r="BQ117" s="450">
        <v>0.0</v>
      </c>
      <c r="BR117" s="450">
        <v>0.0</v>
      </c>
      <c r="BS117" s="615" t="str">
        <f t="array" ref="BS117">XLOOKUP(D117,'PL TOTAL XP'!A:A,'PL TOTAL XP'!C:C,"0")</f>
        <v>0</v>
      </c>
      <c r="BT117" s="616"/>
    </row>
    <row r="118" ht="15.75" customHeight="1">
      <c r="A118" s="183" t="s">
        <v>3820</v>
      </c>
      <c r="B118" s="78" t="s">
        <v>695</v>
      </c>
      <c r="C118" s="564" t="s">
        <v>691</v>
      </c>
      <c r="D118" s="566">
        <v>2889018.0</v>
      </c>
      <c r="E118" s="512" t="s">
        <v>18</v>
      </c>
      <c r="F118" s="512" t="s">
        <v>29</v>
      </c>
      <c r="G118" s="512" t="s">
        <v>60</v>
      </c>
      <c r="H118" s="512">
        <f>IFERROR(VLOOKUP(G118,'Cadastro de assessores'!A:B,2,FALSE),"Não Cadastrado")</f>
        <v>12332</v>
      </c>
      <c r="I118" s="512"/>
      <c r="J118" s="46" t="s">
        <v>107</v>
      </c>
      <c r="K118" s="512" t="s">
        <v>107</v>
      </c>
      <c r="L118" s="610">
        <v>44421.0</v>
      </c>
      <c r="M118" s="610">
        <v>44421.0</v>
      </c>
      <c r="N118" s="522"/>
      <c r="O118" s="522" t="s">
        <v>3828</v>
      </c>
      <c r="P118" s="629">
        <v>0.015</v>
      </c>
      <c r="Q118" s="653" t="s">
        <v>4189</v>
      </c>
      <c r="R118" s="613"/>
      <c r="S118" s="522" t="str">
        <f t="shared" si="12"/>
        <v>Não Qualificado</v>
      </c>
      <c r="T118" s="522" t="s">
        <v>108</v>
      </c>
      <c r="U118" s="522" t="s">
        <v>2602</v>
      </c>
      <c r="V118" s="522" t="s">
        <v>29</v>
      </c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614"/>
      <c r="AI118" s="614"/>
      <c r="AJ118" s="450"/>
      <c r="AK118" s="450"/>
      <c r="AL118" s="450"/>
      <c r="AM118" s="450"/>
      <c r="AN118" s="450"/>
      <c r="AO118" s="450"/>
      <c r="AP118" s="450"/>
      <c r="AQ118" s="450"/>
      <c r="AR118" s="450"/>
      <c r="AS118" s="450"/>
      <c r="AT118" s="449"/>
      <c r="AU118" s="449">
        <v>264001.73</v>
      </c>
      <c r="AV118" s="450">
        <v>259779.72</v>
      </c>
      <c r="AW118" s="450">
        <v>251656.46</v>
      </c>
      <c r="AX118" s="450">
        <v>251405.93</v>
      </c>
      <c r="AY118" s="450">
        <v>254148.06</v>
      </c>
      <c r="AZ118" s="450">
        <v>261006.53</v>
      </c>
      <c r="BA118" s="450">
        <v>263078.22</v>
      </c>
      <c r="BB118" s="450">
        <v>271535.97</v>
      </c>
      <c r="BC118" s="450">
        <v>318984.18</v>
      </c>
      <c r="BD118" s="450">
        <v>268094.95</v>
      </c>
      <c r="BE118" s="450">
        <v>267366.73</v>
      </c>
      <c r="BF118" s="450">
        <v>272016.51</v>
      </c>
      <c r="BG118" s="450">
        <v>274431.0708</v>
      </c>
      <c r="BH118" s="450">
        <v>301066.87</v>
      </c>
      <c r="BI118" s="450">
        <v>309662.34</v>
      </c>
      <c r="BJ118" s="450">
        <v>308364.0</v>
      </c>
      <c r="BK118" s="450">
        <v>310383.08</v>
      </c>
      <c r="BL118" s="450">
        <v>313506.71</v>
      </c>
      <c r="BM118" s="450">
        <v>315617.22</v>
      </c>
      <c r="BN118" s="450">
        <v>313060.22</v>
      </c>
      <c r="BO118" s="450">
        <v>315528.63</v>
      </c>
      <c r="BP118" s="450">
        <v>42296.52</v>
      </c>
      <c r="BQ118" s="450">
        <v>42597.99</v>
      </c>
      <c r="BR118" s="450">
        <v>42937.22</v>
      </c>
      <c r="BS118" s="615">
        <f t="array" ref="BS118">XLOOKUP(D118,'PL TOTAL XP'!A:A,'PL TOTAL XP'!C:C,"0")</f>
        <v>21397.62</v>
      </c>
      <c r="BT118" s="616"/>
    </row>
    <row r="119" ht="15.75" customHeight="1">
      <c r="A119" s="183" t="s">
        <v>3820</v>
      </c>
      <c r="B119" s="78" t="s">
        <v>4190</v>
      </c>
      <c r="C119" s="564" t="s">
        <v>4191</v>
      </c>
      <c r="D119" s="609">
        <v>4089984.0</v>
      </c>
      <c r="E119" s="512" t="s">
        <v>18</v>
      </c>
      <c r="F119" s="609" t="s">
        <v>19</v>
      </c>
      <c r="G119" s="512" t="s">
        <v>256</v>
      </c>
      <c r="H119" s="609" t="str">
        <f>IFERROR(VLOOKUP(G119,'Cadastro de assessores'!A:B,2,FALSE),"Não Cadastrado")</f>
        <v>18009</v>
      </c>
      <c r="I119" s="609"/>
      <c r="J119" s="46" t="s">
        <v>107</v>
      </c>
      <c r="K119" s="512" t="s">
        <v>107</v>
      </c>
      <c r="L119" s="610">
        <v>44341.0</v>
      </c>
      <c r="M119" s="610">
        <v>44357.0</v>
      </c>
      <c r="N119" s="522"/>
      <c r="O119" s="522" t="s">
        <v>3840</v>
      </c>
      <c r="P119" s="568">
        <v>0.025</v>
      </c>
      <c r="Q119" s="224" t="s">
        <v>4192</v>
      </c>
      <c r="R119" s="613"/>
      <c r="S119" s="522" t="str">
        <f t="shared" si="12"/>
        <v/>
      </c>
      <c r="T119" s="522" t="s">
        <v>108</v>
      </c>
      <c r="U119" s="522" t="s">
        <v>4112</v>
      </c>
      <c r="V119" s="566" t="s">
        <v>152</v>
      </c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50"/>
      <c r="AL119" s="450"/>
      <c r="AM119" s="450"/>
      <c r="AN119" s="450"/>
      <c r="AO119" s="450"/>
      <c r="AP119" s="450"/>
      <c r="AQ119" s="450"/>
      <c r="AR119" s="468"/>
      <c r="AS119" s="450">
        <v>48457.63</v>
      </c>
      <c r="AT119" s="450">
        <v>45856.11</v>
      </c>
      <c r="AU119" s="450">
        <v>44757.41</v>
      </c>
      <c r="AV119" s="450">
        <v>42247.43</v>
      </c>
      <c r="AW119" s="450">
        <v>38916.44</v>
      </c>
      <c r="AX119" s="450">
        <v>38458.23</v>
      </c>
      <c r="AY119" s="450">
        <v>39130.4</v>
      </c>
      <c r="AZ119" s="450">
        <v>41464.34</v>
      </c>
      <c r="BA119" s="450">
        <v>42115.96</v>
      </c>
      <c r="BB119" s="450">
        <v>44636.38</v>
      </c>
      <c r="BC119" s="450"/>
      <c r="BD119" s="450">
        <v>42198.71</v>
      </c>
      <c r="BE119" s="450">
        <v>40171.23</v>
      </c>
      <c r="BF119" s="450">
        <v>42279.81</v>
      </c>
      <c r="BG119" s="450">
        <v>42962.26</v>
      </c>
      <c r="BH119" s="450">
        <v>42701.87</v>
      </c>
      <c r="BI119" s="450">
        <v>46343.25</v>
      </c>
      <c r="BJ119" s="450">
        <v>44809.06</v>
      </c>
      <c r="BK119" s="450">
        <v>44263.79</v>
      </c>
      <c r="BL119" s="450">
        <v>44851.83</v>
      </c>
      <c r="BM119" s="450">
        <v>43227.93</v>
      </c>
      <c r="BN119" s="450">
        <v>42893.99</v>
      </c>
      <c r="BO119" s="450">
        <v>42559.62</v>
      </c>
      <c r="BP119" s="450">
        <v>43605.36</v>
      </c>
      <c r="BQ119" s="450">
        <v>45407.63</v>
      </c>
      <c r="BR119" s="450">
        <v>46874.37</v>
      </c>
      <c r="BS119" s="615">
        <f t="array" ref="BS119">XLOOKUP(D119,'PL TOTAL XP'!A:A,'PL TOTAL XP'!C:C,"0")</f>
        <v>46939.69</v>
      </c>
      <c r="BT119" s="616"/>
    </row>
    <row r="120" ht="15.75" customHeight="1">
      <c r="A120" s="183" t="s">
        <v>3820</v>
      </c>
      <c r="B120" s="78" t="s">
        <v>4193</v>
      </c>
      <c r="C120" s="564" t="s">
        <v>4194</v>
      </c>
      <c r="D120" s="566">
        <v>5635853.0</v>
      </c>
      <c r="E120" s="512" t="s">
        <v>2550</v>
      </c>
      <c r="F120" s="609" t="s">
        <v>29</v>
      </c>
      <c r="G120" s="609" t="s">
        <v>2550</v>
      </c>
      <c r="H120" s="609" t="str">
        <f>IFERROR(VLOOKUP(G120,'Cadastro de assessores'!A:B,2,FALSE),"Não Cadastrado")</f>
        <v>18986</v>
      </c>
      <c r="I120" s="609"/>
      <c r="J120" s="51" t="s">
        <v>3823</v>
      </c>
      <c r="K120" s="522" t="s">
        <v>147</v>
      </c>
      <c r="L120" s="610">
        <v>44368.0</v>
      </c>
      <c r="M120" s="610">
        <v>44368.0</v>
      </c>
      <c r="N120" s="522"/>
      <c r="O120" s="522" t="s">
        <v>3828</v>
      </c>
      <c r="P120" s="629">
        <v>0.015</v>
      </c>
      <c r="Q120" s="224"/>
      <c r="R120" s="613"/>
      <c r="S120" s="522" t="str">
        <f t="shared" si="12"/>
        <v/>
      </c>
      <c r="T120" s="522" t="s">
        <v>108</v>
      </c>
      <c r="U120" s="522" t="s">
        <v>4095</v>
      </c>
      <c r="V120" s="566" t="s">
        <v>19</v>
      </c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50"/>
      <c r="AK120" s="450"/>
      <c r="AL120" s="450"/>
      <c r="AM120" s="450"/>
      <c r="AN120" s="450"/>
      <c r="AO120" s="450"/>
      <c r="AP120" s="450"/>
      <c r="AQ120" s="450"/>
      <c r="AR120" s="468"/>
      <c r="AS120" s="450">
        <v>29686.82</v>
      </c>
      <c r="AT120" s="450">
        <v>29127.62</v>
      </c>
      <c r="AU120" s="450">
        <v>87.13</v>
      </c>
      <c r="AV120" s="450">
        <v>79.54</v>
      </c>
      <c r="AW120" s="450">
        <v>86.67</v>
      </c>
      <c r="AX120" s="450">
        <v>86.47</v>
      </c>
      <c r="AY120" s="450">
        <v>6.89</v>
      </c>
      <c r="AZ120" s="450">
        <v>6.89</v>
      </c>
      <c r="BA120" s="450">
        <v>6.89</v>
      </c>
      <c r="BB120" s="450">
        <v>6.89</v>
      </c>
      <c r="BC120" s="450"/>
      <c r="BD120" s="450">
        <v>7.54</v>
      </c>
      <c r="BE120" s="450">
        <v>7.54</v>
      </c>
      <c r="BF120" s="450">
        <v>7.54</v>
      </c>
      <c r="BG120" s="450">
        <v>7.54</v>
      </c>
      <c r="BH120" s="450">
        <v>7.54</v>
      </c>
      <c r="BI120" s="450">
        <v>7.54</v>
      </c>
      <c r="BJ120" s="450">
        <v>7.54</v>
      </c>
      <c r="BK120" s="450">
        <v>7.54</v>
      </c>
      <c r="BL120" s="450">
        <v>7.54</v>
      </c>
      <c r="BM120" s="450">
        <v>7.54</v>
      </c>
      <c r="BN120" s="450">
        <v>7.54</v>
      </c>
      <c r="BO120" s="450">
        <v>7.54</v>
      </c>
      <c r="BP120" s="450">
        <v>7.54</v>
      </c>
      <c r="BQ120" s="450">
        <v>7.54</v>
      </c>
      <c r="BR120" s="450">
        <v>7.54</v>
      </c>
      <c r="BS120" s="615">
        <f t="array" ref="BS120">XLOOKUP(D120,'PL TOTAL XP'!A:A,'PL TOTAL XP'!C:C,"0")</f>
        <v>0</v>
      </c>
      <c r="BT120" s="616"/>
    </row>
    <row r="121" ht="15.75" customHeight="1">
      <c r="A121" s="183" t="s">
        <v>3820</v>
      </c>
      <c r="B121" s="78" t="s">
        <v>699</v>
      </c>
      <c r="C121" s="564" t="s">
        <v>696</v>
      </c>
      <c r="D121" s="623">
        <v>5891073.0</v>
      </c>
      <c r="E121" s="512" t="s">
        <v>105</v>
      </c>
      <c r="F121" s="512" t="s">
        <v>29</v>
      </c>
      <c r="G121" s="512" t="s">
        <v>3887</v>
      </c>
      <c r="H121" s="512" t="str">
        <f>IFERROR(VLOOKUP(G121,'Cadastro de assessores'!A:B,2,FALSE),"Não Cadastrado")</f>
        <v>1298</v>
      </c>
      <c r="I121" s="512"/>
      <c r="J121" s="51" t="s">
        <v>3823</v>
      </c>
      <c r="K121" s="522" t="s">
        <v>147</v>
      </c>
      <c r="L121" s="512" t="s">
        <v>2600</v>
      </c>
      <c r="M121" s="512" t="s">
        <v>2599</v>
      </c>
      <c r="N121" s="566"/>
      <c r="O121" s="566" t="s">
        <v>3834</v>
      </c>
      <c r="P121" s="612">
        <v>0.007</v>
      </c>
      <c r="Q121" s="224" t="s">
        <v>4195</v>
      </c>
      <c r="R121" s="613"/>
      <c r="S121" s="522" t="str">
        <f t="shared" si="12"/>
        <v/>
      </c>
      <c r="T121" s="522" t="s">
        <v>108</v>
      </c>
      <c r="U121" s="522" t="s">
        <v>2942</v>
      </c>
      <c r="V121" s="522" t="s">
        <v>29</v>
      </c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614"/>
      <c r="AH121" s="614"/>
      <c r="AI121" s="450"/>
      <c r="AJ121" s="450"/>
      <c r="AK121" s="450"/>
      <c r="AL121" s="450"/>
      <c r="AM121" s="450"/>
      <c r="AN121" s="450"/>
      <c r="AO121" s="450"/>
      <c r="AP121" s="450"/>
      <c r="AQ121" s="450"/>
      <c r="AR121" s="450"/>
      <c r="AS121" s="449"/>
      <c r="AT121" s="449"/>
      <c r="AU121" s="468"/>
      <c r="AV121" s="450"/>
      <c r="AW121" s="450"/>
      <c r="AX121" s="450"/>
      <c r="AY121" s="450"/>
      <c r="AZ121" s="450"/>
      <c r="BA121" s="450"/>
      <c r="BB121" s="450"/>
      <c r="BC121" s="450"/>
      <c r="BD121" s="450" t="s">
        <v>2566</v>
      </c>
      <c r="BE121" s="450" t="s">
        <v>2566</v>
      </c>
      <c r="BF121" s="450">
        <v>0.0</v>
      </c>
      <c r="BG121" s="450">
        <v>0.0</v>
      </c>
      <c r="BH121" s="450">
        <v>0.0</v>
      </c>
      <c r="BI121" s="450">
        <v>0.0</v>
      </c>
      <c r="BJ121" s="450">
        <v>0.0</v>
      </c>
      <c r="BK121" s="450">
        <v>0.0</v>
      </c>
      <c r="BL121" s="450">
        <v>0.0</v>
      </c>
      <c r="BM121" s="450">
        <v>0.0</v>
      </c>
      <c r="BN121" s="450">
        <v>0.0</v>
      </c>
      <c r="BO121" s="450">
        <v>0.0</v>
      </c>
      <c r="BP121" s="450">
        <v>0.0</v>
      </c>
      <c r="BQ121" s="450">
        <v>0.0</v>
      </c>
      <c r="BR121" s="450">
        <v>0.0</v>
      </c>
      <c r="BS121" s="615" t="str">
        <f t="array" ref="BS121">XLOOKUP(D121,'PL TOTAL XP'!A:A,'PL TOTAL XP'!C:C,"0")</f>
        <v>0</v>
      </c>
      <c r="BT121" s="616"/>
    </row>
    <row r="122" ht="15.75" customHeight="1">
      <c r="A122" s="183" t="s">
        <v>3820</v>
      </c>
      <c r="B122" s="78" t="s">
        <v>699</v>
      </c>
      <c r="C122" s="617" t="s">
        <v>696</v>
      </c>
      <c r="D122" s="522">
        <v>4556454.0</v>
      </c>
      <c r="E122" s="512" t="s">
        <v>105</v>
      </c>
      <c r="F122" s="512" t="s">
        <v>29</v>
      </c>
      <c r="G122" s="512" t="s">
        <v>3887</v>
      </c>
      <c r="H122" s="512" t="str">
        <f>IFERROR(VLOOKUP(G122,'Cadastro de assessores'!A:B,2,FALSE),"Não Cadastrado")</f>
        <v>1298</v>
      </c>
      <c r="I122" s="512"/>
      <c r="J122" s="51" t="s">
        <v>3823</v>
      </c>
      <c r="K122" s="512" t="s">
        <v>107</v>
      </c>
      <c r="L122" s="611">
        <v>44151.0</v>
      </c>
      <c r="M122" s="611">
        <v>44151.0</v>
      </c>
      <c r="N122" s="566"/>
      <c r="O122" s="566" t="s">
        <v>3824</v>
      </c>
      <c r="P122" s="612">
        <v>0.02</v>
      </c>
      <c r="Q122" s="620" t="s">
        <v>4196</v>
      </c>
      <c r="R122" s="613"/>
      <c r="S122" s="522" t="str">
        <f t="shared" si="12"/>
        <v>Não Qualificado</v>
      </c>
      <c r="T122" s="522" t="s">
        <v>108</v>
      </c>
      <c r="U122" s="522" t="s">
        <v>2942</v>
      </c>
      <c r="V122" s="522" t="s">
        <v>29</v>
      </c>
      <c r="W122" s="614" t="s">
        <v>3830</v>
      </c>
      <c r="X122" s="614" t="s">
        <v>3830</v>
      </c>
      <c r="Y122" s="614" t="s">
        <v>3830</v>
      </c>
      <c r="Z122" s="614" t="s">
        <v>3830</v>
      </c>
      <c r="AA122" s="614" t="s">
        <v>3830</v>
      </c>
      <c r="AB122" s="614" t="s">
        <v>3830</v>
      </c>
      <c r="AC122" s="614" t="s">
        <v>3830</v>
      </c>
      <c r="AD122" s="614" t="s">
        <v>3830</v>
      </c>
      <c r="AE122" s="614" t="s">
        <v>3830</v>
      </c>
      <c r="AF122" s="614" t="s">
        <v>3830</v>
      </c>
      <c r="AG122" s="614" t="s">
        <v>3830</v>
      </c>
      <c r="AH122" s="614" t="s">
        <v>3830</v>
      </c>
      <c r="AI122" s="614" t="s">
        <v>3830</v>
      </c>
      <c r="AJ122" s="614" t="s">
        <v>4197</v>
      </c>
      <c r="AK122" s="450">
        <v>336299.81</v>
      </c>
      <c r="AL122" s="450">
        <v>331065.92</v>
      </c>
      <c r="AM122" s="450">
        <v>321468.36</v>
      </c>
      <c r="AN122" s="450">
        <v>320444.44</v>
      </c>
      <c r="AO122" s="450">
        <v>332009.36</v>
      </c>
      <c r="AP122" s="450">
        <v>334888.57</v>
      </c>
      <c r="AQ122" s="450">
        <v>332802.05</v>
      </c>
      <c r="AR122" s="450">
        <v>344512.27</v>
      </c>
      <c r="AS122" s="450">
        <v>359657.02</v>
      </c>
      <c r="AT122" s="450">
        <v>348396.46</v>
      </c>
      <c r="AU122" s="450">
        <v>344049.52</v>
      </c>
      <c r="AV122" s="450">
        <v>333405.12</v>
      </c>
      <c r="AW122" s="450">
        <v>316083.96</v>
      </c>
      <c r="AX122" s="450">
        <v>314979.46</v>
      </c>
      <c r="AY122" s="450">
        <v>319987.36</v>
      </c>
      <c r="AZ122" s="450">
        <v>331101.31</v>
      </c>
      <c r="BA122" s="450">
        <v>332641.18</v>
      </c>
      <c r="BB122" s="450">
        <v>496912.47</v>
      </c>
      <c r="BC122" s="450">
        <v>103382.16</v>
      </c>
      <c r="BD122" s="450">
        <v>546198.84</v>
      </c>
      <c r="BE122" s="450">
        <v>543075.41</v>
      </c>
      <c r="BF122" s="450">
        <v>553437.59</v>
      </c>
      <c r="BG122" s="450">
        <v>560440.288</v>
      </c>
      <c r="BH122" s="450">
        <v>561405.55</v>
      </c>
      <c r="BI122" s="450">
        <v>582090.41</v>
      </c>
      <c r="BJ122" s="450">
        <v>583058.2</v>
      </c>
      <c r="BK122" s="450">
        <v>785195.68</v>
      </c>
      <c r="BL122" s="450">
        <v>788354.92</v>
      </c>
      <c r="BM122" s="450">
        <v>786507.98</v>
      </c>
      <c r="BN122" s="450">
        <v>48.52</v>
      </c>
      <c r="BO122" s="450">
        <v>48.52</v>
      </c>
      <c r="BP122" s="450">
        <v>0.0</v>
      </c>
      <c r="BQ122" s="450">
        <v>0.0</v>
      </c>
      <c r="BR122" s="450">
        <v>0.0</v>
      </c>
      <c r="BS122" s="615">
        <f t="array" ref="BS122">XLOOKUP(D122,'PL TOTAL XP'!A:A,'PL TOTAL XP'!C:C,"0")</f>
        <v>0</v>
      </c>
      <c r="BT122" s="616"/>
    </row>
    <row r="123" ht="15.75" customHeight="1">
      <c r="A123" s="183" t="s">
        <v>3820</v>
      </c>
      <c r="B123" s="78" t="s">
        <v>705</v>
      </c>
      <c r="C123" s="564" t="s">
        <v>702</v>
      </c>
      <c r="D123" s="623">
        <v>7772052.0</v>
      </c>
      <c r="E123" s="609" t="s">
        <v>18</v>
      </c>
      <c r="F123" s="609" t="s">
        <v>29</v>
      </c>
      <c r="G123" s="512" t="s">
        <v>704</v>
      </c>
      <c r="H123" s="512" t="str">
        <f>IFERROR(VLOOKUP(G123,'Cadastro de assessores'!A:B,2,FALSE),"Não Cadastrado")</f>
        <v>18467</v>
      </c>
      <c r="I123" s="512"/>
      <c r="J123" s="51" t="s">
        <v>3823</v>
      </c>
      <c r="K123" s="512" t="s">
        <v>107</v>
      </c>
      <c r="L123" s="624">
        <v>44630.0</v>
      </c>
      <c r="M123" s="624">
        <v>44635.0</v>
      </c>
      <c r="N123" s="566"/>
      <c r="O123" s="566" t="s">
        <v>3834</v>
      </c>
      <c r="P123" s="612">
        <v>0.007</v>
      </c>
      <c r="Q123" s="224"/>
      <c r="R123" s="613"/>
      <c r="S123" s="522" t="str">
        <f t="shared" si="12"/>
        <v>Não Qualificado</v>
      </c>
      <c r="T123" s="522" t="s">
        <v>108</v>
      </c>
      <c r="U123" s="522" t="s">
        <v>4198</v>
      </c>
      <c r="V123" s="522" t="s">
        <v>706</v>
      </c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614"/>
      <c r="AH123" s="614"/>
      <c r="AI123" s="450"/>
      <c r="AJ123" s="450"/>
      <c r="AK123" s="450"/>
      <c r="AL123" s="450"/>
      <c r="AM123" s="450"/>
      <c r="AN123" s="450"/>
      <c r="AO123" s="450"/>
      <c r="AP123" s="450"/>
      <c r="AQ123" s="450"/>
      <c r="AR123" s="450"/>
      <c r="AS123" s="449"/>
      <c r="AT123" s="449"/>
      <c r="AU123" s="468"/>
      <c r="AV123" s="450"/>
      <c r="AW123" s="450"/>
      <c r="AX123" s="450"/>
      <c r="AY123" s="450"/>
      <c r="AZ123" s="450"/>
      <c r="BA123" s="450"/>
      <c r="BB123" s="450">
        <v>173236.61</v>
      </c>
      <c r="BC123" s="450">
        <v>50.62</v>
      </c>
      <c r="BD123" s="450">
        <v>-46.33</v>
      </c>
      <c r="BE123" s="450">
        <v>155611.84</v>
      </c>
      <c r="BF123" s="450">
        <v>156410.58</v>
      </c>
      <c r="BG123" s="450">
        <v>158495.0086</v>
      </c>
      <c r="BH123" s="450">
        <v>159662.17</v>
      </c>
      <c r="BI123" s="450">
        <v>160973.04</v>
      </c>
      <c r="BJ123" s="450">
        <v>160921.8</v>
      </c>
      <c r="BK123" s="450">
        <v>162676.57</v>
      </c>
      <c r="BL123" s="450">
        <v>164815.24</v>
      </c>
      <c r="BM123" s="450">
        <v>166647.22</v>
      </c>
      <c r="BN123" s="450">
        <v>169356.89</v>
      </c>
      <c r="BO123" s="450">
        <v>171073.73</v>
      </c>
      <c r="BP123" s="450">
        <v>172294.14</v>
      </c>
      <c r="BQ123" s="450">
        <v>173382.53</v>
      </c>
      <c r="BR123" s="450">
        <v>160.09</v>
      </c>
      <c r="BS123" s="615">
        <f t="array" ref="BS123">XLOOKUP(D123,'PL TOTAL XP'!A:A,'PL TOTAL XP'!C:C,"0")</f>
        <v>0</v>
      </c>
      <c r="BT123" s="616"/>
    </row>
    <row r="124" ht="15.75" customHeight="1">
      <c r="A124" s="183" t="s">
        <v>3820</v>
      </c>
      <c r="B124" s="78" t="s">
        <v>4199</v>
      </c>
      <c r="C124" s="564" t="s">
        <v>4200</v>
      </c>
      <c r="D124" s="623">
        <v>4113513.0</v>
      </c>
      <c r="E124" s="609" t="s">
        <v>105</v>
      </c>
      <c r="F124" s="609" t="s">
        <v>29</v>
      </c>
      <c r="G124" s="512" t="s">
        <v>4201</v>
      </c>
      <c r="H124" s="512">
        <f>IFERROR(VLOOKUP(G124,'Cadastro de assessores'!A:B,2,FALSE),"Não Cadastrado")</f>
        <v>12347</v>
      </c>
      <c r="I124" s="512"/>
      <c r="J124" s="46" t="s">
        <v>107</v>
      </c>
      <c r="K124" s="512" t="s">
        <v>107</v>
      </c>
      <c r="L124" s="624">
        <v>44694.0</v>
      </c>
      <c r="M124" s="624">
        <v>44694.0</v>
      </c>
      <c r="N124" s="566"/>
      <c r="O124" s="566" t="s">
        <v>3836</v>
      </c>
      <c r="P124" s="612">
        <v>0.012</v>
      </c>
      <c r="Q124" s="224"/>
      <c r="R124" s="613"/>
      <c r="S124" s="522" t="str">
        <f t="shared" si="12"/>
        <v/>
      </c>
      <c r="T124" s="522" t="s">
        <v>108</v>
      </c>
      <c r="U124" s="522" t="s">
        <v>2675</v>
      </c>
      <c r="V124" s="522" t="s">
        <v>29</v>
      </c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614"/>
      <c r="AH124" s="614"/>
      <c r="AI124" s="450"/>
      <c r="AJ124" s="450"/>
      <c r="AK124" s="450"/>
      <c r="AL124" s="450"/>
      <c r="AM124" s="450"/>
      <c r="AN124" s="450"/>
      <c r="AO124" s="450"/>
      <c r="AP124" s="450"/>
      <c r="AQ124" s="450"/>
      <c r="AR124" s="450"/>
      <c r="AS124" s="449"/>
      <c r="AT124" s="449"/>
      <c r="AU124" s="468"/>
      <c r="AV124" s="450"/>
      <c r="AW124" s="450"/>
      <c r="AX124" s="450"/>
      <c r="AY124" s="450"/>
      <c r="AZ124" s="450"/>
      <c r="BA124" s="450"/>
      <c r="BB124" s="450"/>
      <c r="BC124" s="450"/>
      <c r="BD124" s="450">
        <v>147557.65</v>
      </c>
      <c r="BE124" s="450">
        <v>126378.35</v>
      </c>
      <c r="BF124" s="450">
        <v>73709.74</v>
      </c>
      <c r="BG124" s="450">
        <v>64487.72768</v>
      </c>
      <c r="BH124" s="450">
        <v>64905.49</v>
      </c>
      <c r="BI124" s="450">
        <v>66853.47</v>
      </c>
      <c r="BJ124" s="450">
        <v>66263.95</v>
      </c>
      <c r="BK124" s="450">
        <v>66721.01</v>
      </c>
      <c r="BL124" s="450">
        <v>67209.04</v>
      </c>
      <c r="BM124" s="450">
        <v>67401.64</v>
      </c>
      <c r="BN124" s="450">
        <v>41455.74</v>
      </c>
      <c r="BO124" s="450">
        <v>50254.31</v>
      </c>
      <c r="BP124" s="450">
        <v>50784.3</v>
      </c>
      <c r="BQ124" s="450">
        <v>51240.61</v>
      </c>
      <c r="BR124" s="450">
        <v>51739.23</v>
      </c>
      <c r="BS124" s="615">
        <f t="array" ref="BS124">XLOOKUP(D124,'PL TOTAL XP'!A:A,'PL TOTAL XP'!C:C,"0")</f>
        <v>55084.64</v>
      </c>
      <c r="BT124" s="616"/>
    </row>
    <row r="125" ht="15.75" customHeight="1">
      <c r="A125" s="183" t="s">
        <v>3820</v>
      </c>
      <c r="B125" s="78" t="s">
        <v>717</v>
      </c>
      <c r="C125" s="564" t="s">
        <v>4202</v>
      </c>
      <c r="D125" s="566">
        <v>6456590.0</v>
      </c>
      <c r="E125" s="512" t="s">
        <v>18</v>
      </c>
      <c r="F125" s="609" t="s">
        <v>29</v>
      </c>
      <c r="G125" s="512" t="s">
        <v>704</v>
      </c>
      <c r="H125" s="512" t="str">
        <f>IFERROR(VLOOKUP(G125,'Cadastro de assessores'!A:B,2,FALSE),"Não Cadastrado")</f>
        <v>18467</v>
      </c>
      <c r="I125" s="512"/>
      <c r="J125" s="46" t="s">
        <v>107</v>
      </c>
      <c r="K125" s="512" t="s">
        <v>107</v>
      </c>
      <c r="L125" s="610">
        <v>44456.0</v>
      </c>
      <c r="M125" s="610">
        <v>44462.0</v>
      </c>
      <c r="N125" s="566"/>
      <c r="O125" s="566" t="s">
        <v>3824</v>
      </c>
      <c r="P125" s="612">
        <v>0.02</v>
      </c>
      <c r="Q125" s="224" t="s">
        <v>4203</v>
      </c>
      <c r="R125" s="613"/>
      <c r="S125" s="522" t="str">
        <f t="shared" si="12"/>
        <v/>
      </c>
      <c r="T125" s="522" t="s">
        <v>108</v>
      </c>
      <c r="U125" s="522" t="s">
        <v>2580</v>
      </c>
      <c r="V125" s="522" t="s">
        <v>29</v>
      </c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614"/>
      <c r="AH125" s="614"/>
      <c r="AI125" s="450"/>
      <c r="AJ125" s="450"/>
      <c r="AK125" s="450"/>
      <c r="AL125" s="450"/>
      <c r="AM125" s="450"/>
      <c r="AN125" s="450"/>
      <c r="AO125" s="450"/>
      <c r="AP125" s="450"/>
      <c r="AQ125" s="450"/>
      <c r="AR125" s="450"/>
      <c r="AS125" s="449"/>
      <c r="AT125" s="449"/>
      <c r="AU125" s="468"/>
      <c r="AV125" s="450"/>
      <c r="AW125" s="450">
        <v>93374.49</v>
      </c>
      <c r="AX125" s="450">
        <v>93311.61</v>
      </c>
      <c r="AY125" s="450">
        <v>93006.08</v>
      </c>
      <c r="AZ125" s="450">
        <v>97166.84</v>
      </c>
      <c r="BA125" s="450">
        <v>97961.67</v>
      </c>
      <c r="BB125" s="450">
        <v>52139.56</v>
      </c>
      <c r="BC125" s="450"/>
      <c r="BD125" s="450">
        <v>47983.36</v>
      </c>
      <c r="BE125" s="450">
        <v>45972.95</v>
      </c>
      <c r="BF125" s="450">
        <v>32779.9</v>
      </c>
      <c r="BG125" s="450">
        <v>33713.34132</v>
      </c>
      <c r="BH125" s="450">
        <v>33670.09</v>
      </c>
      <c r="BI125" s="450">
        <v>37072.69</v>
      </c>
      <c r="BJ125" s="450">
        <v>29455.56</v>
      </c>
      <c r="BK125" s="450">
        <v>29603.32</v>
      </c>
      <c r="BL125" s="450">
        <v>30122.18</v>
      </c>
      <c r="BM125" s="450">
        <v>30021.22</v>
      </c>
      <c r="BN125" s="450">
        <v>30076.9</v>
      </c>
      <c r="BO125" s="450">
        <v>30410.86</v>
      </c>
      <c r="BP125" s="450">
        <v>30744.7</v>
      </c>
      <c r="BQ125" s="450">
        <v>31181.29</v>
      </c>
      <c r="BR125" s="450">
        <v>31591.54</v>
      </c>
      <c r="BS125" s="615">
        <f t="array" ref="BS125">XLOOKUP(D125,'PL TOTAL XP'!A:A,'PL TOTAL XP'!C:C,"0")</f>
        <v>1.05</v>
      </c>
      <c r="BT125" s="616"/>
    </row>
    <row r="126" ht="15.75" customHeight="1">
      <c r="A126" s="183" t="s">
        <v>3820</v>
      </c>
      <c r="B126" s="78" t="s">
        <v>4204</v>
      </c>
      <c r="C126" s="617" t="s">
        <v>4205</v>
      </c>
      <c r="D126" s="522">
        <v>3553004.0</v>
      </c>
      <c r="E126" s="512" t="s">
        <v>2550</v>
      </c>
      <c r="F126" s="512" t="s">
        <v>29</v>
      </c>
      <c r="G126" s="512" t="s">
        <v>2550</v>
      </c>
      <c r="H126" s="512" t="str">
        <f>IFERROR(VLOOKUP(G126,'Cadastro de assessores'!A:B,2,FALSE),"Não Cadastrado")</f>
        <v>18986</v>
      </c>
      <c r="I126" s="512"/>
      <c r="J126" s="51" t="s">
        <v>186</v>
      </c>
      <c r="K126" s="522" t="s">
        <v>107</v>
      </c>
      <c r="L126" s="610">
        <v>43742.0</v>
      </c>
      <c r="M126" s="610">
        <v>43742.0</v>
      </c>
      <c r="N126" s="618">
        <v>44888.0</v>
      </c>
      <c r="O126" s="522" t="s">
        <v>4206</v>
      </c>
      <c r="P126" s="629">
        <v>0.01</v>
      </c>
      <c r="Q126" s="620" t="s">
        <v>4207</v>
      </c>
      <c r="R126" s="613"/>
      <c r="S126" s="522" t="str">
        <f t="shared" si="12"/>
        <v>Não Qualificado</v>
      </c>
      <c r="T126" s="522" t="s">
        <v>108</v>
      </c>
      <c r="U126" s="522" t="s">
        <v>2842</v>
      </c>
      <c r="V126" s="522" t="s">
        <v>19</v>
      </c>
      <c r="W126" s="614" t="s">
        <v>4208</v>
      </c>
      <c r="X126" s="614"/>
      <c r="Y126" s="614" t="s">
        <v>4209</v>
      </c>
      <c r="Z126" s="614" t="s">
        <v>4210</v>
      </c>
      <c r="AA126" s="614" t="s">
        <v>4211</v>
      </c>
      <c r="AB126" s="614" t="s">
        <v>4212</v>
      </c>
      <c r="AC126" s="614" t="s">
        <v>4213</v>
      </c>
      <c r="AD126" s="614" t="s">
        <v>4214</v>
      </c>
      <c r="AE126" s="614" t="s">
        <v>4215</v>
      </c>
      <c r="AF126" s="614" t="s">
        <v>4216</v>
      </c>
      <c r="AG126" s="614" t="s">
        <v>4217</v>
      </c>
      <c r="AH126" s="614" t="s">
        <v>4218</v>
      </c>
      <c r="AI126" s="614" t="s">
        <v>4219</v>
      </c>
      <c r="AJ126" s="614" t="s">
        <v>4220</v>
      </c>
      <c r="AK126" s="450">
        <v>73258.01</v>
      </c>
      <c r="AL126" s="450">
        <v>72456.46</v>
      </c>
      <c r="AM126" s="450">
        <v>70838.75</v>
      </c>
      <c r="AN126" s="450">
        <v>70940.88</v>
      </c>
      <c r="AO126" s="450">
        <v>71543.37</v>
      </c>
      <c r="AP126" s="450">
        <v>71787.8</v>
      </c>
      <c r="AQ126" s="450">
        <v>71806.91</v>
      </c>
      <c r="AR126" s="450">
        <v>72444.05</v>
      </c>
      <c r="AS126" s="450">
        <v>72433.31</v>
      </c>
      <c r="AT126" s="450">
        <v>71746.12</v>
      </c>
      <c r="AU126" s="450">
        <v>71174.3</v>
      </c>
      <c r="AV126" s="450">
        <v>70466.44</v>
      </c>
      <c r="AW126" s="450">
        <v>68284.32</v>
      </c>
      <c r="AX126" s="450">
        <v>71502.86</v>
      </c>
      <c r="AY126" s="450">
        <v>72315.14</v>
      </c>
      <c r="AZ126" s="450">
        <v>72717.26</v>
      </c>
      <c r="BA126" s="450">
        <v>73156.17</v>
      </c>
      <c r="BB126" s="450">
        <v>75063.1</v>
      </c>
      <c r="BC126" s="450">
        <v>100.0</v>
      </c>
      <c r="BD126" s="450">
        <v>190845.04</v>
      </c>
      <c r="BE126" s="450">
        <v>118778.77</v>
      </c>
      <c r="BF126" s="450">
        <v>121113.95</v>
      </c>
      <c r="BG126" s="450">
        <v>123792.8</v>
      </c>
      <c r="BH126" s="450">
        <v>-85.44</v>
      </c>
      <c r="BI126" s="450">
        <v>-85.44</v>
      </c>
      <c r="BJ126" s="450">
        <v>0.0</v>
      </c>
      <c r="BK126" s="450">
        <v>0.0</v>
      </c>
      <c r="BL126" s="450">
        <v>0.0</v>
      </c>
      <c r="BM126" s="450">
        <v>0.0</v>
      </c>
      <c r="BN126" s="450">
        <v>0.0</v>
      </c>
      <c r="BO126" s="450">
        <v>0.0</v>
      </c>
      <c r="BP126" s="450">
        <v>0.0</v>
      </c>
      <c r="BQ126" s="450">
        <v>0.0</v>
      </c>
      <c r="BR126" s="450">
        <v>0.0</v>
      </c>
      <c r="BS126" s="615" t="str">
        <f t="array" ref="BS126">XLOOKUP(D126,'PL TOTAL XP'!A:A,'PL TOTAL XP'!C:C,"0")</f>
        <v>0</v>
      </c>
      <c r="BT126" s="616"/>
    </row>
    <row r="127" ht="15.75" customHeight="1">
      <c r="A127" s="183" t="s">
        <v>3820</v>
      </c>
      <c r="B127" s="78" t="s">
        <v>735</v>
      </c>
      <c r="C127" s="617" t="s">
        <v>733</v>
      </c>
      <c r="D127" s="522">
        <v>4550421.0</v>
      </c>
      <c r="E127" s="512" t="s">
        <v>105</v>
      </c>
      <c r="F127" s="512" t="s">
        <v>29</v>
      </c>
      <c r="G127" s="512" t="s">
        <v>4087</v>
      </c>
      <c r="H127" s="512" t="str">
        <f>IFERROR(VLOOKUP(G127,'Cadastro de assessores'!A:B,2,FALSE),"Não Cadastrado")</f>
        <v>17243</v>
      </c>
      <c r="I127" s="512"/>
      <c r="J127" s="51" t="s">
        <v>3823</v>
      </c>
      <c r="K127" s="512" t="s">
        <v>107</v>
      </c>
      <c r="L127" s="611">
        <v>44126.0</v>
      </c>
      <c r="M127" s="611">
        <v>44130.0</v>
      </c>
      <c r="N127" s="522"/>
      <c r="O127" s="522" t="s">
        <v>3836</v>
      </c>
      <c r="P127" s="612">
        <v>0.012</v>
      </c>
      <c r="Q127" s="620"/>
      <c r="R127" s="613"/>
      <c r="S127" s="522" t="str">
        <f t="shared" si="12"/>
        <v/>
      </c>
      <c r="T127" s="522" t="s">
        <v>108</v>
      </c>
      <c r="U127" s="522" t="s">
        <v>2591</v>
      </c>
      <c r="V127" s="522" t="s">
        <v>29</v>
      </c>
      <c r="W127" s="614" t="s">
        <v>3830</v>
      </c>
      <c r="X127" s="614" t="s">
        <v>3830</v>
      </c>
      <c r="Y127" s="614" t="s">
        <v>3830</v>
      </c>
      <c r="Z127" s="614" t="s">
        <v>3830</v>
      </c>
      <c r="AA127" s="614" t="s">
        <v>3830</v>
      </c>
      <c r="AB127" s="614" t="s">
        <v>3830</v>
      </c>
      <c r="AC127" s="614" t="s">
        <v>3830</v>
      </c>
      <c r="AD127" s="614" t="s">
        <v>3830</v>
      </c>
      <c r="AE127" s="614" t="s">
        <v>3830</v>
      </c>
      <c r="AF127" s="614" t="s">
        <v>3830</v>
      </c>
      <c r="AG127" s="614" t="s">
        <v>3830</v>
      </c>
      <c r="AH127" s="614" t="s">
        <v>3830</v>
      </c>
      <c r="AI127" s="614" t="s">
        <v>4221</v>
      </c>
      <c r="AJ127" s="614" t="s">
        <v>4222</v>
      </c>
      <c r="AK127" s="450">
        <v>308977.37</v>
      </c>
      <c r="AL127" s="450">
        <v>306700.27</v>
      </c>
      <c r="AM127" s="450">
        <v>302262.44</v>
      </c>
      <c r="AN127" s="450">
        <v>301632.88</v>
      </c>
      <c r="AO127" s="450">
        <v>305050.3</v>
      </c>
      <c r="AP127" s="450">
        <v>215647.0</v>
      </c>
      <c r="AQ127" s="450">
        <v>305559.01</v>
      </c>
      <c r="AR127" s="450">
        <v>309357.93</v>
      </c>
      <c r="AS127" s="450">
        <v>308532.49</v>
      </c>
      <c r="AT127" s="450">
        <v>305995.71</v>
      </c>
      <c r="AU127" s="450">
        <v>305619.94</v>
      </c>
      <c r="AV127" s="450">
        <v>303694.69</v>
      </c>
      <c r="AW127" s="450">
        <v>300538.92</v>
      </c>
      <c r="AX127" s="450">
        <v>302067.33</v>
      </c>
      <c r="AY127" s="450">
        <v>305174.6</v>
      </c>
      <c r="AZ127" s="450">
        <v>310054.99</v>
      </c>
      <c r="BA127" s="450">
        <v>312363.52</v>
      </c>
      <c r="BB127" s="450">
        <v>318660.48</v>
      </c>
      <c r="BC127" s="450"/>
      <c r="BD127" s="450">
        <v>321383.71</v>
      </c>
      <c r="BE127" s="450">
        <v>322432.92</v>
      </c>
      <c r="BF127" s="450">
        <v>326288.95</v>
      </c>
      <c r="BG127" s="450">
        <v>327944.6318</v>
      </c>
      <c r="BH127" s="450">
        <v>329315.81</v>
      </c>
      <c r="BI127" s="450">
        <v>333351.5</v>
      </c>
      <c r="BJ127" s="450">
        <v>334805.24</v>
      </c>
      <c r="BK127" s="450">
        <v>337427.92</v>
      </c>
      <c r="BL127" s="450">
        <v>341041.77</v>
      </c>
      <c r="BM127" s="450">
        <v>48608.21</v>
      </c>
      <c r="BN127" s="450">
        <v>0.0</v>
      </c>
      <c r="BO127" s="450">
        <v>0.0</v>
      </c>
      <c r="BP127" s="450">
        <v>0.0</v>
      </c>
      <c r="BQ127" s="450">
        <v>0.0</v>
      </c>
      <c r="BR127" s="450">
        <v>0.0</v>
      </c>
      <c r="BS127" s="615">
        <f t="array" ref="BS127">XLOOKUP(D127,'PL TOTAL XP'!A:A,'PL TOTAL XP'!C:C,"0")</f>
        <v>0</v>
      </c>
      <c r="BT127" s="616"/>
    </row>
    <row r="128" ht="15.75" customHeight="1">
      <c r="A128" s="183" t="s">
        <v>3820</v>
      </c>
      <c r="B128" s="78" t="s">
        <v>4223</v>
      </c>
      <c r="C128" s="617" t="s">
        <v>4224</v>
      </c>
      <c r="D128" s="522">
        <v>2699859.0</v>
      </c>
      <c r="E128" s="512" t="s">
        <v>2550</v>
      </c>
      <c r="F128" s="512" t="s">
        <v>29</v>
      </c>
      <c r="G128" s="512" t="s">
        <v>2550</v>
      </c>
      <c r="H128" s="512" t="str">
        <f>IFERROR(VLOOKUP(G128,'Cadastro de assessores'!A:B,2,FALSE),"Não Cadastrado")</f>
        <v>18986</v>
      </c>
      <c r="I128" s="512"/>
      <c r="J128" s="51" t="s">
        <v>3823</v>
      </c>
      <c r="K128" s="522" t="s">
        <v>147</v>
      </c>
      <c r="L128" s="610">
        <v>43865.0</v>
      </c>
      <c r="M128" s="610">
        <v>43869.0</v>
      </c>
      <c r="N128" s="522"/>
      <c r="O128" s="522" t="s">
        <v>3828</v>
      </c>
      <c r="P128" s="629">
        <v>0.015</v>
      </c>
      <c r="Q128" s="620"/>
      <c r="R128" s="613"/>
      <c r="S128" s="522" t="str">
        <f t="shared" si="12"/>
        <v/>
      </c>
      <c r="T128" s="522" t="s">
        <v>108</v>
      </c>
      <c r="U128" s="522" t="s">
        <v>2602</v>
      </c>
      <c r="V128" s="522" t="s">
        <v>29</v>
      </c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450"/>
      <c r="AL128" s="450"/>
      <c r="AM128" s="450">
        <v>81199.34</v>
      </c>
      <c r="AN128" s="450">
        <v>80869.93</v>
      </c>
      <c r="AO128" s="450">
        <v>83218.35</v>
      </c>
      <c r="AP128" s="450">
        <v>83908.55</v>
      </c>
      <c r="AQ128" s="450">
        <v>83612.71</v>
      </c>
      <c r="AR128" s="450">
        <v>85510.08</v>
      </c>
      <c r="AS128" s="450">
        <v>75693.01</v>
      </c>
      <c r="AT128" s="450">
        <v>73737.98</v>
      </c>
      <c r="AU128" s="450">
        <v>73147.31</v>
      </c>
      <c r="AV128" s="450">
        <v>4251.06</v>
      </c>
      <c r="AW128" s="450">
        <v>114.13</v>
      </c>
      <c r="AX128" s="450">
        <v>114.0</v>
      </c>
      <c r="AY128" s="450">
        <v>113.77</v>
      </c>
      <c r="AZ128" s="450">
        <v>113.56</v>
      </c>
      <c r="BA128" s="450">
        <v>113.37</v>
      </c>
      <c r="BB128" s="450">
        <v>113.15</v>
      </c>
      <c r="BC128" s="450"/>
      <c r="BD128" s="450">
        <v>117.11</v>
      </c>
      <c r="BE128" s="450">
        <v>117.11</v>
      </c>
      <c r="BF128" s="450">
        <v>117.12</v>
      </c>
      <c r="BG128" s="450">
        <v>117.12</v>
      </c>
      <c r="BH128" s="450">
        <v>117.12</v>
      </c>
      <c r="BI128" s="450">
        <v>117.12</v>
      </c>
      <c r="BJ128" s="450">
        <v>117.12</v>
      </c>
      <c r="BK128" s="450">
        <v>117.12</v>
      </c>
      <c r="BL128" s="450">
        <v>117.12</v>
      </c>
      <c r="BM128" s="450">
        <v>117.12</v>
      </c>
      <c r="BN128" s="450">
        <v>117.12</v>
      </c>
      <c r="BO128" s="450">
        <v>117.12</v>
      </c>
      <c r="BP128" s="450">
        <v>117.12</v>
      </c>
      <c r="BQ128" s="450">
        <v>117.12</v>
      </c>
      <c r="BR128" s="450">
        <v>117.12</v>
      </c>
      <c r="BS128" s="615">
        <f t="array" ref="BS128">XLOOKUP(D128,'PL TOTAL XP'!A:A,'PL TOTAL XP'!C:C,"0")</f>
        <v>0</v>
      </c>
      <c r="BT128" s="616"/>
    </row>
    <row r="129" ht="15.75" customHeight="1">
      <c r="A129" s="183" t="s">
        <v>3820</v>
      </c>
      <c r="B129" s="78" t="s">
        <v>4225</v>
      </c>
      <c r="C129" s="564" t="s">
        <v>4226</v>
      </c>
      <c r="D129" s="609">
        <v>5947460.0</v>
      </c>
      <c r="E129" s="512" t="s">
        <v>18</v>
      </c>
      <c r="F129" s="609" t="s">
        <v>29</v>
      </c>
      <c r="G129" s="566" t="s">
        <v>2803</v>
      </c>
      <c r="H129" s="566" t="str">
        <f>IFERROR(VLOOKUP(G129,'Cadastro de assessores'!A:B,2,FALSE),"Não Cadastrado")</f>
        <v>18236</v>
      </c>
      <c r="I129" s="566"/>
      <c r="J129" s="51" t="s">
        <v>3823</v>
      </c>
      <c r="K129" s="512" t="s">
        <v>107</v>
      </c>
      <c r="L129" s="610">
        <v>44398.0</v>
      </c>
      <c r="M129" s="610">
        <v>44399.0</v>
      </c>
      <c r="N129" s="522"/>
      <c r="O129" s="522" t="s">
        <v>3828</v>
      </c>
      <c r="P129" s="629">
        <v>0.015</v>
      </c>
      <c r="Q129" s="224"/>
      <c r="R129" s="613"/>
      <c r="S129" s="522" t="str">
        <f t="shared" si="12"/>
        <v>Não Qualificado</v>
      </c>
      <c r="T129" s="522" t="s">
        <v>108</v>
      </c>
      <c r="U129" s="522" t="s">
        <v>3123</v>
      </c>
      <c r="V129" s="522" t="s">
        <v>29</v>
      </c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614"/>
      <c r="AI129" s="614"/>
      <c r="AJ129" s="450"/>
      <c r="AK129" s="450"/>
      <c r="AL129" s="450"/>
      <c r="AM129" s="450"/>
      <c r="AN129" s="450"/>
      <c r="AO129" s="450"/>
      <c r="AP129" s="450"/>
      <c r="AQ129" s="450"/>
      <c r="AR129" s="450"/>
      <c r="AS129" s="468"/>
      <c r="AT129" s="449">
        <v>98319.11</v>
      </c>
      <c r="AU129" s="449">
        <v>97625.08</v>
      </c>
      <c r="AV129" s="450">
        <v>96132.16</v>
      </c>
      <c r="AW129" s="450">
        <v>93331.27</v>
      </c>
      <c r="AX129" s="450">
        <v>83142.02</v>
      </c>
      <c r="AY129" s="450">
        <v>83967.94</v>
      </c>
      <c r="AZ129" s="450">
        <v>76132.78</v>
      </c>
      <c r="BA129" s="450">
        <v>76856.18</v>
      </c>
      <c r="BB129" s="450">
        <v>79583.87</v>
      </c>
      <c r="BC129" s="450">
        <v>111666.25</v>
      </c>
      <c r="BD129" s="450">
        <v>70414.09</v>
      </c>
      <c r="BE129" s="450">
        <v>49648.92</v>
      </c>
      <c r="BF129" s="450">
        <v>24151.31</v>
      </c>
      <c r="BG129" s="450">
        <v>24424.03837</v>
      </c>
      <c r="BH129" s="450">
        <v>24498.43</v>
      </c>
      <c r="BI129" s="450">
        <v>25820.77</v>
      </c>
      <c r="BJ129" s="450">
        <v>25297.94</v>
      </c>
      <c r="BK129" s="450">
        <v>4081.3</v>
      </c>
      <c r="BL129" s="450">
        <v>158.22</v>
      </c>
      <c r="BM129" s="450">
        <v>158.22</v>
      </c>
      <c r="BN129" s="450">
        <v>158.22</v>
      </c>
      <c r="BO129" s="450">
        <v>158.22</v>
      </c>
      <c r="BP129" s="450">
        <v>158.22</v>
      </c>
      <c r="BQ129" s="450">
        <v>158.22</v>
      </c>
      <c r="BR129" s="450">
        <v>158.22</v>
      </c>
      <c r="BS129" s="615">
        <f t="array" ref="BS129">XLOOKUP(D129,'PL TOTAL XP'!A:A,'PL TOTAL XP'!C:C,"0")</f>
        <v>0</v>
      </c>
      <c r="BT129" s="616"/>
    </row>
    <row r="130" ht="15.75" customHeight="1">
      <c r="A130" s="183" t="s">
        <v>3820</v>
      </c>
      <c r="B130" s="78" t="s">
        <v>4227</v>
      </c>
      <c r="C130" s="617" t="s">
        <v>4228</v>
      </c>
      <c r="D130" s="522">
        <v>2216296.0</v>
      </c>
      <c r="E130" s="512" t="s">
        <v>105</v>
      </c>
      <c r="F130" s="512" t="s">
        <v>29</v>
      </c>
      <c r="G130" s="512" t="s">
        <v>3993</v>
      </c>
      <c r="H130" s="512" t="str">
        <f>IFERROR(VLOOKUP(G130,'Cadastro de assessores'!A:B,2,FALSE),"Não Cadastrado")</f>
        <v>16459</v>
      </c>
      <c r="I130" s="512"/>
      <c r="J130" s="51" t="s">
        <v>186</v>
      </c>
      <c r="K130" s="512" t="s">
        <v>107</v>
      </c>
      <c r="L130" s="610">
        <v>44088.0</v>
      </c>
      <c r="M130" s="610">
        <v>44088.0</v>
      </c>
      <c r="N130" s="654">
        <v>44886.0</v>
      </c>
      <c r="O130" s="566" t="s">
        <v>3824</v>
      </c>
      <c r="P130" s="629">
        <v>0.01</v>
      </c>
      <c r="Q130" s="633" t="s">
        <v>4229</v>
      </c>
      <c r="R130" s="613"/>
      <c r="S130" s="522" t="str">
        <f t="shared" si="12"/>
        <v>Não Qualificado</v>
      </c>
      <c r="T130" s="522" t="s">
        <v>108</v>
      </c>
      <c r="U130" s="522" t="s">
        <v>2942</v>
      </c>
      <c r="V130" s="522" t="s">
        <v>29</v>
      </c>
      <c r="W130" s="614" t="s">
        <v>3830</v>
      </c>
      <c r="X130" s="614" t="s">
        <v>3830</v>
      </c>
      <c r="Y130" s="614" t="s">
        <v>3830</v>
      </c>
      <c r="Z130" s="614" t="s">
        <v>3830</v>
      </c>
      <c r="AA130" s="614" t="s">
        <v>3830</v>
      </c>
      <c r="AB130" s="614" t="s">
        <v>3830</v>
      </c>
      <c r="AC130" s="614" t="s">
        <v>3830</v>
      </c>
      <c r="AD130" s="614" t="s">
        <v>3830</v>
      </c>
      <c r="AE130" s="614" t="s">
        <v>3830</v>
      </c>
      <c r="AF130" s="614" t="s">
        <v>3830</v>
      </c>
      <c r="AG130" s="614" t="s">
        <v>3830</v>
      </c>
      <c r="AH130" s="614" t="s">
        <v>4230</v>
      </c>
      <c r="AI130" s="614" t="s">
        <v>4231</v>
      </c>
      <c r="AJ130" s="614" t="s">
        <v>4232</v>
      </c>
      <c r="AK130" s="450">
        <v>688704.17</v>
      </c>
      <c r="AL130" s="450">
        <v>651185.82</v>
      </c>
      <c r="AM130" s="450">
        <v>621244.08</v>
      </c>
      <c r="AN130" s="450">
        <v>612986.52</v>
      </c>
      <c r="AO130" s="450">
        <v>635115.29</v>
      </c>
      <c r="AP130" s="450">
        <v>637268.15</v>
      </c>
      <c r="AQ130" s="450">
        <v>632248.83</v>
      </c>
      <c r="AR130" s="450">
        <v>641492.06</v>
      </c>
      <c r="AS130" s="450">
        <v>636973.5</v>
      </c>
      <c r="AT130" s="450">
        <v>631556.87</v>
      </c>
      <c r="AU130" s="450">
        <v>624825.94</v>
      </c>
      <c r="AV130" s="450">
        <v>600942.66</v>
      </c>
      <c r="AW130" s="450">
        <v>574393.03</v>
      </c>
      <c r="AX130" s="450">
        <v>568574.23</v>
      </c>
      <c r="AY130" s="450">
        <v>577292.37</v>
      </c>
      <c r="AZ130" s="450">
        <v>580848.31</v>
      </c>
      <c r="BA130" s="450">
        <v>574320.91</v>
      </c>
      <c r="BB130" s="450">
        <v>591535.41</v>
      </c>
      <c r="BC130" s="450">
        <v>73707.03</v>
      </c>
      <c r="BD130" s="450">
        <v>582687.94</v>
      </c>
      <c r="BE130" s="450">
        <v>572421.17</v>
      </c>
      <c r="BF130" s="450">
        <v>580975.65</v>
      </c>
      <c r="BG130" s="450">
        <v>589349.2917</v>
      </c>
      <c r="BH130" s="450">
        <v>584473.47</v>
      </c>
      <c r="BI130" s="450">
        <v>601063.5</v>
      </c>
      <c r="BJ130" s="450">
        <v>0.0</v>
      </c>
      <c r="BK130" s="450">
        <v>0.0</v>
      </c>
      <c r="BL130" s="450">
        <v>0.0</v>
      </c>
      <c r="BM130" s="450">
        <v>0.0</v>
      </c>
      <c r="BN130" s="450">
        <v>0.0</v>
      </c>
      <c r="BO130" s="450">
        <v>0.0</v>
      </c>
      <c r="BP130" s="450">
        <v>0.0</v>
      </c>
      <c r="BQ130" s="450">
        <v>0.0</v>
      </c>
      <c r="BR130" s="450">
        <v>0.0</v>
      </c>
      <c r="BS130" s="615" t="str">
        <f t="array" ref="BS130">XLOOKUP(D130,'PL TOTAL XP'!A:A,'PL TOTAL XP'!C:C,"0")</f>
        <v>0</v>
      </c>
      <c r="BT130" s="616"/>
    </row>
    <row r="131" ht="15.75" customHeight="1">
      <c r="A131" s="183" t="s">
        <v>3820</v>
      </c>
      <c r="B131" s="78" t="s">
        <v>4233</v>
      </c>
      <c r="C131" s="564" t="s">
        <v>4234</v>
      </c>
      <c r="D131" s="566">
        <v>5537937.0</v>
      </c>
      <c r="E131" s="522" t="s">
        <v>18</v>
      </c>
      <c r="F131" s="522" t="s">
        <v>29</v>
      </c>
      <c r="G131" s="522" t="s">
        <v>4235</v>
      </c>
      <c r="H131" s="522">
        <f>IFERROR(VLOOKUP(G131,'Cadastro de assessores'!A:B,2,FALSE),"Não Cadastrado")</f>
        <v>12335</v>
      </c>
      <c r="I131" s="522"/>
      <c r="J131" s="51" t="s">
        <v>186</v>
      </c>
      <c r="K131" s="522" t="s">
        <v>2563</v>
      </c>
      <c r="L131" s="619">
        <v>44323.0</v>
      </c>
      <c r="M131" s="619">
        <v>44323.0</v>
      </c>
      <c r="N131" s="619">
        <v>44725.0</v>
      </c>
      <c r="O131" s="522" t="s">
        <v>3834</v>
      </c>
      <c r="P131" s="612">
        <v>0.007</v>
      </c>
      <c r="Q131" s="224" t="s">
        <v>4236</v>
      </c>
      <c r="R131" s="613"/>
      <c r="S131" s="522" t="str">
        <f t="shared" si="12"/>
        <v>Não Qualificado</v>
      </c>
      <c r="T131" s="522" t="s">
        <v>108</v>
      </c>
      <c r="U131" s="566" t="s">
        <v>4057</v>
      </c>
      <c r="V131" s="566" t="s">
        <v>504</v>
      </c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50"/>
      <c r="AM131" s="450"/>
      <c r="AN131" s="450"/>
      <c r="AO131" s="450"/>
      <c r="AP131" s="450"/>
      <c r="AQ131" s="450"/>
      <c r="AR131" s="450">
        <v>151275.13</v>
      </c>
      <c r="AS131" s="450">
        <v>150974.97</v>
      </c>
      <c r="AT131" s="450">
        <v>149831.06</v>
      </c>
      <c r="AU131" s="450">
        <v>149696.16</v>
      </c>
      <c r="AV131" s="450">
        <v>149019.85</v>
      </c>
      <c r="AW131" s="450">
        <v>147276.58</v>
      </c>
      <c r="AX131" s="450">
        <v>147835.55</v>
      </c>
      <c r="AY131" s="450">
        <v>149432.85</v>
      </c>
      <c r="AZ131" s="450">
        <v>150593.5</v>
      </c>
      <c r="BA131" s="450">
        <v>151575.85</v>
      </c>
      <c r="BB131" s="450">
        <v>152962.75</v>
      </c>
      <c r="BC131" s="450">
        <v>603327.7</v>
      </c>
      <c r="BD131" s="450">
        <v>156035.88</v>
      </c>
      <c r="BE131" s="450">
        <v>0.11</v>
      </c>
      <c r="BF131" s="450">
        <v>0.11</v>
      </c>
      <c r="BG131" s="450">
        <v>0.11</v>
      </c>
      <c r="BH131" s="450">
        <v>0.11</v>
      </c>
      <c r="BI131" s="450">
        <v>0.11</v>
      </c>
      <c r="BJ131" s="450">
        <v>0.11</v>
      </c>
      <c r="BK131" s="450">
        <v>0.11</v>
      </c>
      <c r="BL131" s="450">
        <v>0.11</v>
      </c>
      <c r="BM131" s="450">
        <v>0.11</v>
      </c>
      <c r="BN131" s="450">
        <v>0.11</v>
      </c>
      <c r="BO131" s="450">
        <v>0.11</v>
      </c>
      <c r="BP131" s="450">
        <v>0.11</v>
      </c>
      <c r="BQ131" s="450">
        <v>0.11</v>
      </c>
      <c r="BR131" s="450">
        <v>0.11</v>
      </c>
      <c r="BS131" s="615">
        <f t="array" ref="BS131">XLOOKUP(D131,'PL TOTAL XP'!A:A,'PL TOTAL XP'!C:C,"0")</f>
        <v>0</v>
      </c>
      <c r="BT131" s="616"/>
    </row>
    <row r="132" ht="15.75" customHeight="1">
      <c r="A132" s="183" t="s">
        <v>3820</v>
      </c>
      <c r="B132" s="78" t="s">
        <v>4237</v>
      </c>
      <c r="C132" s="617" t="s">
        <v>4238</v>
      </c>
      <c r="D132" s="522">
        <v>4440692.0</v>
      </c>
      <c r="E132" s="522" t="s">
        <v>18</v>
      </c>
      <c r="F132" s="522" t="s">
        <v>29</v>
      </c>
      <c r="G132" s="522" t="s">
        <v>3827</v>
      </c>
      <c r="H132" s="522" t="str">
        <f>IFERROR(VLOOKUP(G132,'Cadastro de assessores'!A:B,2,FALSE),"Não Cadastrado")</f>
        <v>17679</v>
      </c>
      <c r="I132" s="522"/>
      <c r="J132" s="51" t="s">
        <v>186</v>
      </c>
      <c r="K132" s="522" t="s">
        <v>2563</v>
      </c>
      <c r="L132" s="619">
        <v>44085.0</v>
      </c>
      <c r="M132" s="619">
        <v>44085.0</v>
      </c>
      <c r="N132" s="619">
        <v>44447.0</v>
      </c>
      <c r="O132" s="522" t="s">
        <v>3834</v>
      </c>
      <c r="P132" s="612">
        <v>0.007</v>
      </c>
      <c r="Q132" s="620" t="s">
        <v>4239</v>
      </c>
      <c r="R132" s="613"/>
      <c r="S132" s="522" t="str">
        <f t="shared" si="12"/>
        <v>Qualificado</v>
      </c>
      <c r="T132" s="522" t="s">
        <v>108</v>
      </c>
      <c r="U132" s="522" t="s">
        <v>4240</v>
      </c>
      <c r="V132" s="522" t="s">
        <v>3672</v>
      </c>
      <c r="W132" s="614" t="s">
        <v>3830</v>
      </c>
      <c r="X132" s="614" t="s">
        <v>3830</v>
      </c>
      <c r="Y132" s="614" t="s">
        <v>3830</v>
      </c>
      <c r="Z132" s="614" t="s">
        <v>3830</v>
      </c>
      <c r="AA132" s="614" t="s">
        <v>3830</v>
      </c>
      <c r="AB132" s="614" t="s">
        <v>3830</v>
      </c>
      <c r="AC132" s="614" t="s">
        <v>3830</v>
      </c>
      <c r="AD132" s="614" t="s">
        <v>3830</v>
      </c>
      <c r="AE132" s="614" t="s">
        <v>3830</v>
      </c>
      <c r="AF132" s="614" t="s">
        <v>3830</v>
      </c>
      <c r="AG132" s="614" t="s">
        <v>3830</v>
      </c>
      <c r="AH132" s="614" t="s">
        <v>4241</v>
      </c>
      <c r="AI132" s="614" t="s">
        <v>4242</v>
      </c>
      <c r="AJ132" s="614" t="s">
        <v>4243</v>
      </c>
      <c r="AK132" s="450">
        <v>449068.57</v>
      </c>
      <c r="AL132" s="450">
        <v>451469.29</v>
      </c>
      <c r="AM132" s="450">
        <v>693345.07</v>
      </c>
      <c r="AN132" s="450">
        <v>692382.52</v>
      </c>
      <c r="AO132" s="450">
        <v>703454.17</v>
      </c>
      <c r="AP132" s="450">
        <v>870564.73</v>
      </c>
      <c r="AQ132" s="450">
        <v>898773.53</v>
      </c>
      <c r="AR132" s="450">
        <v>910123.89</v>
      </c>
      <c r="AS132" s="450">
        <v>908045.55</v>
      </c>
      <c r="AT132" s="450">
        <v>908655.45</v>
      </c>
      <c r="AU132" s="450">
        <v>913780.79</v>
      </c>
      <c r="AV132" s="450"/>
      <c r="AW132" s="450"/>
      <c r="AX132" s="450"/>
      <c r="AY132" s="450"/>
      <c r="AZ132" s="450"/>
      <c r="BA132" s="450">
        <v>0.0</v>
      </c>
      <c r="BB132" s="450">
        <v>0.0</v>
      </c>
      <c r="BC132" s="450">
        <v>3709108.22</v>
      </c>
      <c r="BD132" s="450" t="s">
        <v>2566</v>
      </c>
      <c r="BE132" s="450" t="s">
        <v>2566</v>
      </c>
      <c r="BF132" s="450">
        <v>0.0</v>
      </c>
      <c r="BG132" s="450">
        <v>0.0</v>
      </c>
      <c r="BH132" s="450">
        <v>0.0</v>
      </c>
      <c r="BI132" s="450">
        <v>0.0</v>
      </c>
      <c r="BJ132" s="450">
        <v>0.0</v>
      </c>
      <c r="BK132" s="450">
        <v>0.0</v>
      </c>
      <c r="BL132" s="450">
        <v>0.0</v>
      </c>
      <c r="BM132" s="450">
        <v>0.0</v>
      </c>
      <c r="BN132" s="450">
        <v>0.0</v>
      </c>
      <c r="BO132" s="450">
        <v>0.0</v>
      </c>
      <c r="BP132" s="450">
        <v>0.0</v>
      </c>
      <c r="BQ132" s="450">
        <v>0.0</v>
      </c>
      <c r="BR132" s="450">
        <v>0.0</v>
      </c>
      <c r="BS132" s="615" t="str">
        <f t="array" ref="BS132">XLOOKUP(D132,'PL TOTAL XP'!A:A,'PL TOTAL XP'!C:C,"0")</f>
        <v>0</v>
      </c>
      <c r="BT132" s="616"/>
    </row>
    <row r="133" ht="15.75" customHeight="1">
      <c r="A133" s="183" t="s">
        <v>3820</v>
      </c>
      <c r="B133" s="78" t="s">
        <v>4244</v>
      </c>
      <c r="C133" s="617" t="s">
        <v>4245</v>
      </c>
      <c r="D133" s="522">
        <v>4571776.0</v>
      </c>
      <c r="E133" s="512" t="s">
        <v>105</v>
      </c>
      <c r="F133" s="512" t="s">
        <v>29</v>
      </c>
      <c r="G133" s="512" t="s">
        <v>3660</v>
      </c>
      <c r="H133" s="512" t="str">
        <f>IFERROR(VLOOKUP(G133,'Cadastro de assessores'!A:B,2,FALSE),"Não Cadastrado")</f>
        <v>14574</v>
      </c>
      <c r="I133" s="512"/>
      <c r="J133" s="51" t="s">
        <v>3823</v>
      </c>
      <c r="K133" s="522" t="s">
        <v>147</v>
      </c>
      <c r="L133" s="522" t="s">
        <v>2600</v>
      </c>
      <c r="M133" s="640" t="s">
        <v>2599</v>
      </c>
      <c r="N133" s="522"/>
      <c r="O133" s="522" t="s">
        <v>3836</v>
      </c>
      <c r="P133" s="612">
        <v>0.012</v>
      </c>
      <c r="Q133" s="620"/>
      <c r="R133" s="613"/>
      <c r="S133" s="522" t="str">
        <f t="shared" si="12"/>
        <v/>
      </c>
      <c r="T133" s="522" t="s">
        <v>108</v>
      </c>
      <c r="U133" s="522" t="s">
        <v>2580</v>
      </c>
      <c r="V133" s="522" t="s">
        <v>29</v>
      </c>
      <c r="W133" s="614" t="s">
        <v>3830</v>
      </c>
      <c r="X133" s="614" t="s">
        <v>3830</v>
      </c>
      <c r="Y133" s="614" t="s">
        <v>3830</v>
      </c>
      <c r="Z133" s="614" t="s">
        <v>3830</v>
      </c>
      <c r="AA133" s="614" t="s">
        <v>3830</v>
      </c>
      <c r="AB133" s="614" t="s">
        <v>3830</v>
      </c>
      <c r="AC133" s="614" t="s">
        <v>3830</v>
      </c>
      <c r="AD133" s="614" t="s">
        <v>3830</v>
      </c>
      <c r="AE133" s="614" t="s">
        <v>3830</v>
      </c>
      <c r="AF133" s="614" t="s">
        <v>3830</v>
      </c>
      <c r="AG133" s="614" t="s">
        <v>3830</v>
      </c>
      <c r="AH133" s="614" t="s">
        <v>3830</v>
      </c>
      <c r="AI133" s="614" t="s">
        <v>3830</v>
      </c>
      <c r="AJ133" s="614" t="s">
        <v>3830</v>
      </c>
      <c r="AK133" s="450" t="s">
        <v>2600</v>
      </c>
      <c r="AL133" s="450"/>
      <c r="AM133" s="450" t="s">
        <v>2600</v>
      </c>
      <c r="AN133" s="450" t="s">
        <v>2600</v>
      </c>
      <c r="AO133" s="450"/>
      <c r="AP133" s="450"/>
      <c r="AQ133" s="450"/>
      <c r="AR133" s="450"/>
      <c r="AS133" s="450"/>
      <c r="AT133" s="450"/>
      <c r="AU133" s="450"/>
      <c r="AV133" s="450"/>
      <c r="AW133" s="450"/>
      <c r="AX133" s="450"/>
      <c r="AY133" s="450"/>
      <c r="AZ133" s="450"/>
      <c r="BA133" s="450">
        <v>0.0</v>
      </c>
      <c r="BB133" s="450">
        <v>0.0</v>
      </c>
      <c r="BC133" s="450"/>
      <c r="BD133" s="450" t="s">
        <v>2566</v>
      </c>
      <c r="BE133" s="450" t="s">
        <v>2566</v>
      </c>
      <c r="BF133" s="450">
        <v>0.0</v>
      </c>
      <c r="BG133" s="450">
        <v>0.0</v>
      </c>
      <c r="BH133" s="450">
        <v>0.0</v>
      </c>
      <c r="BI133" s="450">
        <v>0.0</v>
      </c>
      <c r="BJ133" s="450">
        <v>0.0</v>
      </c>
      <c r="BK133" s="450">
        <v>0.0</v>
      </c>
      <c r="BL133" s="450">
        <v>0.0</v>
      </c>
      <c r="BM133" s="450">
        <v>0.0</v>
      </c>
      <c r="BN133" s="450">
        <v>0.0</v>
      </c>
      <c r="BO133" s="450">
        <v>0.0</v>
      </c>
      <c r="BP133" s="450">
        <v>0.0</v>
      </c>
      <c r="BQ133" s="450">
        <v>0.0</v>
      </c>
      <c r="BR133" s="450">
        <v>0.0</v>
      </c>
      <c r="BS133" s="615">
        <f t="array" ref="BS133">XLOOKUP(D133,'PL TOTAL XP'!A:A,'PL TOTAL XP'!C:C,"0")</f>
        <v>0</v>
      </c>
      <c r="BT133" s="616"/>
    </row>
    <row r="134" ht="15.75" customHeight="1">
      <c r="A134" s="183" t="s">
        <v>3820</v>
      </c>
      <c r="B134" s="78" t="s">
        <v>2841</v>
      </c>
      <c r="C134" s="617" t="s">
        <v>2839</v>
      </c>
      <c r="D134" s="522">
        <v>4327504.0</v>
      </c>
      <c r="E134" s="522" t="s">
        <v>2550</v>
      </c>
      <c r="F134" s="522" t="s">
        <v>29</v>
      </c>
      <c r="G134" s="522" t="s">
        <v>2550</v>
      </c>
      <c r="H134" s="522" t="str">
        <f>IFERROR(VLOOKUP(G134,'Cadastro de assessores'!A:B,2,FALSE),"Não Cadastrado")</f>
        <v>18986</v>
      </c>
      <c r="I134" s="522"/>
      <c r="J134" s="51" t="s">
        <v>186</v>
      </c>
      <c r="K134" s="522" t="s">
        <v>2563</v>
      </c>
      <c r="L134" s="619">
        <v>44043.0</v>
      </c>
      <c r="M134" s="619">
        <v>44043.0</v>
      </c>
      <c r="N134" s="619">
        <v>44085.0</v>
      </c>
      <c r="O134" s="522" t="s">
        <v>3828</v>
      </c>
      <c r="P134" s="612">
        <v>0.015</v>
      </c>
      <c r="Q134" s="620" t="s">
        <v>4246</v>
      </c>
      <c r="R134" s="613"/>
      <c r="S134" s="522" t="str">
        <f t="shared" si="12"/>
        <v>Não Qualificado</v>
      </c>
      <c r="T134" s="522" t="s">
        <v>108</v>
      </c>
      <c r="U134" s="522" t="s">
        <v>2842</v>
      </c>
      <c r="V134" s="522" t="s">
        <v>19</v>
      </c>
      <c r="W134" s="614" t="s">
        <v>3830</v>
      </c>
      <c r="X134" s="614" t="s">
        <v>3830</v>
      </c>
      <c r="Y134" s="614" t="s">
        <v>3830</v>
      </c>
      <c r="Z134" s="614" t="s">
        <v>3830</v>
      </c>
      <c r="AA134" s="614" t="s">
        <v>3830</v>
      </c>
      <c r="AB134" s="614" t="s">
        <v>3830</v>
      </c>
      <c r="AC134" s="614" t="s">
        <v>3830</v>
      </c>
      <c r="AD134" s="614" t="s">
        <v>3830</v>
      </c>
      <c r="AE134" s="614" t="s">
        <v>3830</v>
      </c>
      <c r="AF134" s="614" t="s">
        <v>4247</v>
      </c>
      <c r="AG134" s="614" t="s">
        <v>4248</v>
      </c>
      <c r="AH134" s="614"/>
      <c r="AI134" s="614"/>
      <c r="AJ134" s="614"/>
      <c r="AK134" s="450" t="s">
        <v>2600</v>
      </c>
      <c r="AL134" s="450">
        <v>492751.44</v>
      </c>
      <c r="AM134" s="450" t="s">
        <v>2600</v>
      </c>
      <c r="AN134" s="450"/>
      <c r="AO134" s="450"/>
      <c r="AP134" s="450"/>
      <c r="AQ134" s="450"/>
      <c r="AR134" s="450"/>
      <c r="AS134" s="450"/>
      <c r="AT134" s="450"/>
      <c r="AU134" s="450"/>
      <c r="AV134" s="450"/>
      <c r="AW134" s="450"/>
      <c r="AX134" s="450"/>
      <c r="AY134" s="450"/>
      <c r="AZ134" s="450"/>
      <c r="BA134" s="450">
        <v>0.0</v>
      </c>
      <c r="BB134" s="450">
        <v>0.0</v>
      </c>
      <c r="BC134" s="450">
        <v>190488.51</v>
      </c>
      <c r="BD134" s="450" t="s">
        <v>2566</v>
      </c>
      <c r="BE134" s="450" t="s">
        <v>2566</v>
      </c>
      <c r="BF134" s="450">
        <v>0.0</v>
      </c>
      <c r="BG134" s="450">
        <v>0.0</v>
      </c>
      <c r="BH134" s="450">
        <v>0.0</v>
      </c>
      <c r="BI134" s="450">
        <v>0.0</v>
      </c>
      <c r="BJ134" s="450">
        <v>0.0</v>
      </c>
      <c r="BK134" s="450">
        <v>0.0</v>
      </c>
      <c r="BL134" s="450">
        <v>0.0</v>
      </c>
      <c r="BM134" s="450">
        <v>0.0</v>
      </c>
      <c r="BN134" s="450">
        <v>0.0</v>
      </c>
      <c r="BO134" s="450">
        <v>0.0</v>
      </c>
      <c r="BP134" s="450">
        <v>0.0</v>
      </c>
      <c r="BQ134" s="450">
        <v>0.0</v>
      </c>
      <c r="BR134" s="450">
        <v>0.0</v>
      </c>
      <c r="BS134" s="615" t="str">
        <f t="array" ref="BS134">XLOOKUP(D134,'PL TOTAL XP'!A:A,'PL TOTAL XP'!C:C,"0")</f>
        <v>0</v>
      </c>
      <c r="BT134" s="616"/>
    </row>
    <row r="135" ht="15.75" customHeight="1">
      <c r="A135" s="183" t="s">
        <v>3820</v>
      </c>
      <c r="B135" s="78" t="s">
        <v>4249</v>
      </c>
      <c r="C135" s="564" t="s">
        <v>4250</v>
      </c>
      <c r="D135" s="511">
        <v>6489178.0</v>
      </c>
      <c r="E135" s="522" t="s">
        <v>18</v>
      </c>
      <c r="F135" s="511" t="s">
        <v>19</v>
      </c>
      <c r="G135" s="522" t="s">
        <v>4152</v>
      </c>
      <c r="H135" s="522" t="str">
        <f>IFERROR(VLOOKUP(G135,'Cadastro de assessores'!A:B,2,FALSE),"Não Cadastrado")</f>
        <v>14294</v>
      </c>
      <c r="I135" s="522"/>
      <c r="J135" s="51" t="s">
        <v>186</v>
      </c>
      <c r="K135" s="522" t="s">
        <v>2563</v>
      </c>
      <c r="L135" s="619">
        <v>44462.0</v>
      </c>
      <c r="M135" s="619">
        <v>44462.0</v>
      </c>
      <c r="N135" s="619">
        <v>44762.0</v>
      </c>
      <c r="O135" s="522" t="s">
        <v>3828</v>
      </c>
      <c r="P135" s="612">
        <v>0.015</v>
      </c>
      <c r="Q135" s="224" t="s">
        <v>4251</v>
      </c>
      <c r="R135" s="613"/>
      <c r="S135" s="522" t="str">
        <f t="shared" si="12"/>
        <v>Não Qualificado</v>
      </c>
      <c r="T135" s="522" t="s">
        <v>108</v>
      </c>
      <c r="U135" s="522" t="s">
        <v>2842</v>
      </c>
      <c r="V135" s="522" t="s">
        <v>19</v>
      </c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614"/>
      <c r="AH135" s="614"/>
      <c r="AI135" s="614"/>
      <c r="AJ135" s="450"/>
      <c r="AK135" s="450"/>
      <c r="AL135" s="450"/>
      <c r="AM135" s="450"/>
      <c r="AN135" s="450"/>
      <c r="AO135" s="450"/>
      <c r="AP135" s="450"/>
      <c r="AQ135" s="450"/>
      <c r="AR135" s="450"/>
      <c r="AS135" s="450"/>
      <c r="AT135" s="450"/>
      <c r="AU135" s="468"/>
      <c r="AV135" s="450"/>
      <c r="AW135" s="450">
        <v>95200.76</v>
      </c>
      <c r="AX135" s="450">
        <v>95680.72</v>
      </c>
      <c r="AY135" s="450">
        <v>95727.39</v>
      </c>
      <c r="AZ135" s="450">
        <v>97867.77</v>
      </c>
      <c r="BA135" s="450">
        <v>98882.88</v>
      </c>
      <c r="BB135" s="450">
        <v>102379.8</v>
      </c>
      <c r="BC135" s="450">
        <v>304420.34</v>
      </c>
      <c r="BD135" s="450">
        <v>100901.17</v>
      </c>
      <c r="BE135" s="450">
        <v>100371.71</v>
      </c>
      <c r="BF135" s="450">
        <v>101690.11</v>
      </c>
      <c r="BG135" s="450">
        <v>0.0</v>
      </c>
      <c r="BH135" s="450">
        <v>0.0</v>
      </c>
      <c r="BI135" s="450">
        <v>0.0</v>
      </c>
      <c r="BJ135" s="450">
        <v>0.0</v>
      </c>
      <c r="BK135" s="450">
        <v>0.0</v>
      </c>
      <c r="BL135" s="450">
        <v>0.0</v>
      </c>
      <c r="BM135" s="450">
        <v>0.0</v>
      </c>
      <c r="BN135" s="450">
        <v>0.0</v>
      </c>
      <c r="BO135" s="450">
        <v>0.0</v>
      </c>
      <c r="BP135" s="450">
        <v>0.0</v>
      </c>
      <c r="BQ135" s="450">
        <v>0.0</v>
      </c>
      <c r="BR135" s="450">
        <v>0.0</v>
      </c>
      <c r="BS135" s="615" t="str">
        <f t="array" ref="BS135">XLOOKUP(D135,'PL TOTAL XP'!A:A,'PL TOTAL XP'!C:C,"0")</f>
        <v>0</v>
      </c>
      <c r="BT135" s="616"/>
    </row>
    <row r="136" ht="15.75" customHeight="1">
      <c r="A136" s="183" t="s">
        <v>3820</v>
      </c>
      <c r="B136" s="78" t="s">
        <v>4252</v>
      </c>
      <c r="C136" s="617" t="s">
        <v>4253</v>
      </c>
      <c r="D136" s="522">
        <v>4696943.0</v>
      </c>
      <c r="E136" s="512" t="s">
        <v>105</v>
      </c>
      <c r="F136" s="512" t="s">
        <v>29</v>
      </c>
      <c r="G136" s="512" t="s">
        <v>4087</v>
      </c>
      <c r="H136" s="512" t="str">
        <f>IFERROR(VLOOKUP(G136,'Cadastro de assessores'!A:B,2,FALSE),"Não Cadastrado")</f>
        <v>17243</v>
      </c>
      <c r="I136" s="512"/>
      <c r="J136" s="51" t="s">
        <v>3823</v>
      </c>
      <c r="K136" s="522" t="s">
        <v>147</v>
      </c>
      <c r="L136" s="611">
        <v>44194.0</v>
      </c>
      <c r="M136" s="611">
        <v>44194.0</v>
      </c>
      <c r="N136" s="522"/>
      <c r="O136" s="522" t="s">
        <v>3828</v>
      </c>
      <c r="P136" s="612">
        <v>0.015</v>
      </c>
      <c r="Q136" s="620"/>
      <c r="R136" s="613"/>
      <c r="S136" s="522" t="str">
        <f t="shared" si="12"/>
        <v>Não Qualificado</v>
      </c>
      <c r="T136" s="522" t="s">
        <v>108</v>
      </c>
      <c r="U136" s="522" t="s">
        <v>2591</v>
      </c>
      <c r="V136" s="522" t="s">
        <v>29</v>
      </c>
      <c r="W136" s="614"/>
      <c r="X136" s="614"/>
      <c r="Y136" s="614"/>
      <c r="Z136" s="614"/>
      <c r="AA136" s="614"/>
      <c r="AB136" s="614"/>
      <c r="AC136" s="614"/>
      <c r="AD136" s="614"/>
      <c r="AE136" s="614"/>
      <c r="AF136" s="614"/>
      <c r="AG136" s="614"/>
      <c r="AH136" s="614"/>
      <c r="AI136" s="614" t="s">
        <v>3830</v>
      </c>
      <c r="AJ136" s="614"/>
      <c r="AK136" s="450" t="s">
        <v>2600</v>
      </c>
      <c r="AL136" s="450">
        <v>492287.37</v>
      </c>
      <c r="AM136" s="450">
        <v>480484.43</v>
      </c>
      <c r="AN136" s="450">
        <v>479223.31</v>
      </c>
      <c r="AO136" s="450">
        <v>493688.1</v>
      </c>
      <c r="AP136" s="450">
        <v>496689.12</v>
      </c>
      <c r="AQ136" s="450">
        <v>492904.47</v>
      </c>
      <c r="AR136" s="450">
        <v>506343.93</v>
      </c>
      <c r="AS136" s="450">
        <v>2032.77</v>
      </c>
      <c r="AT136" s="450">
        <v>2030.32</v>
      </c>
      <c r="AU136" s="450">
        <v>2027.68</v>
      </c>
      <c r="AV136" s="450">
        <v>979.26</v>
      </c>
      <c r="AW136" s="450">
        <v>2022.76</v>
      </c>
      <c r="AX136" s="450">
        <v>2020.36</v>
      </c>
      <c r="AY136" s="450">
        <v>969.53</v>
      </c>
      <c r="AZ136" s="450">
        <v>968.27</v>
      </c>
      <c r="BA136" s="450">
        <v>967.13</v>
      </c>
      <c r="BB136" s="450">
        <v>965.81</v>
      </c>
      <c r="BC136" s="450">
        <v>371332.36</v>
      </c>
      <c r="BD136" s="450">
        <v>1029.7</v>
      </c>
      <c r="BE136" s="450">
        <v>1036.96</v>
      </c>
      <c r="BF136" s="450">
        <v>1043.71</v>
      </c>
      <c r="BG136" s="450">
        <v>1051.81</v>
      </c>
      <c r="BH136" s="450">
        <v>1058.96</v>
      </c>
      <c r="BI136" s="450">
        <v>1067.03</v>
      </c>
      <c r="BJ136" s="450">
        <v>1087.36</v>
      </c>
      <c r="BK136" s="450">
        <v>1094.54</v>
      </c>
      <c r="BL136" s="450">
        <v>1103.75</v>
      </c>
      <c r="BM136" s="450">
        <v>1110.76</v>
      </c>
      <c r="BN136" s="450">
        <v>1113.67</v>
      </c>
      <c r="BO136" s="450">
        <v>1120.29</v>
      </c>
      <c r="BP136" s="450">
        <v>1131.08</v>
      </c>
      <c r="BQ136" s="450">
        <v>1139.38</v>
      </c>
      <c r="BR136" s="450">
        <v>1151.43</v>
      </c>
      <c r="BS136" s="615">
        <f t="array" ref="BS136">XLOOKUP(D136,'PL TOTAL XP'!A:A,'PL TOTAL XP'!C:C,"0")</f>
        <v>0</v>
      </c>
      <c r="BT136" s="616"/>
    </row>
    <row r="137" ht="15.75" customHeight="1">
      <c r="A137" s="183" t="s">
        <v>3820</v>
      </c>
      <c r="B137" s="78" t="s">
        <v>4254</v>
      </c>
      <c r="C137" s="617" t="s">
        <v>4255</v>
      </c>
      <c r="D137" s="522">
        <v>4422652.0</v>
      </c>
      <c r="E137" s="512" t="s">
        <v>18</v>
      </c>
      <c r="F137" s="512" t="s">
        <v>29</v>
      </c>
      <c r="G137" s="512" t="s">
        <v>3827</v>
      </c>
      <c r="H137" s="512" t="str">
        <f>IFERROR(VLOOKUP(G137,'Cadastro de assessores'!A:B,2,FALSE),"Não Cadastrado")</f>
        <v>17679</v>
      </c>
      <c r="I137" s="512"/>
      <c r="J137" s="51" t="s">
        <v>3823</v>
      </c>
      <c r="K137" s="522" t="s">
        <v>147</v>
      </c>
      <c r="L137" s="610">
        <v>44071.0</v>
      </c>
      <c r="M137" s="610">
        <v>44075.0</v>
      </c>
      <c r="N137" s="522"/>
      <c r="O137" s="522" t="s">
        <v>3828</v>
      </c>
      <c r="P137" s="629">
        <v>0.014</v>
      </c>
      <c r="Q137" s="620" t="s">
        <v>4256</v>
      </c>
      <c r="R137" s="613"/>
      <c r="S137" s="522" t="str">
        <f t="shared" si="12"/>
        <v>Não Qualificado</v>
      </c>
      <c r="T137" s="522" t="s">
        <v>108</v>
      </c>
      <c r="U137" s="522" t="s">
        <v>4057</v>
      </c>
      <c r="V137" s="522" t="s">
        <v>504</v>
      </c>
      <c r="W137" s="614" t="s">
        <v>3830</v>
      </c>
      <c r="X137" s="614" t="s">
        <v>3830</v>
      </c>
      <c r="Y137" s="614" t="s">
        <v>3830</v>
      </c>
      <c r="Z137" s="614" t="s">
        <v>3830</v>
      </c>
      <c r="AA137" s="614" t="s">
        <v>3830</v>
      </c>
      <c r="AB137" s="614" t="s">
        <v>3830</v>
      </c>
      <c r="AC137" s="614" t="s">
        <v>3830</v>
      </c>
      <c r="AD137" s="614" t="s">
        <v>3830</v>
      </c>
      <c r="AE137" s="614" t="s">
        <v>3830</v>
      </c>
      <c r="AF137" s="614" t="s">
        <v>3830</v>
      </c>
      <c r="AG137" s="614" t="s">
        <v>4257</v>
      </c>
      <c r="AH137" s="614" t="s">
        <v>4258</v>
      </c>
      <c r="AI137" s="614" t="s">
        <v>4259</v>
      </c>
      <c r="AJ137" s="614" t="s">
        <v>4260</v>
      </c>
      <c r="AK137" s="450">
        <v>311032.82</v>
      </c>
      <c r="AL137" s="450">
        <v>306509.38</v>
      </c>
      <c r="AM137" s="450">
        <v>296959.82</v>
      </c>
      <c r="AN137" s="450">
        <v>297248.02</v>
      </c>
      <c r="AO137" s="450">
        <v>304714.07</v>
      </c>
      <c r="AP137" s="450">
        <v>306339.12</v>
      </c>
      <c r="AQ137" s="450">
        <v>305142.08</v>
      </c>
      <c r="AR137" s="450">
        <v>312377.96</v>
      </c>
      <c r="AS137" s="450">
        <v>11778.99</v>
      </c>
      <c r="AT137" s="450">
        <v>11796.88</v>
      </c>
      <c r="AU137" s="450">
        <v>8811.82</v>
      </c>
      <c r="AV137" s="450">
        <v>383.45</v>
      </c>
      <c r="AW137" s="450">
        <v>8792.05</v>
      </c>
      <c r="AX137" s="450">
        <v>8782.25</v>
      </c>
      <c r="AY137" s="450">
        <v>8215.95</v>
      </c>
      <c r="AZ137" s="450">
        <v>8206.29</v>
      </c>
      <c r="BA137" s="450">
        <v>8197.55</v>
      </c>
      <c r="BB137" s="450">
        <v>8187.48</v>
      </c>
      <c r="BC137" s="450">
        <v>299314.08</v>
      </c>
      <c r="BD137" s="450">
        <v>498.26</v>
      </c>
      <c r="BE137" s="450">
        <v>498.26</v>
      </c>
      <c r="BF137" s="450">
        <v>498.26</v>
      </c>
      <c r="BG137" s="450">
        <v>498.26</v>
      </c>
      <c r="BH137" s="450">
        <v>498.26</v>
      </c>
      <c r="BI137" s="450">
        <v>498.26</v>
      </c>
      <c r="BJ137" s="450">
        <v>498.26</v>
      </c>
      <c r="BK137" s="450">
        <v>498.26</v>
      </c>
      <c r="BL137" s="450">
        <v>498.26</v>
      </c>
      <c r="BM137" s="450">
        <v>498.26</v>
      </c>
      <c r="BN137" s="450">
        <v>498.26</v>
      </c>
      <c r="BO137" s="450">
        <v>498.26</v>
      </c>
      <c r="BP137" s="450">
        <v>498.26</v>
      </c>
      <c r="BQ137" s="450">
        <v>498.26</v>
      </c>
      <c r="BR137" s="450">
        <v>498.26</v>
      </c>
      <c r="BS137" s="615">
        <f t="array" ref="BS137">XLOOKUP(D137,'PL TOTAL XP'!A:A,'PL TOTAL XP'!C:C,"0")</f>
        <v>0</v>
      </c>
      <c r="BT137" s="616"/>
    </row>
    <row r="138" ht="15.75" customHeight="1">
      <c r="A138" s="183" t="s">
        <v>3820</v>
      </c>
      <c r="B138" s="78" t="s">
        <v>803</v>
      </c>
      <c r="C138" s="564" t="s">
        <v>801</v>
      </c>
      <c r="D138" s="623">
        <v>8118585.0</v>
      </c>
      <c r="E138" s="512" t="s">
        <v>18</v>
      </c>
      <c r="F138" s="512" t="s">
        <v>29</v>
      </c>
      <c r="G138" s="512" t="s">
        <v>168</v>
      </c>
      <c r="H138" s="512">
        <f>IFERROR(VLOOKUP(G138,'Cadastro de assessores'!A:B,2,FALSE),"Não Cadastrado")</f>
        <v>12344</v>
      </c>
      <c r="I138" s="512"/>
      <c r="J138" s="51" t="s">
        <v>3823</v>
      </c>
      <c r="K138" s="512" t="s">
        <v>107</v>
      </c>
      <c r="L138" s="624">
        <v>44638.0</v>
      </c>
      <c r="M138" s="624">
        <v>44657.0</v>
      </c>
      <c r="N138" s="655"/>
      <c r="O138" s="655" t="s">
        <v>808</v>
      </c>
      <c r="P138" s="612">
        <v>0.01</v>
      </c>
      <c r="Q138" s="620" t="s">
        <v>4261</v>
      </c>
      <c r="R138" s="613"/>
      <c r="S138" s="522" t="str">
        <f t="shared" si="12"/>
        <v>Não Qualificado</v>
      </c>
      <c r="T138" s="522" t="s">
        <v>108</v>
      </c>
      <c r="U138" s="522" t="s">
        <v>2580</v>
      </c>
      <c r="V138" s="522" t="s">
        <v>29</v>
      </c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614"/>
      <c r="AH138" s="614"/>
      <c r="AI138" s="614"/>
      <c r="AJ138" s="450"/>
      <c r="AK138" s="450"/>
      <c r="AL138" s="450"/>
      <c r="AM138" s="450"/>
      <c r="AN138" s="450"/>
      <c r="AO138" s="450"/>
      <c r="AP138" s="450"/>
      <c r="AQ138" s="450"/>
      <c r="AR138" s="450"/>
      <c r="AS138" s="450"/>
      <c r="AT138" s="450"/>
      <c r="AU138" s="450"/>
      <c r="AV138" s="450"/>
      <c r="AW138" s="450"/>
      <c r="AX138" s="468"/>
      <c r="AY138" s="468"/>
      <c r="AZ138" s="634"/>
      <c r="BA138" s="634"/>
      <c r="BB138" s="634"/>
      <c r="BC138" s="634">
        <v>14739.73</v>
      </c>
      <c r="BD138" s="450" t="s">
        <v>2566</v>
      </c>
      <c r="BE138" s="450">
        <v>72059.16</v>
      </c>
      <c r="BF138" s="450">
        <v>76819.45</v>
      </c>
      <c r="BG138" s="450">
        <v>75142.97</v>
      </c>
      <c r="BH138" s="450">
        <v>55353.2</v>
      </c>
      <c r="BI138" s="450">
        <v>57680.11</v>
      </c>
      <c r="BJ138" s="450">
        <v>60324.2</v>
      </c>
      <c r="BK138" s="450">
        <v>58556.13</v>
      </c>
      <c r="BL138" s="450">
        <v>58910.13</v>
      </c>
      <c r="BM138" s="450">
        <v>59634.42</v>
      </c>
      <c r="BN138" s="450">
        <v>0.0</v>
      </c>
      <c r="BO138" s="450">
        <v>0.0</v>
      </c>
      <c r="BP138" s="450">
        <v>0.0</v>
      </c>
      <c r="BQ138" s="450">
        <v>0.0</v>
      </c>
      <c r="BR138" s="450">
        <v>0.0</v>
      </c>
      <c r="BS138" s="615">
        <f t="array" ref="BS138">XLOOKUP(D138,'PL TOTAL XP'!A:A,'PL TOTAL XP'!C:C,"0")</f>
        <v>0</v>
      </c>
      <c r="BT138" s="616"/>
    </row>
    <row r="139" ht="15.75" customHeight="1">
      <c r="A139" s="183" t="s">
        <v>3820</v>
      </c>
      <c r="B139" s="78" t="s">
        <v>803</v>
      </c>
      <c r="C139" s="617" t="s">
        <v>801</v>
      </c>
      <c r="D139" s="522">
        <v>4468606.0</v>
      </c>
      <c r="E139" s="512" t="s">
        <v>18</v>
      </c>
      <c r="F139" s="512" t="s">
        <v>29</v>
      </c>
      <c r="G139" s="512" t="s">
        <v>168</v>
      </c>
      <c r="H139" s="512">
        <f>IFERROR(VLOOKUP(G139,'Cadastro de assessores'!A:B,2,FALSE),"Não Cadastrado")</f>
        <v>12344</v>
      </c>
      <c r="I139" s="512"/>
      <c r="J139" s="51" t="s">
        <v>3823</v>
      </c>
      <c r="K139" s="512" t="s">
        <v>107</v>
      </c>
      <c r="L139" s="610">
        <v>44106.0</v>
      </c>
      <c r="M139" s="610">
        <v>44106.0</v>
      </c>
      <c r="N139" s="566"/>
      <c r="O139" s="566" t="s">
        <v>3834</v>
      </c>
      <c r="P139" s="612">
        <v>0.007</v>
      </c>
      <c r="Q139" s="620" t="s">
        <v>4262</v>
      </c>
      <c r="R139" s="613"/>
      <c r="S139" s="522" t="str">
        <f t="shared" si="12"/>
        <v>Não Qualificado</v>
      </c>
      <c r="T139" s="522" t="s">
        <v>108</v>
      </c>
      <c r="U139" s="522" t="s">
        <v>2580</v>
      </c>
      <c r="V139" s="522" t="s">
        <v>29</v>
      </c>
      <c r="W139" s="614" t="s">
        <v>3830</v>
      </c>
      <c r="X139" s="614" t="s">
        <v>3830</v>
      </c>
      <c r="Y139" s="614" t="s">
        <v>3830</v>
      </c>
      <c r="Z139" s="614" t="s">
        <v>3830</v>
      </c>
      <c r="AA139" s="614" t="s">
        <v>3830</v>
      </c>
      <c r="AB139" s="614" t="s">
        <v>3830</v>
      </c>
      <c r="AC139" s="614" t="s">
        <v>3830</v>
      </c>
      <c r="AD139" s="614" t="s">
        <v>3830</v>
      </c>
      <c r="AE139" s="614" t="s">
        <v>3830</v>
      </c>
      <c r="AF139" s="614" t="s">
        <v>3830</v>
      </c>
      <c r="AG139" s="614" t="s">
        <v>3830</v>
      </c>
      <c r="AH139" s="614" t="s">
        <v>3830</v>
      </c>
      <c r="AI139" s="614" t="s">
        <v>4263</v>
      </c>
      <c r="AJ139" s="614" t="s">
        <v>4264</v>
      </c>
      <c r="AK139" s="450">
        <v>256506.55</v>
      </c>
      <c r="AL139" s="450">
        <v>250251.54</v>
      </c>
      <c r="AM139" s="450">
        <v>232489.35</v>
      </c>
      <c r="AN139" s="450">
        <v>230175.61</v>
      </c>
      <c r="AO139" s="450">
        <v>238436.46</v>
      </c>
      <c r="AP139" s="450">
        <v>240118.18</v>
      </c>
      <c r="AQ139" s="450">
        <v>238943.35</v>
      </c>
      <c r="AR139" s="450">
        <v>245668.69</v>
      </c>
      <c r="AS139" s="450">
        <v>242064.7</v>
      </c>
      <c r="AT139" s="450">
        <v>234519.83</v>
      </c>
      <c r="AU139" s="450">
        <v>233030.17</v>
      </c>
      <c r="AV139" s="450">
        <v>228293.54</v>
      </c>
      <c r="AW139" s="450">
        <v>213444.08</v>
      </c>
      <c r="AX139" s="450">
        <v>162734.85</v>
      </c>
      <c r="AY139" s="450">
        <v>224411.9</v>
      </c>
      <c r="AZ139" s="450">
        <v>224978.61</v>
      </c>
      <c r="BA139" s="450">
        <v>225622.88</v>
      </c>
      <c r="BB139" s="450">
        <v>372394.6</v>
      </c>
      <c r="BC139" s="450">
        <v>302194.53</v>
      </c>
      <c r="BD139" s="450">
        <v>1030957.81</v>
      </c>
      <c r="BE139" s="450">
        <v>1040652.87</v>
      </c>
      <c r="BF139" s="450">
        <v>1058290.42</v>
      </c>
      <c r="BG139" s="450">
        <v>1063294.828</v>
      </c>
      <c r="BH139" s="450">
        <v>1068630.17</v>
      </c>
      <c r="BI139" s="450">
        <v>49114.55</v>
      </c>
      <c r="BJ139" s="450">
        <v>49124.09</v>
      </c>
      <c r="BK139" s="450">
        <v>49527.11</v>
      </c>
      <c r="BL139" s="450">
        <v>17717.05</v>
      </c>
      <c r="BM139" s="450">
        <v>561.49</v>
      </c>
      <c r="BN139" s="450">
        <v>0.0</v>
      </c>
      <c r="BO139" s="450">
        <v>0.0</v>
      </c>
      <c r="BP139" s="450">
        <v>0.0</v>
      </c>
      <c r="BQ139" s="450">
        <v>0.0</v>
      </c>
      <c r="BR139" s="450">
        <v>0.0</v>
      </c>
      <c r="BS139" s="615">
        <f t="array" ref="BS139">XLOOKUP(D139,'PL TOTAL XP'!A:A,'PL TOTAL XP'!C:C,"0")</f>
        <v>0</v>
      </c>
      <c r="BT139" s="616"/>
    </row>
    <row r="140" ht="15.75" customHeight="1">
      <c r="A140" s="183" t="s">
        <v>3820</v>
      </c>
      <c r="B140" s="78" t="s">
        <v>803</v>
      </c>
      <c r="C140" s="617" t="s">
        <v>801</v>
      </c>
      <c r="D140" s="566">
        <v>7519150.0</v>
      </c>
      <c r="E140" s="512" t="s">
        <v>18</v>
      </c>
      <c r="F140" s="512" t="s">
        <v>29</v>
      </c>
      <c r="G140" s="566" t="s">
        <v>168</v>
      </c>
      <c r="H140" s="512">
        <f>IFERROR(VLOOKUP(G140,'Cadastro de assessores'!A:B,2,FALSE),"Não Cadastrado")</f>
        <v>12344</v>
      </c>
      <c r="I140" s="512"/>
      <c r="J140" s="51" t="s">
        <v>3823</v>
      </c>
      <c r="K140" s="512" t="s">
        <v>107</v>
      </c>
      <c r="L140" s="610">
        <v>44578.0</v>
      </c>
      <c r="M140" s="610">
        <v>44578.0</v>
      </c>
      <c r="N140" s="566"/>
      <c r="O140" s="566" t="s">
        <v>3834</v>
      </c>
      <c r="P140" s="612">
        <v>0.01</v>
      </c>
      <c r="Q140" s="620" t="s">
        <v>4265</v>
      </c>
      <c r="R140" s="613"/>
      <c r="S140" s="522" t="str">
        <f t="shared" si="12"/>
        <v/>
      </c>
      <c r="T140" s="522" t="s">
        <v>108</v>
      </c>
      <c r="U140" s="522" t="s">
        <v>2580</v>
      </c>
      <c r="V140" s="522" t="s">
        <v>29</v>
      </c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614"/>
      <c r="AI140" s="614"/>
      <c r="AJ140" s="450"/>
      <c r="AK140" s="450"/>
      <c r="AL140" s="450"/>
      <c r="AM140" s="450"/>
      <c r="AN140" s="450"/>
      <c r="AO140" s="450"/>
      <c r="AP140" s="450"/>
      <c r="AQ140" s="450"/>
      <c r="AR140" s="450"/>
      <c r="AS140" s="450"/>
      <c r="AT140" s="450"/>
      <c r="AU140" s="450"/>
      <c r="AV140" s="450"/>
      <c r="AW140" s="450"/>
      <c r="AX140" s="468"/>
      <c r="AY140" s="468"/>
      <c r="AZ140" s="614"/>
      <c r="BA140" s="614">
        <v>633216.98</v>
      </c>
      <c r="BB140" s="614">
        <v>698773.17</v>
      </c>
      <c r="BC140" s="614">
        <v>0.0</v>
      </c>
      <c r="BD140" s="450">
        <v>174303.46</v>
      </c>
      <c r="BE140" s="450">
        <v>172128.38</v>
      </c>
      <c r="BF140" s="450">
        <v>177405.52</v>
      </c>
      <c r="BG140" s="450">
        <v>176894.1595</v>
      </c>
      <c r="BH140" s="450">
        <v>98198.55</v>
      </c>
      <c r="BI140" s="450">
        <v>35381.54</v>
      </c>
      <c r="BJ140" s="450">
        <v>35738.92</v>
      </c>
      <c r="BK140" s="450">
        <v>34890.7</v>
      </c>
      <c r="BL140" s="450">
        <v>34455.08</v>
      </c>
      <c r="BM140" s="450">
        <v>35183.44</v>
      </c>
      <c r="BN140" s="450">
        <v>2.87</v>
      </c>
      <c r="BO140" s="450">
        <v>0.0</v>
      </c>
      <c r="BP140" s="450">
        <v>0.0</v>
      </c>
      <c r="BQ140" s="450">
        <v>0.0</v>
      </c>
      <c r="BR140" s="450">
        <v>0.0</v>
      </c>
      <c r="BS140" s="615">
        <f t="array" ref="BS140">XLOOKUP(D140,'PL TOTAL XP'!A:A,'PL TOTAL XP'!C:C,"0")</f>
        <v>0</v>
      </c>
      <c r="BT140" s="616"/>
    </row>
    <row r="141" ht="15.75" customHeight="1">
      <c r="A141" s="183" t="s">
        <v>3820</v>
      </c>
      <c r="B141" s="78" t="s">
        <v>803</v>
      </c>
      <c r="C141" s="617" t="s">
        <v>801</v>
      </c>
      <c r="D141" s="566">
        <v>96891.0</v>
      </c>
      <c r="E141" s="512" t="s">
        <v>18</v>
      </c>
      <c r="F141" s="512" t="s">
        <v>29</v>
      </c>
      <c r="G141" s="566" t="s">
        <v>168</v>
      </c>
      <c r="H141" s="512">
        <f>IFERROR(VLOOKUP(G141,'Cadastro de assessores'!A:B,2,FALSE),"Não Cadastrado")</f>
        <v>12344</v>
      </c>
      <c r="I141" s="512"/>
      <c r="J141" s="51" t="s">
        <v>3823</v>
      </c>
      <c r="K141" s="512" t="s">
        <v>107</v>
      </c>
      <c r="L141" s="610">
        <v>44614.0</v>
      </c>
      <c r="M141" s="610">
        <v>44614.0</v>
      </c>
      <c r="N141" s="627"/>
      <c r="O141" s="627" t="s">
        <v>3834</v>
      </c>
      <c r="P141" s="612">
        <v>0.007</v>
      </c>
      <c r="Q141" s="224" t="s">
        <v>4266</v>
      </c>
      <c r="R141" s="613"/>
      <c r="S141" s="522" t="str">
        <f t="shared" si="12"/>
        <v>Não Qualificado</v>
      </c>
      <c r="T141" s="522" t="s">
        <v>108</v>
      </c>
      <c r="U141" s="522" t="s">
        <v>2580</v>
      </c>
      <c r="V141" s="522" t="s">
        <v>29</v>
      </c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614"/>
      <c r="AH141" s="614"/>
      <c r="AI141" s="614"/>
      <c r="AJ141" s="450"/>
      <c r="AK141" s="450"/>
      <c r="AL141" s="450"/>
      <c r="AM141" s="450"/>
      <c r="AN141" s="450"/>
      <c r="AO141" s="450"/>
      <c r="AP141" s="450"/>
      <c r="AQ141" s="450"/>
      <c r="AR141" s="450"/>
      <c r="AS141" s="450"/>
      <c r="AT141" s="450"/>
      <c r="AU141" s="450"/>
      <c r="AV141" s="450"/>
      <c r="AW141" s="450"/>
      <c r="AX141" s="468"/>
      <c r="AY141" s="468"/>
      <c r="AZ141" s="634">
        <v>1691485.7</v>
      </c>
      <c r="BA141" s="634">
        <v>1255414.97</v>
      </c>
      <c r="BB141" s="634">
        <v>1082191.8</v>
      </c>
      <c r="BC141" s="634">
        <v>209924.43</v>
      </c>
      <c r="BD141" s="450">
        <v>1003433.82</v>
      </c>
      <c r="BE141" s="450">
        <v>996833.13</v>
      </c>
      <c r="BF141" s="450">
        <v>1025691.33</v>
      </c>
      <c r="BG141" s="450">
        <v>1055079.987</v>
      </c>
      <c r="BH141" s="450">
        <v>1099735.82</v>
      </c>
      <c r="BI141" s="450">
        <v>2130491.26</v>
      </c>
      <c r="BJ141" s="450">
        <v>2149403.76</v>
      </c>
      <c r="BK141" s="450">
        <v>2167502.14</v>
      </c>
      <c r="BL141" s="450">
        <v>2220686.4</v>
      </c>
      <c r="BM141" s="450">
        <v>280753.2</v>
      </c>
      <c r="BN141" s="450">
        <v>9753.42</v>
      </c>
      <c r="BO141" s="450">
        <v>9829.2</v>
      </c>
      <c r="BP141" s="450">
        <v>20.49</v>
      </c>
      <c r="BQ141" s="450">
        <v>20.49</v>
      </c>
      <c r="BR141" s="450">
        <v>20.49</v>
      </c>
      <c r="BS141" s="615">
        <f t="array" ref="BS141">XLOOKUP(D141,'PL TOTAL XP'!A:A,'PL TOTAL XP'!C:C,"0")</f>
        <v>0</v>
      </c>
      <c r="BT141" s="616"/>
    </row>
    <row r="142" ht="15.75" customHeight="1">
      <c r="A142" s="183" t="s">
        <v>3820</v>
      </c>
      <c r="B142" s="78" t="s">
        <v>803</v>
      </c>
      <c r="C142" s="617" t="s">
        <v>801</v>
      </c>
      <c r="D142" s="566">
        <v>7032894.0</v>
      </c>
      <c r="E142" s="512" t="s">
        <v>18</v>
      </c>
      <c r="F142" s="512" t="s">
        <v>29</v>
      </c>
      <c r="G142" s="566" t="s">
        <v>168</v>
      </c>
      <c r="H142" s="512">
        <f>IFERROR(VLOOKUP(G142,'Cadastro de assessores'!A:B,2,FALSE),"Não Cadastrado")</f>
        <v>12344</v>
      </c>
      <c r="I142" s="512"/>
      <c r="J142" s="46" t="s">
        <v>107</v>
      </c>
      <c r="K142" s="512" t="s">
        <v>107</v>
      </c>
      <c r="L142" s="624">
        <v>44504.0</v>
      </c>
      <c r="M142" s="624">
        <v>44508.0</v>
      </c>
      <c r="N142" s="566"/>
      <c r="O142" s="566" t="s">
        <v>3840</v>
      </c>
      <c r="P142" s="612">
        <v>0.025</v>
      </c>
      <c r="Q142" s="620"/>
      <c r="R142" s="613"/>
      <c r="S142" s="522" t="str">
        <f t="shared" si="12"/>
        <v>Não Qualificado</v>
      </c>
      <c r="T142" s="522" t="s">
        <v>108</v>
      </c>
      <c r="U142" s="522" t="s">
        <v>2580</v>
      </c>
      <c r="V142" s="522" t="s">
        <v>29</v>
      </c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614"/>
      <c r="AH142" s="614"/>
      <c r="AI142" s="450"/>
      <c r="AJ142" s="450"/>
      <c r="AK142" s="450"/>
      <c r="AL142" s="450"/>
      <c r="AM142" s="450"/>
      <c r="AN142" s="450"/>
      <c r="AO142" s="450"/>
      <c r="AP142" s="450"/>
      <c r="AQ142" s="450"/>
      <c r="AR142" s="634"/>
      <c r="AS142" s="449"/>
      <c r="AT142" s="449"/>
      <c r="AU142" s="450"/>
      <c r="AV142" s="450"/>
      <c r="AW142" s="468"/>
      <c r="AX142" s="449"/>
      <c r="AY142" s="449">
        <v>119198.3</v>
      </c>
      <c r="AZ142" s="450">
        <v>127531.9</v>
      </c>
      <c r="BA142" s="450">
        <v>125055.37</v>
      </c>
      <c r="BB142" s="450">
        <v>133742.34</v>
      </c>
      <c r="BC142" s="450">
        <v>212184.41</v>
      </c>
      <c r="BD142" s="450">
        <v>272795.66</v>
      </c>
      <c r="BE142" s="450">
        <v>261080.2</v>
      </c>
      <c r="BF142" s="450">
        <v>273532.84</v>
      </c>
      <c r="BG142" s="450">
        <v>275147.93</v>
      </c>
      <c r="BH142" s="450">
        <v>428930.31</v>
      </c>
      <c r="BI142" s="450">
        <v>484648.38</v>
      </c>
      <c r="BJ142" s="450">
        <v>482677.41</v>
      </c>
      <c r="BK142" s="450">
        <v>480297.84</v>
      </c>
      <c r="BL142" s="450">
        <v>487491.76</v>
      </c>
      <c r="BM142" s="450">
        <v>466967.29</v>
      </c>
      <c r="BN142" s="450">
        <v>40546.88</v>
      </c>
      <c r="BO142" s="450">
        <v>35410.84</v>
      </c>
      <c r="BP142" s="450">
        <v>32643.52</v>
      </c>
      <c r="BQ142" s="450">
        <v>34290.43</v>
      </c>
      <c r="BR142" s="450">
        <v>37262.32</v>
      </c>
      <c r="BS142" s="615">
        <f t="array" ref="BS142">XLOOKUP(D142,'PL TOTAL XP'!A:A,'PL TOTAL XP'!C:C,"0")</f>
        <v>34624.06</v>
      </c>
      <c r="BT142" s="616"/>
    </row>
    <row r="143" ht="15.75" customHeight="1">
      <c r="A143" s="183" t="s">
        <v>3820</v>
      </c>
      <c r="B143" s="78" t="s">
        <v>823</v>
      </c>
      <c r="C143" s="617" t="s">
        <v>821</v>
      </c>
      <c r="D143" s="522">
        <v>8853992.0</v>
      </c>
      <c r="E143" s="522" t="s">
        <v>18</v>
      </c>
      <c r="F143" s="522" t="s">
        <v>19</v>
      </c>
      <c r="G143" s="522" t="s">
        <v>122</v>
      </c>
      <c r="H143" s="512" t="str">
        <f>IFERROR(VLOOKUP(G143,'Cadastro de assessores'!A:B,2,FALSE),"Não Cadastrado")</f>
        <v>18890</v>
      </c>
      <c r="I143" s="522"/>
      <c r="J143" s="51" t="s">
        <v>3823</v>
      </c>
      <c r="K143" s="522"/>
      <c r="L143" s="619"/>
      <c r="M143" s="619">
        <v>44847.0</v>
      </c>
      <c r="N143" s="567"/>
      <c r="O143" s="566" t="s">
        <v>3834</v>
      </c>
      <c r="P143" s="612">
        <v>0.01</v>
      </c>
      <c r="Q143" s="620" t="s">
        <v>3932</v>
      </c>
      <c r="R143" s="613"/>
      <c r="S143" s="522"/>
      <c r="T143" s="522"/>
      <c r="U143" s="522"/>
      <c r="V143" s="522" t="s">
        <v>455</v>
      </c>
      <c r="W143" s="614"/>
      <c r="X143" s="614"/>
      <c r="Y143" s="614"/>
      <c r="Z143" s="614"/>
      <c r="AA143" s="614"/>
      <c r="AB143" s="614"/>
      <c r="AC143" s="614"/>
      <c r="AD143" s="614"/>
      <c r="AE143" s="614"/>
      <c r="AF143" s="614"/>
      <c r="AG143" s="614"/>
      <c r="AH143" s="614"/>
      <c r="AI143" s="614"/>
      <c r="AJ143" s="614"/>
      <c r="AK143" s="450"/>
      <c r="AL143" s="450"/>
      <c r="AM143" s="450"/>
      <c r="AN143" s="450"/>
      <c r="AO143" s="450"/>
      <c r="AP143" s="450"/>
      <c r="AQ143" s="450"/>
      <c r="AR143" s="450"/>
      <c r="AS143" s="450"/>
      <c r="AT143" s="450"/>
      <c r="AU143" s="450"/>
      <c r="AV143" s="450"/>
      <c r="AW143" s="450"/>
      <c r="AX143" s="450"/>
      <c r="AY143" s="450"/>
      <c r="AZ143" s="450"/>
      <c r="BA143" s="450"/>
      <c r="BB143" s="450"/>
      <c r="BC143" s="450"/>
      <c r="BD143" s="450"/>
      <c r="BE143" s="450"/>
      <c r="BF143" s="450"/>
      <c r="BG143" s="450"/>
      <c r="BH143" s="450"/>
      <c r="BI143" s="450">
        <v>16092.47</v>
      </c>
      <c r="BJ143" s="450">
        <v>16245.22</v>
      </c>
      <c r="BK143" s="450">
        <v>16382.43</v>
      </c>
      <c r="BL143" s="450">
        <v>16973.69</v>
      </c>
      <c r="BM143" s="450">
        <v>0.0</v>
      </c>
      <c r="BN143" s="450">
        <v>0.74</v>
      </c>
      <c r="BO143" s="450">
        <v>0.74</v>
      </c>
      <c r="BP143" s="450">
        <v>0.74</v>
      </c>
      <c r="BQ143" s="450">
        <v>0.74</v>
      </c>
      <c r="BR143" s="450">
        <v>0.74</v>
      </c>
      <c r="BS143" s="615">
        <f t="array" ref="BS143">XLOOKUP(D143,'PL TOTAL XP'!A:A,'PL TOTAL XP'!C:C,"0")</f>
        <v>0</v>
      </c>
      <c r="BT143" s="616"/>
    </row>
    <row r="144" ht="15.75" customHeight="1">
      <c r="A144" s="183" t="s">
        <v>3820</v>
      </c>
      <c r="B144" s="78" t="s">
        <v>4267</v>
      </c>
      <c r="C144" s="617" t="s">
        <v>4268</v>
      </c>
      <c r="D144" s="522">
        <v>4706119.0</v>
      </c>
      <c r="E144" s="522" t="s">
        <v>18</v>
      </c>
      <c r="F144" s="522" t="s">
        <v>29</v>
      </c>
      <c r="G144" s="522" t="s">
        <v>3827</v>
      </c>
      <c r="H144" s="522" t="str">
        <f>IFERROR(VLOOKUP(G144,'Cadastro de assessores'!A:B,2,FALSE),"Não Cadastrado")</f>
        <v>17679</v>
      </c>
      <c r="I144" s="522"/>
      <c r="J144" s="51" t="s">
        <v>186</v>
      </c>
      <c r="K144" s="522" t="s">
        <v>2563</v>
      </c>
      <c r="L144" s="619">
        <v>44203.0</v>
      </c>
      <c r="M144" s="619">
        <v>44203.0</v>
      </c>
      <c r="N144" s="567">
        <v>44450.0</v>
      </c>
      <c r="O144" s="566" t="s">
        <v>3869</v>
      </c>
      <c r="P144" s="612">
        <v>0.008</v>
      </c>
      <c r="Q144" s="620" t="s">
        <v>4269</v>
      </c>
      <c r="R144" s="613"/>
      <c r="S144" s="522" t="str">
        <f t="shared" ref="S144:S158" si="13">IF(BC144&lt;=0,"",IF(BC144&lt;=1000000,"Não Qualificado",IF(AND(BC144&gt;1000000,BC144&lt;=10000000),"Qualificado","Profissional")))</f>
        <v>Não Qualificado</v>
      </c>
      <c r="T144" s="522" t="s">
        <v>108</v>
      </c>
      <c r="U144" s="522" t="s">
        <v>2664</v>
      </c>
      <c r="V144" s="522" t="s">
        <v>791</v>
      </c>
      <c r="W144" s="614" t="s">
        <v>3830</v>
      </c>
      <c r="X144" s="614" t="s">
        <v>3830</v>
      </c>
      <c r="Y144" s="614" t="s">
        <v>3830</v>
      </c>
      <c r="Z144" s="614" t="s">
        <v>3830</v>
      </c>
      <c r="AA144" s="614" t="s">
        <v>3830</v>
      </c>
      <c r="AB144" s="614" t="s">
        <v>3830</v>
      </c>
      <c r="AC144" s="614" t="s">
        <v>3830</v>
      </c>
      <c r="AD144" s="614" t="s">
        <v>3830</v>
      </c>
      <c r="AE144" s="614" t="s">
        <v>3830</v>
      </c>
      <c r="AF144" s="614" t="s">
        <v>3830</v>
      </c>
      <c r="AG144" s="614" t="s">
        <v>3830</v>
      </c>
      <c r="AH144" s="614" t="s">
        <v>3830</v>
      </c>
      <c r="AI144" s="614" t="s">
        <v>3830</v>
      </c>
      <c r="AJ144" s="614" t="s">
        <v>3830</v>
      </c>
      <c r="AK144" s="450" t="s">
        <v>2600</v>
      </c>
      <c r="AL144" s="450">
        <v>300209.89</v>
      </c>
      <c r="AM144" s="450">
        <v>302479.35</v>
      </c>
      <c r="AN144" s="450">
        <v>293742.26</v>
      </c>
      <c r="AO144" s="450">
        <v>289421.1</v>
      </c>
      <c r="AP144" s="450">
        <v>292920.24</v>
      </c>
      <c r="AQ144" s="450">
        <v>294472.37</v>
      </c>
      <c r="AR144" s="450">
        <v>290274.14</v>
      </c>
      <c r="AS144" s="450">
        <v>286356.43</v>
      </c>
      <c r="AT144" s="450">
        <v>291987.59</v>
      </c>
      <c r="AU144" s="450">
        <v>283028.01</v>
      </c>
      <c r="AV144" s="450"/>
      <c r="AW144" s="450"/>
      <c r="AX144" s="450"/>
      <c r="AY144" s="450"/>
      <c r="AZ144" s="450"/>
      <c r="BA144" s="450"/>
      <c r="BB144" s="450"/>
      <c r="BC144" s="450">
        <v>310730.99</v>
      </c>
      <c r="BD144" s="450" t="s">
        <v>2566</v>
      </c>
      <c r="BE144" s="450" t="s">
        <v>2566</v>
      </c>
      <c r="BF144" s="450">
        <v>0.0</v>
      </c>
      <c r="BG144" s="450">
        <v>0.0</v>
      </c>
      <c r="BH144" s="450">
        <v>0.0</v>
      </c>
      <c r="BI144" s="450">
        <v>0.0</v>
      </c>
      <c r="BJ144" s="450">
        <v>0.0</v>
      </c>
      <c r="BK144" s="450">
        <v>0.0</v>
      </c>
      <c r="BL144" s="450">
        <v>0.0</v>
      </c>
      <c r="BM144" s="450">
        <v>0.0</v>
      </c>
      <c r="BN144" s="450">
        <v>0.0</v>
      </c>
      <c r="BO144" s="450">
        <v>0.0</v>
      </c>
      <c r="BP144" s="450">
        <v>0.0</v>
      </c>
      <c r="BQ144" s="450">
        <v>0.0</v>
      </c>
      <c r="BR144" s="450">
        <v>0.0</v>
      </c>
      <c r="BS144" s="615" t="str">
        <f t="array" ref="BS144">XLOOKUP(D144,'PL TOTAL XP'!A:A,'PL TOTAL XP'!C:C,"0")</f>
        <v>0</v>
      </c>
      <c r="BT144" s="616"/>
    </row>
    <row r="145" ht="15.75" customHeight="1">
      <c r="A145" s="183" t="s">
        <v>3820</v>
      </c>
      <c r="B145" s="78" t="s">
        <v>4267</v>
      </c>
      <c r="C145" s="617" t="s">
        <v>4268</v>
      </c>
      <c r="D145" s="522">
        <v>4728915.0</v>
      </c>
      <c r="E145" s="522" t="s">
        <v>18</v>
      </c>
      <c r="F145" s="522" t="s">
        <v>29</v>
      </c>
      <c r="G145" s="522" t="s">
        <v>3827</v>
      </c>
      <c r="H145" s="522" t="str">
        <f>IFERROR(VLOOKUP(G145,'Cadastro de assessores'!A:B,2,FALSE),"Não Cadastrado")</f>
        <v>17679</v>
      </c>
      <c r="I145" s="522"/>
      <c r="J145" s="51" t="s">
        <v>186</v>
      </c>
      <c r="K145" s="522" t="s">
        <v>2563</v>
      </c>
      <c r="L145" s="619">
        <v>44203.0</v>
      </c>
      <c r="M145" s="619">
        <v>44203.0</v>
      </c>
      <c r="N145" s="567">
        <v>44450.0</v>
      </c>
      <c r="O145" s="522" t="s">
        <v>3828</v>
      </c>
      <c r="P145" s="612">
        <v>0.015</v>
      </c>
      <c r="Q145" s="620" t="s">
        <v>4269</v>
      </c>
      <c r="R145" s="613"/>
      <c r="S145" s="522" t="str">
        <f t="shared" si="13"/>
        <v>Não Qualificado</v>
      </c>
      <c r="T145" s="522" t="s">
        <v>108</v>
      </c>
      <c r="U145" s="522" t="s">
        <v>2664</v>
      </c>
      <c r="V145" s="522" t="s">
        <v>791</v>
      </c>
      <c r="W145" s="614"/>
      <c r="X145" s="614"/>
      <c r="Y145" s="614"/>
      <c r="Z145" s="614"/>
      <c r="AA145" s="614"/>
      <c r="AB145" s="614"/>
      <c r="AC145" s="614"/>
      <c r="AD145" s="614"/>
      <c r="AE145" s="614"/>
      <c r="AF145" s="614"/>
      <c r="AG145" s="614"/>
      <c r="AH145" s="614"/>
      <c r="AI145" s="614"/>
      <c r="AJ145" s="614"/>
      <c r="AK145" s="450"/>
      <c r="AL145" s="450">
        <v>296997.29</v>
      </c>
      <c r="AM145" s="450">
        <v>289702.36</v>
      </c>
      <c r="AN145" s="450">
        <v>289024.76</v>
      </c>
      <c r="AO145" s="450">
        <v>297719.28</v>
      </c>
      <c r="AP145" s="450">
        <v>292668.66</v>
      </c>
      <c r="AQ145" s="450">
        <v>298534.26</v>
      </c>
      <c r="AR145" s="450">
        <v>305438.89</v>
      </c>
      <c r="AS145" s="450">
        <v>303185.26</v>
      </c>
      <c r="AT145" s="450">
        <v>297342.68</v>
      </c>
      <c r="AU145" s="450">
        <v>295681.92</v>
      </c>
      <c r="AV145" s="450"/>
      <c r="AW145" s="450"/>
      <c r="AX145" s="450"/>
      <c r="AY145" s="450"/>
      <c r="AZ145" s="450"/>
      <c r="BA145" s="450">
        <v>0.0</v>
      </c>
      <c r="BB145" s="450">
        <v>0.0</v>
      </c>
      <c r="BC145" s="450">
        <v>162720.85</v>
      </c>
      <c r="BD145" s="450" t="s">
        <v>2566</v>
      </c>
      <c r="BE145" s="450" t="s">
        <v>2566</v>
      </c>
      <c r="BF145" s="450">
        <v>0.0</v>
      </c>
      <c r="BG145" s="450">
        <v>0.0</v>
      </c>
      <c r="BH145" s="450">
        <v>0.0</v>
      </c>
      <c r="BI145" s="450">
        <v>0.0</v>
      </c>
      <c r="BJ145" s="450">
        <v>0.0</v>
      </c>
      <c r="BK145" s="450">
        <v>0.0</v>
      </c>
      <c r="BL145" s="450">
        <v>0.0</v>
      </c>
      <c r="BM145" s="450">
        <v>0.0</v>
      </c>
      <c r="BN145" s="450">
        <v>0.0</v>
      </c>
      <c r="BO145" s="450">
        <v>0.0</v>
      </c>
      <c r="BP145" s="450">
        <v>0.0</v>
      </c>
      <c r="BQ145" s="450">
        <v>0.0</v>
      </c>
      <c r="BR145" s="450">
        <v>0.0</v>
      </c>
      <c r="BS145" s="615" t="str">
        <f t="array" ref="BS145">XLOOKUP(D145,'PL TOTAL XP'!A:A,'PL TOTAL XP'!C:C,"0")</f>
        <v>0</v>
      </c>
      <c r="BT145" s="616"/>
    </row>
    <row r="146" ht="15.75" customHeight="1">
      <c r="A146" s="183" t="s">
        <v>3820</v>
      </c>
      <c r="B146" s="78" t="s">
        <v>4270</v>
      </c>
      <c r="C146" s="617" t="s">
        <v>4271</v>
      </c>
      <c r="D146" s="522">
        <v>3221916.0</v>
      </c>
      <c r="E146" s="512" t="s">
        <v>18</v>
      </c>
      <c r="F146" s="512" t="s">
        <v>29</v>
      </c>
      <c r="G146" s="512" t="s">
        <v>3827</v>
      </c>
      <c r="H146" s="512" t="str">
        <f>IFERROR(VLOOKUP(G146,'Cadastro de assessores'!A:B,2,FALSE),"Não Cadastrado")</f>
        <v>17679</v>
      </c>
      <c r="I146" s="512"/>
      <c r="J146" s="51" t="s">
        <v>3823</v>
      </c>
      <c r="K146" s="522" t="s">
        <v>147</v>
      </c>
      <c r="L146" s="522" t="s">
        <v>2600</v>
      </c>
      <c r="M146" s="640" t="s">
        <v>2599</v>
      </c>
      <c r="N146" s="522"/>
      <c r="O146" s="522" t="s">
        <v>3828</v>
      </c>
      <c r="P146" s="612">
        <v>0.015</v>
      </c>
      <c r="Q146" s="620"/>
      <c r="R146" s="613"/>
      <c r="S146" s="522" t="str">
        <f t="shared" si="13"/>
        <v>Não Qualificado</v>
      </c>
      <c r="T146" s="522" t="s">
        <v>108</v>
      </c>
      <c r="U146" s="522" t="s">
        <v>4240</v>
      </c>
      <c r="V146" s="522" t="s">
        <v>3672</v>
      </c>
      <c r="W146" s="614"/>
      <c r="X146" s="614"/>
      <c r="Y146" s="614"/>
      <c r="Z146" s="614"/>
      <c r="AA146" s="614"/>
      <c r="AB146" s="614"/>
      <c r="AC146" s="614"/>
      <c r="AD146" s="614"/>
      <c r="AE146" s="614"/>
      <c r="AF146" s="614"/>
      <c r="AG146" s="614"/>
      <c r="AH146" s="614"/>
      <c r="AI146" s="614"/>
      <c r="AJ146" s="614"/>
      <c r="AK146" s="450"/>
      <c r="AL146" s="450"/>
      <c r="AM146" s="450" t="s">
        <v>2600</v>
      </c>
      <c r="AN146" s="450" t="s">
        <v>2600</v>
      </c>
      <c r="AO146" s="450"/>
      <c r="AP146" s="450"/>
      <c r="AQ146" s="450"/>
      <c r="AR146" s="450"/>
      <c r="AS146" s="450"/>
      <c r="AT146" s="450"/>
      <c r="AU146" s="450"/>
      <c r="AV146" s="450"/>
      <c r="AW146" s="450"/>
      <c r="AX146" s="450"/>
      <c r="AY146" s="450"/>
      <c r="AZ146" s="450"/>
      <c r="BA146" s="450">
        <v>0.0</v>
      </c>
      <c r="BB146" s="450">
        <v>0.0</v>
      </c>
      <c r="BC146" s="450">
        <v>237.35</v>
      </c>
      <c r="BD146" s="450" t="s">
        <v>2566</v>
      </c>
      <c r="BE146" s="450" t="s">
        <v>2566</v>
      </c>
      <c r="BF146" s="450">
        <v>0.0</v>
      </c>
      <c r="BG146" s="450">
        <v>0.0</v>
      </c>
      <c r="BH146" s="450">
        <v>0.0</v>
      </c>
      <c r="BI146" s="450">
        <v>0.0</v>
      </c>
      <c r="BJ146" s="450">
        <v>0.0</v>
      </c>
      <c r="BK146" s="450">
        <v>0.0</v>
      </c>
      <c r="BL146" s="450">
        <v>0.0</v>
      </c>
      <c r="BM146" s="450">
        <v>0.0</v>
      </c>
      <c r="BN146" s="450">
        <v>0.0</v>
      </c>
      <c r="BO146" s="450">
        <v>0.0</v>
      </c>
      <c r="BP146" s="450">
        <v>0.0</v>
      </c>
      <c r="BQ146" s="450">
        <v>0.0</v>
      </c>
      <c r="BR146" s="450">
        <v>0.0</v>
      </c>
      <c r="BS146" s="615">
        <f t="array" ref="BS146">XLOOKUP(D146,'PL TOTAL XP'!A:A,'PL TOTAL XP'!C:C,"0")</f>
        <v>0</v>
      </c>
      <c r="BT146" s="616"/>
    </row>
    <row r="147" ht="15.75" customHeight="1">
      <c r="A147" s="183" t="s">
        <v>3820</v>
      </c>
      <c r="B147" s="78" t="s">
        <v>4272</v>
      </c>
      <c r="C147" s="617" t="s">
        <v>4273</v>
      </c>
      <c r="D147" s="522">
        <v>4668132.0</v>
      </c>
      <c r="E147" s="522" t="s">
        <v>18</v>
      </c>
      <c r="F147" s="522" t="s">
        <v>29</v>
      </c>
      <c r="G147" s="522" t="s">
        <v>3827</v>
      </c>
      <c r="H147" s="522" t="str">
        <f>IFERROR(VLOOKUP(G147,'Cadastro de assessores'!A:B,2,FALSE),"Não Cadastrado")</f>
        <v>17679</v>
      </c>
      <c r="I147" s="522"/>
      <c r="J147" s="51" t="s">
        <v>186</v>
      </c>
      <c r="K147" s="522" t="s">
        <v>2563</v>
      </c>
      <c r="L147" s="619">
        <v>44202.0</v>
      </c>
      <c r="M147" s="619">
        <v>44202.0</v>
      </c>
      <c r="N147" s="619">
        <v>44453.0</v>
      </c>
      <c r="O147" s="522" t="s">
        <v>3828</v>
      </c>
      <c r="P147" s="612">
        <v>0.015</v>
      </c>
      <c r="Q147" s="620" t="s">
        <v>4274</v>
      </c>
      <c r="R147" s="613"/>
      <c r="S147" s="522" t="str">
        <f t="shared" si="13"/>
        <v>Não Qualificado</v>
      </c>
      <c r="T147" s="522" t="s">
        <v>108</v>
      </c>
      <c r="U147" s="522" t="s">
        <v>4240</v>
      </c>
      <c r="V147" s="522" t="s">
        <v>3672</v>
      </c>
      <c r="W147" s="614"/>
      <c r="X147" s="614"/>
      <c r="Y147" s="614"/>
      <c r="Z147" s="614"/>
      <c r="AA147" s="614"/>
      <c r="AB147" s="614"/>
      <c r="AC147" s="614"/>
      <c r="AD147" s="614"/>
      <c r="AE147" s="614"/>
      <c r="AF147" s="614"/>
      <c r="AG147" s="614"/>
      <c r="AH147" s="614"/>
      <c r="AI147" s="614"/>
      <c r="AJ147" s="614"/>
      <c r="AK147" s="450"/>
      <c r="AL147" s="450">
        <v>59218.52</v>
      </c>
      <c r="AM147" s="450">
        <v>111543.09</v>
      </c>
      <c r="AN147" s="450">
        <v>111336.82</v>
      </c>
      <c r="AO147" s="450">
        <v>114681.86</v>
      </c>
      <c r="AP147" s="450">
        <v>115310.77</v>
      </c>
      <c r="AQ147" s="450">
        <v>114917.94</v>
      </c>
      <c r="AR147" s="450">
        <v>117383.6</v>
      </c>
      <c r="AS147" s="450">
        <v>116604.26</v>
      </c>
      <c r="AT147" s="450">
        <v>114357.23</v>
      </c>
      <c r="AU147" s="450">
        <v>113700.44</v>
      </c>
      <c r="AV147" s="450">
        <v>111910.79</v>
      </c>
      <c r="AW147" s="450"/>
      <c r="AX147" s="450"/>
      <c r="AY147" s="450"/>
      <c r="AZ147" s="450"/>
      <c r="BA147" s="450">
        <v>0.0</v>
      </c>
      <c r="BB147" s="450">
        <v>0.0</v>
      </c>
      <c r="BC147" s="450">
        <v>256541.88</v>
      </c>
      <c r="BD147" s="450" t="s">
        <v>2566</v>
      </c>
      <c r="BE147" s="450" t="s">
        <v>2566</v>
      </c>
      <c r="BF147" s="450">
        <v>0.0</v>
      </c>
      <c r="BG147" s="450">
        <v>0.0</v>
      </c>
      <c r="BH147" s="450">
        <v>0.0</v>
      </c>
      <c r="BI147" s="450">
        <v>0.0</v>
      </c>
      <c r="BJ147" s="450">
        <v>0.0</v>
      </c>
      <c r="BK147" s="450">
        <v>0.0</v>
      </c>
      <c r="BL147" s="450">
        <v>0.0</v>
      </c>
      <c r="BM147" s="450">
        <v>0.0</v>
      </c>
      <c r="BN147" s="450">
        <v>0.0</v>
      </c>
      <c r="BO147" s="450">
        <v>0.0</v>
      </c>
      <c r="BP147" s="450">
        <v>0.0</v>
      </c>
      <c r="BQ147" s="450">
        <v>0.0</v>
      </c>
      <c r="BR147" s="450">
        <v>0.0</v>
      </c>
      <c r="BS147" s="615" t="str">
        <f t="array" ref="BS147">XLOOKUP(D147,'PL TOTAL XP'!A:A,'PL TOTAL XP'!C:C,"0")</f>
        <v>0</v>
      </c>
      <c r="BT147" s="616"/>
    </row>
    <row r="148" ht="15.75" customHeight="1">
      <c r="A148" s="183" t="s">
        <v>3820</v>
      </c>
      <c r="B148" s="78" t="s">
        <v>4275</v>
      </c>
      <c r="C148" s="617" t="s">
        <v>4276</v>
      </c>
      <c r="D148" s="522">
        <v>4403283.0</v>
      </c>
      <c r="E148" s="522" t="s">
        <v>105</v>
      </c>
      <c r="F148" s="522" t="s">
        <v>29</v>
      </c>
      <c r="G148" s="522" t="s">
        <v>3878</v>
      </c>
      <c r="H148" s="522" t="str">
        <f>IFERROR(VLOOKUP(G148,'Cadastro de assessores'!A:B,2,FALSE),"Não Cadastrado")</f>
        <v>1441</v>
      </c>
      <c r="I148" s="522"/>
      <c r="J148" s="51" t="s">
        <v>186</v>
      </c>
      <c r="K148" s="522" t="s">
        <v>2563</v>
      </c>
      <c r="L148" s="619">
        <v>44075.0</v>
      </c>
      <c r="M148" s="619">
        <v>44075.0</v>
      </c>
      <c r="N148" s="567">
        <v>44537.0</v>
      </c>
      <c r="O148" s="566" t="s">
        <v>3824</v>
      </c>
      <c r="P148" s="612">
        <v>0.02</v>
      </c>
      <c r="Q148" s="620" t="s">
        <v>4277</v>
      </c>
      <c r="R148" s="613"/>
      <c r="S148" s="522" t="str">
        <f t="shared" si="13"/>
        <v/>
      </c>
      <c r="T148" s="522" t="s">
        <v>108</v>
      </c>
      <c r="U148" s="522" t="s">
        <v>4112</v>
      </c>
      <c r="V148" s="522" t="s">
        <v>152</v>
      </c>
      <c r="W148" s="614" t="s">
        <v>3830</v>
      </c>
      <c r="X148" s="614" t="s">
        <v>3830</v>
      </c>
      <c r="Y148" s="614" t="s">
        <v>3830</v>
      </c>
      <c r="Z148" s="614" t="s">
        <v>3830</v>
      </c>
      <c r="AA148" s="614" t="s">
        <v>3830</v>
      </c>
      <c r="AB148" s="614" t="s">
        <v>3830</v>
      </c>
      <c r="AC148" s="614" t="s">
        <v>3830</v>
      </c>
      <c r="AD148" s="614" t="s">
        <v>3830</v>
      </c>
      <c r="AE148" s="614" t="s">
        <v>3830</v>
      </c>
      <c r="AF148" s="614" t="s">
        <v>3830</v>
      </c>
      <c r="AG148" s="614" t="s">
        <v>4278</v>
      </c>
      <c r="AH148" s="614" t="s">
        <v>4279</v>
      </c>
      <c r="AI148" s="614" t="s">
        <v>4280</v>
      </c>
      <c r="AJ148" s="614" t="s">
        <v>4281</v>
      </c>
      <c r="AK148" s="450">
        <v>212420.23</v>
      </c>
      <c r="AL148" s="450">
        <v>207132.84</v>
      </c>
      <c r="AM148" s="450">
        <v>241664.81</v>
      </c>
      <c r="AN148" s="450">
        <v>240520.0</v>
      </c>
      <c r="AO148" s="450">
        <v>247244.88</v>
      </c>
      <c r="AP148" s="450">
        <v>254308.12</v>
      </c>
      <c r="AQ148" s="450">
        <v>252740.79</v>
      </c>
      <c r="AR148" s="450">
        <v>261805.33</v>
      </c>
      <c r="AS148" s="450">
        <v>256051.4</v>
      </c>
      <c r="AT148" s="450">
        <v>247960.85</v>
      </c>
      <c r="AU148" s="450">
        <v>246986.64</v>
      </c>
      <c r="AV148" s="450">
        <v>60433.15</v>
      </c>
      <c r="AW148" s="450">
        <v>114820.46</v>
      </c>
      <c r="AX148" s="450">
        <v>114673.43</v>
      </c>
      <c r="AY148" s="450"/>
      <c r="AZ148" s="450"/>
      <c r="BA148" s="450">
        <v>0.0</v>
      </c>
      <c r="BB148" s="450">
        <v>0.0</v>
      </c>
      <c r="BC148" s="450">
        <v>0.0</v>
      </c>
      <c r="BD148" s="450" t="s">
        <v>2566</v>
      </c>
      <c r="BE148" s="450" t="s">
        <v>2566</v>
      </c>
      <c r="BF148" s="450">
        <v>0.0</v>
      </c>
      <c r="BG148" s="450">
        <v>0.0</v>
      </c>
      <c r="BH148" s="450">
        <v>0.0</v>
      </c>
      <c r="BI148" s="450">
        <v>0.0</v>
      </c>
      <c r="BJ148" s="450">
        <v>0.0</v>
      </c>
      <c r="BK148" s="450">
        <v>0.0</v>
      </c>
      <c r="BL148" s="450">
        <v>0.0</v>
      </c>
      <c r="BM148" s="450">
        <v>0.0</v>
      </c>
      <c r="BN148" s="450">
        <v>0.0</v>
      </c>
      <c r="BO148" s="450">
        <v>0.0</v>
      </c>
      <c r="BP148" s="450">
        <v>0.0</v>
      </c>
      <c r="BQ148" s="450">
        <v>0.0</v>
      </c>
      <c r="BR148" s="450">
        <v>0.0</v>
      </c>
      <c r="BS148" s="615" t="str">
        <f t="array" ref="BS148">XLOOKUP(D148,'PL TOTAL XP'!A:A,'PL TOTAL XP'!C:C,"0")</f>
        <v>0</v>
      </c>
      <c r="BT148" s="616"/>
    </row>
    <row r="149" ht="15.75" customHeight="1">
      <c r="A149" s="183" t="s">
        <v>3820</v>
      </c>
      <c r="B149" s="78" t="s">
        <v>850</v>
      </c>
      <c r="C149" s="564" t="s">
        <v>4282</v>
      </c>
      <c r="D149" s="566">
        <v>5183783.0</v>
      </c>
      <c r="E149" s="609" t="s">
        <v>105</v>
      </c>
      <c r="F149" s="609" t="s">
        <v>29</v>
      </c>
      <c r="G149" s="512" t="s">
        <v>4283</v>
      </c>
      <c r="H149" s="512">
        <f>IFERROR(VLOOKUP(G149,'Cadastro de assessores'!A:B,2,FALSE),"Não Cadastrado")</f>
        <v>12330</v>
      </c>
      <c r="I149" s="512"/>
      <c r="J149" s="51" t="s">
        <v>3823</v>
      </c>
      <c r="K149" s="512" t="s">
        <v>107</v>
      </c>
      <c r="L149" s="624">
        <v>44701.0</v>
      </c>
      <c r="M149" s="624">
        <v>44701.0</v>
      </c>
      <c r="N149" s="566"/>
      <c r="O149" s="566" t="s">
        <v>3834</v>
      </c>
      <c r="P149" s="612">
        <v>0.007</v>
      </c>
      <c r="Q149" s="620"/>
      <c r="R149" s="613"/>
      <c r="S149" s="522" t="str">
        <f t="shared" si="13"/>
        <v/>
      </c>
      <c r="T149" s="522" t="s">
        <v>108</v>
      </c>
      <c r="U149" s="522" t="s">
        <v>2602</v>
      </c>
      <c r="V149" s="522" t="s">
        <v>29</v>
      </c>
      <c r="W149" s="614"/>
      <c r="X149" s="614"/>
      <c r="Y149" s="614"/>
      <c r="Z149" s="614"/>
      <c r="AA149" s="614"/>
      <c r="AB149" s="614"/>
      <c r="AC149" s="614"/>
      <c r="AD149" s="614"/>
      <c r="AE149" s="614"/>
      <c r="AF149" s="614"/>
      <c r="AG149" s="614"/>
      <c r="AH149" s="614"/>
      <c r="AI149" s="614"/>
      <c r="AJ149" s="614"/>
      <c r="AK149" s="450"/>
      <c r="AL149" s="450"/>
      <c r="AM149" s="450"/>
      <c r="AN149" s="450"/>
      <c r="AO149" s="450"/>
      <c r="AP149" s="450"/>
      <c r="AQ149" s="450"/>
      <c r="AR149" s="450"/>
      <c r="AS149" s="450"/>
      <c r="AT149" s="450"/>
      <c r="AU149" s="450"/>
      <c r="AV149" s="450"/>
      <c r="AW149" s="450"/>
      <c r="AX149" s="450"/>
      <c r="AY149" s="450"/>
      <c r="AZ149" s="450"/>
      <c r="BA149" s="450"/>
      <c r="BB149" s="450"/>
      <c r="BC149" s="450"/>
      <c r="BD149" s="450">
        <v>382840.19</v>
      </c>
      <c r="BE149" s="450">
        <v>281146.59</v>
      </c>
      <c r="BF149" s="450">
        <v>283719.22</v>
      </c>
      <c r="BG149" s="450">
        <v>305478.5201</v>
      </c>
      <c r="BH149" s="450">
        <v>307498.88</v>
      </c>
      <c r="BI149" s="450">
        <v>309874.48</v>
      </c>
      <c r="BJ149" s="450">
        <v>312853.76</v>
      </c>
      <c r="BK149" s="450">
        <v>315639.74</v>
      </c>
      <c r="BL149" s="450">
        <v>664.86</v>
      </c>
      <c r="BM149" s="450">
        <v>74.78</v>
      </c>
      <c r="BN149" s="450">
        <v>74.78</v>
      </c>
      <c r="BO149" s="450">
        <v>74.78</v>
      </c>
      <c r="BP149" s="450">
        <v>74.78</v>
      </c>
      <c r="BQ149" s="450">
        <v>74.78</v>
      </c>
      <c r="BR149" s="450">
        <v>74.78</v>
      </c>
      <c r="BS149" s="615">
        <f t="array" ref="BS149">XLOOKUP(D149,'PL TOTAL XP'!A:A,'PL TOTAL XP'!C:C,"0")</f>
        <v>0</v>
      </c>
      <c r="BT149" s="616"/>
    </row>
    <row r="150" ht="15.75" customHeight="1">
      <c r="A150" s="183" t="s">
        <v>3820</v>
      </c>
      <c r="B150" s="78" t="s">
        <v>872</v>
      </c>
      <c r="C150" s="645" t="s">
        <v>869</v>
      </c>
      <c r="D150" s="623">
        <v>3714503.0</v>
      </c>
      <c r="E150" s="609" t="s">
        <v>18</v>
      </c>
      <c r="F150" s="609" t="s">
        <v>19</v>
      </c>
      <c r="G150" s="512" t="s">
        <v>20</v>
      </c>
      <c r="H150" s="512">
        <f>IFERROR(VLOOKUP(G150,'Cadastro de assessores'!A:B,2,FALSE),"Não Cadastrado")</f>
        <v>12331</v>
      </c>
      <c r="I150" s="512"/>
      <c r="J150" s="51" t="s">
        <v>3823</v>
      </c>
      <c r="K150" s="512" t="s">
        <v>107</v>
      </c>
      <c r="L150" s="624">
        <v>44614.0</v>
      </c>
      <c r="M150" s="624">
        <v>44614.0</v>
      </c>
      <c r="N150" s="566"/>
      <c r="O150" s="566" t="s">
        <v>3834</v>
      </c>
      <c r="P150" s="612">
        <v>0.007</v>
      </c>
      <c r="Q150" s="506" t="s">
        <v>4284</v>
      </c>
      <c r="R150" s="613"/>
      <c r="S150" s="522" t="str">
        <f t="shared" si="13"/>
        <v>Não Qualificado</v>
      </c>
      <c r="T150" s="522" t="s">
        <v>108</v>
      </c>
      <c r="U150" s="522" t="s">
        <v>3444</v>
      </c>
      <c r="V150" s="522" t="s">
        <v>873</v>
      </c>
      <c r="W150" s="614"/>
      <c r="X150" s="614"/>
      <c r="Y150" s="614"/>
      <c r="Z150" s="614"/>
      <c r="AA150" s="614"/>
      <c r="AB150" s="614"/>
      <c r="AC150" s="614"/>
      <c r="AD150" s="614"/>
      <c r="AE150" s="614"/>
      <c r="AF150" s="614"/>
      <c r="AG150" s="614"/>
      <c r="AH150" s="614"/>
      <c r="AI150" s="614"/>
      <c r="AJ150" s="614"/>
      <c r="AK150" s="450"/>
      <c r="AL150" s="450"/>
      <c r="AM150" s="450"/>
      <c r="AN150" s="450"/>
      <c r="AO150" s="450"/>
      <c r="AP150" s="450"/>
      <c r="AQ150" s="450"/>
      <c r="AR150" s="450"/>
      <c r="AS150" s="450"/>
      <c r="AT150" s="450"/>
      <c r="AU150" s="450"/>
      <c r="AV150" s="450"/>
      <c r="AW150" s="450"/>
      <c r="AX150" s="450"/>
      <c r="AY150" s="450"/>
      <c r="AZ150" s="450"/>
      <c r="BA150" s="450">
        <v>141704.68</v>
      </c>
      <c r="BB150" s="450">
        <v>143339.33</v>
      </c>
      <c r="BC150" s="450">
        <v>769557.67</v>
      </c>
      <c r="BD150" s="450">
        <v>145770.58</v>
      </c>
      <c r="BE150" s="450">
        <v>147108.99</v>
      </c>
      <c r="BF150" s="450">
        <v>148023.34</v>
      </c>
      <c r="BG150" s="450">
        <v>149001.0312</v>
      </c>
      <c r="BH150" s="450">
        <v>149878.94</v>
      </c>
      <c r="BI150" s="450">
        <v>151025.28</v>
      </c>
      <c r="BJ150" s="450">
        <v>152301.47</v>
      </c>
      <c r="BK150" s="450">
        <v>153539.88</v>
      </c>
      <c r="BL150" s="450">
        <v>150829.36</v>
      </c>
      <c r="BM150" s="450">
        <v>162710.88</v>
      </c>
      <c r="BN150" s="450">
        <v>129672.04</v>
      </c>
      <c r="BO150" s="450">
        <v>56820.29</v>
      </c>
      <c r="BP150" s="450">
        <v>49793.5</v>
      </c>
      <c r="BQ150" s="450">
        <v>49757.2</v>
      </c>
      <c r="BR150" s="450">
        <v>211.65</v>
      </c>
      <c r="BS150" s="615">
        <f t="array" ref="BS150">XLOOKUP(D150,'PL TOTAL XP'!A:A,'PL TOTAL XP'!C:C,"0")</f>
        <v>0</v>
      </c>
      <c r="BT150" s="616"/>
    </row>
    <row r="151" ht="15.75" customHeight="1">
      <c r="A151" s="183" t="s">
        <v>3820</v>
      </c>
      <c r="B151" s="78" t="s">
        <v>4285</v>
      </c>
      <c r="C151" s="564" t="s">
        <v>4286</v>
      </c>
      <c r="D151" s="566">
        <v>6121090.0</v>
      </c>
      <c r="E151" s="522" t="s">
        <v>18</v>
      </c>
      <c r="F151" s="511" t="s">
        <v>19</v>
      </c>
      <c r="G151" s="522" t="s">
        <v>256</v>
      </c>
      <c r="H151" s="511" t="str">
        <f>IFERROR(VLOOKUP(G151,'Cadastro de assessores'!A:B,2,FALSE),"Não Cadastrado")</f>
        <v>18009</v>
      </c>
      <c r="I151" s="511"/>
      <c r="J151" s="51" t="s">
        <v>186</v>
      </c>
      <c r="K151" s="522" t="s">
        <v>2563</v>
      </c>
      <c r="L151" s="619"/>
      <c r="M151" s="619">
        <v>44421.0</v>
      </c>
      <c r="N151" s="619">
        <v>44685.0</v>
      </c>
      <c r="O151" s="522" t="s">
        <v>3824</v>
      </c>
      <c r="P151" s="612">
        <v>0.02</v>
      </c>
      <c r="Q151" s="224" t="s">
        <v>4287</v>
      </c>
      <c r="R151" s="613"/>
      <c r="S151" s="522" t="str">
        <f t="shared" si="13"/>
        <v>Não Qualificado</v>
      </c>
      <c r="T151" s="522" t="s">
        <v>108</v>
      </c>
      <c r="U151" s="566" t="s">
        <v>4288</v>
      </c>
      <c r="V151" s="522" t="s">
        <v>152</v>
      </c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614"/>
      <c r="AI151" s="614"/>
      <c r="AJ151" s="450"/>
      <c r="AK151" s="450"/>
      <c r="AL151" s="450"/>
      <c r="AM151" s="450"/>
      <c r="AN151" s="450"/>
      <c r="AO151" s="450"/>
      <c r="AP151" s="450"/>
      <c r="AQ151" s="450"/>
      <c r="AR151" s="450"/>
      <c r="AS151" s="634"/>
      <c r="AT151" s="449"/>
      <c r="AU151" s="449">
        <v>47827.66</v>
      </c>
      <c r="AV151" s="450">
        <v>46440.15</v>
      </c>
      <c r="AW151" s="450">
        <v>44189.16</v>
      </c>
      <c r="AX151" s="450">
        <v>43967.21</v>
      </c>
      <c r="AY151" s="450">
        <v>44439.5</v>
      </c>
      <c r="AZ151" s="450">
        <v>45943.08</v>
      </c>
      <c r="BA151" s="450">
        <v>46251.82</v>
      </c>
      <c r="BB151" s="450">
        <v>48186.57</v>
      </c>
      <c r="BC151" s="450">
        <v>264992.66</v>
      </c>
      <c r="BD151" s="450" t="s">
        <v>2566</v>
      </c>
      <c r="BE151" s="450" t="s">
        <v>2566</v>
      </c>
      <c r="BF151" s="450">
        <v>0.0</v>
      </c>
      <c r="BG151" s="450">
        <v>0.0</v>
      </c>
      <c r="BH151" s="450">
        <v>0.0</v>
      </c>
      <c r="BI151" s="450">
        <v>0.0</v>
      </c>
      <c r="BJ151" s="450">
        <v>0.0</v>
      </c>
      <c r="BK151" s="450">
        <v>0.0</v>
      </c>
      <c r="BL151" s="450">
        <v>0.0</v>
      </c>
      <c r="BM151" s="450">
        <v>0.0</v>
      </c>
      <c r="BN151" s="450">
        <v>0.0</v>
      </c>
      <c r="BO151" s="450">
        <v>0.0</v>
      </c>
      <c r="BP151" s="450">
        <v>0.0</v>
      </c>
      <c r="BQ151" s="450">
        <v>0.0</v>
      </c>
      <c r="BR151" s="450">
        <v>0.0</v>
      </c>
      <c r="BS151" s="615" t="str">
        <f t="array" ref="BS151">XLOOKUP(D151,'PL TOTAL XP'!A:A,'PL TOTAL XP'!C:C,"0")</f>
        <v>0</v>
      </c>
      <c r="BT151" s="616"/>
    </row>
    <row r="152" ht="17.25" customHeight="1">
      <c r="A152" s="183" t="s">
        <v>3820</v>
      </c>
      <c r="B152" s="78" t="s">
        <v>882</v>
      </c>
      <c r="C152" s="564" t="s">
        <v>880</v>
      </c>
      <c r="D152" s="623">
        <v>8203715.0</v>
      </c>
      <c r="E152" s="512" t="s">
        <v>18</v>
      </c>
      <c r="F152" s="512" t="s">
        <v>29</v>
      </c>
      <c r="G152" s="512" t="s">
        <v>168</v>
      </c>
      <c r="H152" s="512">
        <f>IFERROR(VLOOKUP(G152,'Cadastro de assessores'!A:B,2,FALSE),"Não Cadastrado")</f>
        <v>12344</v>
      </c>
      <c r="I152" s="512"/>
      <c r="J152" s="51" t="s">
        <v>3823</v>
      </c>
      <c r="K152" s="512" t="s">
        <v>107</v>
      </c>
      <c r="L152" s="624">
        <v>44649.0</v>
      </c>
      <c r="M152" s="624">
        <v>44655.0</v>
      </c>
      <c r="N152" s="566"/>
      <c r="O152" s="566" t="s">
        <v>3834</v>
      </c>
      <c r="P152" s="612">
        <v>0.007</v>
      </c>
      <c r="Q152" s="620"/>
      <c r="R152" s="613"/>
      <c r="S152" s="522" t="str">
        <f t="shared" si="13"/>
        <v/>
      </c>
      <c r="T152" s="522" t="s">
        <v>108</v>
      </c>
      <c r="U152" s="522" t="s">
        <v>2591</v>
      </c>
      <c r="V152" s="522" t="s">
        <v>29</v>
      </c>
      <c r="W152" s="614"/>
      <c r="X152" s="614"/>
      <c r="Y152" s="614"/>
      <c r="Z152" s="614"/>
      <c r="AA152" s="614"/>
      <c r="AB152" s="614"/>
      <c r="AC152" s="614"/>
      <c r="AD152" s="614"/>
      <c r="AE152" s="614"/>
      <c r="AF152" s="614"/>
      <c r="AG152" s="614"/>
      <c r="AH152" s="614"/>
      <c r="AI152" s="614"/>
      <c r="AJ152" s="614"/>
      <c r="AK152" s="450"/>
      <c r="AL152" s="450"/>
      <c r="AM152" s="450"/>
      <c r="AN152" s="450"/>
      <c r="AO152" s="450"/>
      <c r="AP152" s="450"/>
      <c r="AQ152" s="450"/>
      <c r="AR152" s="450"/>
      <c r="AS152" s="450"/>
      <c r="AT152" s="450"/>
      <c r="AU152" s="450"/>
      <c r="AV152" s="450"/>
      <c r="AW152" s="450"/>
      <c r="AX152" s="450"/>
      <c r="AY152" s="450"/>
      <c r="AZ152" s="450"/>
      <c r="BA152" s="450"/>
      <c r="BB152" s="450">
        <v>0.0</v>
      </c>
      <c r="BC152" s="450"/>
      <c r="BD152" s="450">
        <v>318697.81</v>
      </c>
      <c r="BE152" s="450">
        <v>321055.34</v>
      </c>
      <c r="BF152" s="450">
        <v>322692.09</v>
      </c>
      <c r="BG152" s="450">
        <v>478441.0218</v>
      </c>
      <c r="BH152" s="450">
        <v>482933.32</v>
      </c>
      <c r="BI152" s="450">
        <v>486859.84</v>
      </c>
      <c r="BJ152" s="450">
        <v>489909.03</v>
      </c>
      <c r="BK152" s="450">
        <v>494950.75</v>
      </c>
      <c r="BL152" s="450">
        <v>638708.21</v>
      </c>
      <c r="BM152" s="450">
        <v>503776.9</v>
      </c>
      <c r="BN152" s="450">
        <v>0.0</v>
      </c>
      <c r="BO152" s="450">
        <v>0.0</v>
      </c>
      <c r="BP152" s="450">
        <v>0.0</v>
      </c>
      <c r="BQ152" s="450">
        <v>0.0</v>
      </c>
      <c r="BR152" s="450">
        <v>0.0</v>
      </c>
      <c r="BS152" s="615">
        <f t="array" ref="BS152">XLOOKUP(D152,'PL TOTAL XP'!A:A,'PL TOTAL XP'!C:C,"0")</f>
        <v>0</v>
      </c>
      <c r="BT152" s="616"/>
    </row>
    <row r="153" ht="15.75" customHeight="1">
      <c r="A153" s="183" t="s">
        <v>3820</v>
      </c>
      <c r="B153" s="78" t="s">
        <v>4289</v>
      </c>
      <c r="C153" s="564" t="s">
        <v>4290</v>
      </c>
      <c r="D153" s="566">
        <v>0.0</v>
      </c>
      <c r="E153" s="522" t="s">
        <v>18</v>
      </c>
      <c r="F153" s="511" t="s">
        <v>19</v>
      </c>
      <c r="G153" s="522" t="s">
        <v>256</v>
      </c>
      <c r="H153" s="511" t="str">
        <f>IFERROR(VLOOKUP(G153,'Cadastro de assessores'!A:B,2,FALSE),"Não Cadastrado")</f>
        <v>18009</v>
      </c>
      <c r="I153" s="511"/>
      <c r="J153" s="51" t="s">
        <v>186</v>
      </c>
      <c r="K153" s="522" t="s">
        <v>2563</v>
      </c>
      <c r="L153" s="619">
        <v>44300.0</v>
      </c>
      <c r="M153" s="619">
        <v>44300.0</v>
      </c>
      <c r="N153" s="619">
        <v>44651.0</v>
      </c>
      <c r="O153" s="522" t="s">
        <v>3828</v>
      </c>
      <c r="P153" s="612">
        <v>0.012</v>
      </c>
      <c r="Q153" s="620" t="s">
        <v>4291</v>
      </c>
      <c r="R153" s="613"/>
      <c r="S153" s="522" t="str">
        <f t="shared" si="13"/>
        <v>Não Qualificado</v>
      </c>
      <c r="T153" s="522" t="s">
        <v>108</v>
      </c>
      <c r="U153" s="522" t="s">
        <v>2619</v>
      </c>
      <c r="V153" s="522" t="s">
        <v>152</v>
      </c>
      <c r="W153" s="614"/>
      <c r="X153" s="614"/>
      <c r="Y153" s="614"/>
      <c r="Z153" s="614"/>
      <c r="AA153" s="614"/>
      <c r="AB153" s="614"/>
      <c r="AC153" s="614"/>
      <c r="AD153" s="614"/>
      <c r="AE153" s="614"/>
      <c r="AF153" s="614"/>
      <c r="AG153" s="614"/>
      <c r="AH153" s="614"/>
      <c r="AI153" s="614"/>
      <c r="AJ153" s="614"/>
      <c r="AK153" s="450"/>
      <c r="AL153" s="450"/>
      <c r="AM153" s="450"/>
      <c r="AN153" s="450"/>
      <c r="AO153" s="450"/>
      <c r="AP153" s="450">
        <v>236507.03</v>
      </c>
      <c r="AQ153" s="450">
        <v>236037.96</v>
      </c>
      <c r="AR153" s="450">
        <v>238935.82</v>
      </c>
      <c r="AS153" s="450">
        <v>238307.02</v>
      </c>
      <c r="AT153" s="450">
        <v>240933.87</v>
      </c>
      <c r="AU153" s="450">
        <v>302129.81</v>
      </c>
      <c r="AV153" s="450">
        <v>296868.15</v>
      </c>
      <c r="AW153" s="450">
        <v>287734.45</v>
      </c>
      <c r="AX153" s="450">
        <v>287931.74</v>
      </c>
      <c r="AY153" s="450">
        <v>271617.8</v>
      </c>
      <c r="AZ153" s="450">
        <v>279245.12</v>
      </c>
      <c r="BA153" s="450"/>
      <c r="BB153" s="450">
        <v>281601.33</v>
      </c>
      <c r="BC153" s="450">
        <v>307801.13</v>
      </c>
      <c r="BD153" s="450" t="s">
        <v>2566</v>
      </c>
      <c r="BE153" s="450" t="s">
        <v>2566</v>
      </c>
      <c r="BF153" s="450">
        <v>0.0</v>
      </c>
      <c r="BG153" s="450">
        <v>0.0</v>
      </c>
      <c r="BH153" s="450">
        <v>0.0</v>
      </c>
      <c r="BI153" s="450">
        <v>0.0</v>
      </c>
      <c r="BJ153" s="450">
        <v>0.0</v>
      </c>
      <c r="BK153" s="450">
        <v>0.0</v>
      </c>
      <c r="BL153" s="450">
        <v>0.0</v>
      </c>
      <c r="BM153" s="450">
        <v>0.0</v>
      </c>
      <c r="BN153" s="450">
        <v>0.0</v>
      </c>
      <c r="BO153" s="450">
        <v>0.0</v>
      </c>
      <c r="BP153" s="450">
        <v>0.0</v>
      </c>
      <c r="BQ153" s="450">
        <v>0.0</v>
      </c>
      <c r="BR153" s="450">
        <v>0.0</v>
      </c>
      <c r="BS153" s="615" t="str">
        <f t="array" ref="BS153">XLOOKUP(D153,'PL TOTAL XP'!A:A,'PL TOTAL XP'!C:C,"0")</f>
        <v>0</v>
      </c>
      <c r="BT153" s="616"/>
    </row>
    <row r="154" ht="15.75" customHeight="1">
      <c r="A154" s="183" t="s">
        <v>3820</v>
      </c>
      <c r="B154" s="78" t="s">
        <v>888</v>
      </c>
      <c r="C154" s="564" t="s">
        <v>4292</v>
      </c>
      <c r="D154" s="566">
        <v>3561110.0</v>
      </c>
      <c r="E154" s="512" t="s">
        <v>18</v>
      </c>
      <c r="F154" s="512" t="s">
        <v>29</v>
      </c>
      <c r="G154" s="566" t="s">
        <v>836</v>
      </c>
      <c r="H154" s="566">
        <f>IFERROR(VLOOKUP(G154,'Cadastro de assessores'!A:B,2,FALSE),"Não Cadastrado")</f>
        <v>12342</v>
      </c>
      <c r="I154" s="566"/>
      <c r="J154" s="51" t="s">
        <v>3823</v>
      </c>
      <c r="K154" s="512" t="s">
        <v>107</v>
      </c>
      <c r="L154" s="624">
        <v>44656.0</v>
      </c>
      <c r="M154" s="624">
        <v>44658.0</v>
      </c>
      <c r="N154" s="566"/>
      <c r="O154" s="566" t="s">
        <v>3834</v>
      </c>
      <c r="P154" s="612">
        <v>0.007</v>
      </c>
      <c r="Q154" s="224" t="s">
        <v>4293</v>
      </c>
      <c r="R154" s="613"/>
      <c r="S154" s="522" t="str">
        <f t="shared" si="13"/>
        <v>Não Qualificado</v>
      </c>
      <c r="T154" s="522" t="s">
        <v>108</v>
      </c>
      <c r="U154" s="566" t="s">
        <v>2591</v>
      </c>
      <c r="V154" s="566" t="s">
        <v>29</v>
      </c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50"/>
      <c r="AL154" s="450"/>
      <c r="AM154" s="450"/>
      <c r="AN154" s="450"/>
      <c r="AO154" s="450"/>
      <c r="AP154" s="450"/>
      <c r="AQ154" s="468"/>
      <c r="AR154" s="449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450">
        <v>185043.78</v>
      </c>
      <c r="BD154" s="450">
        <v>90983.04</v>
      </c>
      <c r="BE154" s="450">
        <v>146913.53</v>
      </c>
      <c r="BF154" s="450">
        <v>147726.78</v>
      </c>
      <c r="BG154" s="450">
        <v>194847.3991</v>
      </c>
      <c r="BH154" s="450">
        <v>528900.29</v>
      </c>
      <c r="BI154" s="450">
        <v>714954.58</v>
      </c>
      <c r="BJ154" s="450">
        <v>771236.72</v>
      </c>
      <c r="BK154" s="450">
        <v>778736.87</v>
      </c>
      <c r="BL154" s="450">
        <v>787775.81</v>
      </c>
      <c r="BM154" s="450">
        <v>738039.4</v>
      </c>
      <c r="BN154" s="450">
        <v>747012.38</v>
      </c>
      <c r="BO154" s="450">
        <v>704170.24</v>
      </c>
      <c r="BP154" s="450">
        <v>711924.65</v>
      </c>
      <c r="BQ154" s="450">
        <v>701135.39</v>
      </c>
      <c r="BR154" s="450">
        <v>669772.23</v>
      </c>
      <c r="BS154" s="615">
        <f t="array" ref="BS154">XLOOKUP(D154,'PL TOTAL XP'!A:A,'PL TOTAL XP'!C:C,"0")</f>
        <v>0</v>
      </c>
      <c r="BT154" s="616"/>
    </row>
    <row r="155" ht="15.75" customHeight="1">
      <c r="A155" s="183" t="s">
        <v>3820</v>
      </c>
      <c r="B155" s="78" t="s">
        <v>4294</v>
      </c>
      <c r="C155" s="617" t="s">
        <v>4295</v>
      </c>
      <c r="D155" s="522">
        <v>4403399.0</v>
      </c>
      <c r="E155" s="522" t="s">
        <v>105</v>
      </c>
      <c r="F155" s="522" t="s">
        <v>29</v>
      </c>
      <c r="G155" s="522" t="s">
        <v>4084</v>
      </c>
      <c r="H155" s="522" t="str">
        <f>IFERROR(VLOOKUP(G155,'Cadastro de assessores'!A:B,2,FALSE),"Não Cadastrado")</f>
        <v>15049</v>
      </c>
      <c r="I155" s="522"/>
      <c r="J155" s="51" t="s">
        <v>186</v>
      </c>
      <c r="K155" s="522" t="s">
        <v>2563</v>
      </c>
      <c r="L155" s="619">
        <v>44074.0</v>
      </c>
      <c r="M155" s="619">
        <v>44074.0</v>
      </c>
      <c r="N155" s="619">
        <v>44627.0</v>
      </c>
      <c r="O155" s="522" t="s">
        <v>3836</v>
      </c>
      <c r="P155" s="612">
        <v>0.012</v>
      </c>
      <c r="Q155" s="620" t="s">
        <v>4296</v>
      </c>
      <c r="R155" s="613"/>
      <c r="S155" s="522" t="str">
        <f t="shared" si="13"/>
        <v>Não Qualificado</v>
      </c>
      <c r="T155" s="522" t="s">
        <v>108</v>
      </c>
      <c r="U155" s="522" t="s">
        <v>3123</v>
      </c>
      <c r="V155" s="522" t="s">
        <v>29</v>
      </c>
      <c r="W155" s="614" t="s">
        <v>3830</v>
      </c>
      <c r="X155" s="614" t="s">
        <v>3830</v>
      </c>
      <c r="Y155" s="614" t="s">
        <v>3830</v>
      </c>
      <c r="Z155" s="614" t="s">
        <v>3830</v>
      </c>
      <c r="AA155" s="614" t="s">
        <v>3830</v>
      </c>
      <c r="AB155" s="614" t="s">
        <v>3830</v>
      </c>
      <c r="AC155" s="614" t="s">
        <v>3830</v>
      </c>
      <c r="AD155" s="614" t="s">
        <v>3830</v>
      </c>
      <c r="AE155" s="614" t="s">
        <v>3830</v>
      </c>
      <c r="AF155" s="614" t="s">
        <v>3830</v>
      </c>
      <c r="AG155" s="614" t="s">
        <v>4297</v>
      </c>
      <c r="AH155" s="614" t="s">
        <v>4298</v>
      </c>
      <c r="AI155" s="614" t="s">
        <v>4299</v>
      </c>
      <c r="AJ155" s="614" t="s">
        <v>4300</v>
      </c>
      <c r="AK155" s="450">
        <v>341942.98</v>
      </c>
      <c r="AL155" s="450">
        <v>385396.66</v>
      </c>
      <c r="AM155" s="450">
        <v>379495.89</v>
      </c>
      <c r="AN155" s="450">
        <v>379183.97</v>
      </c>
      <c r="AO155" s="450">
        <v>382477.97</v>
      </c>
      <c r="AP155" s="450">
        <v>383193.45</v>
      </c>
      <c r="AQ155" s="450">
        <v>382437.44</v>
      </c>
      <c r="AR155" s="450">
        <v>387372.87</v>
      </c>
      <c r="AS155" s="450">
        <v>386609.88</v>
      </c>
      <c r="AT155" s="450">
        <v>383867.77</v>
      </c>
      <c r="AU155" s="450">
        <v>383775.99</v>
      </c>
      <c r="AV155" s="450">
        <v>381921.63</v>
      </c>
      <c r="AW155" s="450">
        <v>374515.3</v>
      </c>
      <c r="AX155" s="450">
        <v>374422.49</v>
      </c>
      <c r="AY155" s="450">
        <v>378125.76</v>
      </c>
      <c r="AZ155" s="450">
        <v>383328.31</v>
      </c>
      <c r="BA155" s="450">
        <v>384674.62</v>
      </c>
      <c r="BB155" s="450">
        <v>0.0</v>
      </c>
      <c r="BC155" s="450">
        <v>102598.23</v>
      </c>
      <c r="BD155" s="450" t="s">
        <v>2566</v>
      </c>
      <c r="BE155" s="450" t="s">
        <v>2566</v>
      </c>
      <c r="BF155" s="450">
        <v>0.0</v>
      </c>
      <c r="BG155" s="450">
        <v>0.0</v>
      </c>
      <c r="BH155" s="450">
        <v>0.0</v>
      </c>
      <c r="BI155" s="450">
        <v>0.0</v>
      </c>
      <c r="BJ155" s="450">
        <v>0.0</v>
      </c>
      <c r="BK155" s="450">
        <v>0.0</v>
      </c>
      <c r="BL155" s="450">
        <v>0.0</v>
      </c>
      <c r="BM155" s="450">
        <v>0.0</v>
      </c>
      <c r="BN155" s="450">
        <v>0.0</v>
      </c>
      <c r="BO155" s="450">
        <v>0.0</v>
      </c>
      <c r="BP155" s="450">
        <v>0.0</v>
      </c>
      <c r="BQ155" s="450">
        <v>0.0</v>
      </c>
      <c r="BR155" s="450">
        <v>0.0</v>
      </c>
      <c r="BS155" s="615" t="str">
        <f t="array" ref="BS155">XLOOKUP(D155,'PL TOTAL XP'!A:A,'PL TOTAL XP'!C:C,"0")</f>
        <v>0</v>
      </c>
      <c r="BT155" s="616"/>
    </row>
    <row r="156" ht="15.75" customHeight="1">
      <c r="A156" s="183" t="s">
        <v>3820</v>
      </c>
      <c r="B156" s="78" t="s">
        <v>4301</v>
      </c>
      <c r="C156" s="564" t="s">
        <v>4302</v>
      </c>
      <c r="D156" s="566">
        <v>5599659.0</v>
      </c>
      <c r="E156" s="512" t="s">
        <v>105</v>
      </c>
      <c r="F156" s="609" t="s">
        <v>29</v>
      </c>
      <c r="G156" s="566" t="s">
        <v>4201</v>
      </c>
      <c r="H156" s="566">
        <f>IFERROR(VLOOKUP(G156,'Cadastro de assessores'!A:B,2,FALSE),"Não Cadastrado")</f>
        <v>12347</v>
      </c>
      <c r="I156" s="566"/>
      <c r="J156" s="51" t="s">
        <v>3823</v>
      </c>
      <c r="K156" s="512" t="s">
        <v>107</v>
      </c>
      <c r="L156" s="610">
        <v>44341.0</v>
      </c>
      <c r="M156" s="610">
        <v>44344.0</v>
      </c>
      <c r="N156" s="566"/>
      <c r="O156" s="566" t="s">
        <v>3834</v>
      </c>
      <c r="P156" s="612">
        <v>0.007</v>
      </c>
      <c r="Q156" s="224"/>
      <c r="R156" s="613"/>
      <c r="S156" s="522" t="str">
        <f t="shared" si="13"/>
        <v/>
      </c>
      <c r="T156" s="522" t="s">
        <v>108</v>
      </c>
      <c r="U156" s="566" t="s">
        <v>2602</v>
      </c>
      <c r="V156" s="566" t="s">
        <v>29</v>
      </c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50"/>
      <c r="AL156" s="450"/>
      <c r="AM156" s="450"/>
      <c r="AN156" s="450"/>
      <c r="AO156" s="450"/>
      <c r="AP156" s="450"/>
      <c r="AQ156" s="468"/>
      <c r="AR156" s="449">
        <v>99876.03</v>
      </c>
      <c r="AS156" s="450">
        <v>98549.1</v>
      </c>
      <c r="AT156" s="450">
        <v>95466.31</v>
      </c>
      <c r="AU156" s="450">
        <v>143637.58</v>
      </c>
      <c r="AV156" s="450">
        <v>139188.16</v>
      </c>
      <c r="AW156" s="450">
        <v>132342.12</v>
      </c>
      <c r="AX156" s="450">
        <v>131838.74</v>
      </c>
      <c r="AY156" s="450">
        <v>133560.64</v>
      </c>
      <c r="AZ156" s="450">
        <v>138636.1</v>
      </c>
      <c r="BA156" s="450">
        <v>139612.8</v>
      </c>
      <c r="BB156" s="450">
        <v>145666.13</v>
      </c>
      <c r="BC156" s="450">
        <v>0.0</v>
      </c>
      <c r="BD156" s="450">
        <v>142887.9</v>
      </c>
      <c r="BE156" s="450">
        <v>141939.77</v>
      </c>
      <c r="BF156" s="450">
        <v>143688.16</v>
      </c>
      <c r="BG156" s="450">
        <v>144389.5526</v>
      </c>
      <c r="BH156" s="450">
        <v>145221.71</v>
      </c>
      <c r="BI156" s="450">
        <v>148590.6</v>
      </c>
      <c r="BJ156" s="450">
        <v>150115.38</v>
      </c>
      <c r="BK156" s="450">
        <v>151266.02</v>
      </c>
      <c r="BL156" s="450">
        <v>153079.04</v>
      </c>
      <c r="BM156" s="450">
        <v>153037.43</v>
      </c>
      <c r="BN156" s="450">
        <v>0.0</v>
      </c>
      <c r="BO156" s="450">
        <v>0.0</v>
      </c>
      <c r="BP156" s="450">
        <v>0.0</v>
      </c>
      <c r="BQ156" s="450">
        <v>0.0</v>
      </c>
      <c r="BR156" s="450">
        <v>0.0</v>
      </c>
      <c r="BS156" s="615" t="str">
        <f t="array" ref="BS156">XLOOKUP(D156,'PL TOTAL XP'!A:A,'PL TOTAL XP'!C:C,"0")</f>
        <v>0</v>
      </c>
      <c r="BT156" s="616"/>
    </row>
    <row r="157" ht="15.75" customHeight="1">
      <c r="A157" s="183" t="s">
        <v>3820</v>
      </c>
      <c r="B157" s="78" t="s">
        <v>4303</v>
      </c>
      <c r="C157" s="617" t="s">
        <v>4304</v>
      </c>
      <c r="D157" s="522">
        <v>4743699.0</v>
      </c>
      <c r="E157" s="522" t="s">
        <v>105</v>
      </c>
      <c r="F157" s="522" t="s">
        <v>29</v>
      </c>
      <c r="G157" s="522" t="s">
        <v>3660</v>
      </c>
      <c r="H157" s="522" t="str">
        <f>IFERROR(VLOOKUP(G157,'Cadastro de assessores'!A:B,2,FALSE),"Não Cadastrado")</f>
        <v>14574</v>
      </c>
      <c r="I157" s="522"/>
      <c r="J157" s="51" t="s">
        <v>186</v>
      </c>
      <c r="K157" s="522" t="s">
        <v>2563</v>
      </c>
      <c r="L157" s="619">
        <v>44211.0</v>
      </c>
      <c r="M157" s="619">
        <v>44211.0</v>
      </c>
      <c r="N157" s="619">
        <v>44803.0</v>
      </c>
      <c r="O157" s="522" t="s">
        <v>3828</v>
      </c>
      <c r="P157" s="612">
        <v>0.015</v>
      </c>
      <c r="Q157" s="620" t="s">
        <v>4305</v>
      </c>
      <c r="R157" s="613"/>
      <c r="S157" s="522" t="str">
        <f t="shared" si="13"/>
        <v/>
      </c>
      <c r="T157" s="522" t="s">
        <v>108</v>
      </c>
      <c r="U157" s="522" t="s">
        <v>2623</v>
      </c>
      <c r="V157" s="522" t="s">
        <v>29</v>
      </c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450"/>
      <c r="AL157" s="450">
        <v>137510.16</v>
      </c>
      <c r="AM157" s="450">
        <v>134127.89</v>
      </c>
      <c r="AN157" s="450">
        <v>133840.12</v>
      </c>
      <c r="AO157" s="450">
        <v>137821.24</v>
      </c>
      <c r="AP157" s="450">
        <v>138631.28</v>
      </c>
      <c r="AQ157" s="450">
        <v>138002.01</v>
      </c>
      <c r="AR157" s="450">
        <v>141315.11</v>
      </c>
      <c r="AS157" s="450">
        <v>140248.23</v>
      </c>
      <c r="AT157" s="450">
        <v>137410.98</v>
      </c>
      <c r="AU157" s="450">
        <v>136571.68</v>
      </c>
      <c r="AV157" s="450">
        <v>134123.97</v>
      </c>
      <c r="AW157" s="450">
        <v>129022.36</v>
      </c>
      <c r="AX157" s="450">
        <v>128941.63</v>
      </c>
      <c r="AY157" s="450">
        <v>130488.89</v>
      </c>
      <c r="AZ157" s="450">
        <v>133678.32</v>
      </c>
      <c r="BA157" s="450">
        <v>134267.57</v>
      </c>
      <c r="BB157" s="450">
        <v>139380.17</v>
      </c>
      <c r="BC157" s="450">
        <v>0.0</v>
      </c>
      <c r="BD157" s="450">
        <v>128163.83</v>
      </c>
      <c r="BE157" s="450">
        <v>125944.15</v>
      </c>
      <c r="BF157" s="450">
        <v>128641.65</v>
      </c>
      <c r="BG157" s="450">
        <v>127346.98</v>
      </c>
      <c r="BH157" s="450">
        <v>0.0</v>
      </c>
      <c r="BI157" s="450">
        <v>0.0</v>
      </c>
      <c r="BJ157" s="450">
        <v>0.0</v>
      </c>
      <c r="BK157" s="450">
        <v>0.0</v>
      </c>
      <c r="BL157" s="450">
        <v>0.0</v>
      </c>
      <c r="BM157" s="450">
        <v>0.0</v>
      </c>
      <c r="BN157" s="450">
        <v>0.0</v>
      </c>
      <c r="BO157" s="450">
        <v>0.0</v>
      </c>
      <c r="BP157" s="450">
        <v>0.0</v>
      </c>
      <c r="BQ157" s="450">
        <v>0.0</v>
      </c>
      <c r="BR157" s="450">
        <v>0.0</v>
      </c>
      <c r="BS157" s="615" t="str">
        <f t="array" ref="BS157">XLOOKUP(D157,'PL TOTAL XP'!A:A,'PL TOTAL XP'!C:C,"0")</f>
        <v>0</v>
      </c>
      <c r="BT157" s="616"/>
    </row>
    <row r="158" ht="15.75" customHeight="1">
      <c r="A158" s="183" t="s">
        <v>3820</v>
      </c>
      <c r="B158" s="78" t="s">
        <v>4306</v>
      </c>
      <c r="C158" s="617" t="s">
        <v>4307</v>
      </c>
      <c r="D158" s="522">
        <v>4695581.0</v>
      </c>
      <c r="E158" s="512" t="s">
        <v>105</v>
      </c>
      <c r="F158" s="512" t="s">
        <v>29</v>
      </c>
      <c r="G158" s="512" t="s">
        <v>4122</v>
      </c>
      <c r="H158" s="512" t="str">
        <f>IFERROR(VLOOKUP(G158,'Cadastro de assessores'!A:B,2,FALSE),"Não Cadastrado")</f>
        <v>19157</v>
      </c>
      <c r="I158" s="512"/>
      <c r="J158" s="51" t="s">
        <v>3823</v>
      </c>
      <c r="K158" s="512" t="s">
        <v>107</v>
      </c>
      <c r="L158" s="611">
        <v>44186.0</v>
      </c>
      <c r="M158" s="611">
        <v>44193.0</v>
      </c>
      <c r="N158" s="566"/>
      <c r="O158" s="566" t="s">
        <v>3824</v>
      </c>
      <c r="P158" s="612">
        <v>0.02</v>
      </c>
      <c r="Q158" s="620"/>
      <c r="R158" s="613"/>
      <c r="S158" s="522" t="str">
        <f t="shared" si="13"/>
        <v/>
      </c>
      <c r="T158" s="522" t="s">
        <v>108</v>
      </c>
      <c r="U158" s="522" t="s">
        <v>4308</v>
      </c>
      <c r="V158" s="522" t="s">
        <v>29</v>
      </c>
      <c r="W158" s="614" t="s">
        <v>3830</v>
      </c>
      <c r="X158" s="614" t="s">
        <v>3830</v>
      </c>
      <c r="Y158" s="614" t="s">
        <v>3830</v>
      </c>
      <c r="Z158" s="614" t="s">
        <v>3830</v>
      </c>
      <c r="AA158" s="614" t="s">
        <v>3830</v>
      </c>
      <c r="AB158" s="614" t="s">
        <v>3830</v>
      </c>
      <c r="AC158" s="614" t="s">
        <v>3830</v>
      </c>
      <c r="AD158" s="614" t="s">
        <v>3830</v>
      </c>
      <c r="AE158" s="614" t="s">
        <v>3830</v>
      </c>
      <c r="AF158" s="614" t="s">
        <v>3830</v>
      </c>
      <c r="AG158" s="614" t="s">
        <v>3830</v>
      </c>
      <c r="AH158" s="614" t="s">
        <v>3830</v>
      </c>
      <c r="AI158" s="614" t="s">
        <v>3830</v>
      </c>
      <c r="AJ158" s="614" t="s">
        <v>3830</v>
      </c>
      <c r="AK158" s="450">
        <v>132820.08</v>
      </c>
      <c r="AL158" s="450">
        <v>129282.33</v>
      </c>
      <c r="AM158" s="450">
        <v>124494.97</v>
      </c>
      <c r="AN158" s="450">
        <v>124216.25</v>
      </c>
      <c r="AO158" s="450">
        <v>129641.16</v>
      </c>
      <c r="AP158" s="450">
        <v>130659.46</v>
      </c>
      <c r="AQ158" s="450">
        <v>129844.06</v>
      </c>
      <c r="AR158" s="450">
        <v>134217.18</v>
      </c>
      <c r="AS158" s="450">
        <v>132551.01</v>
      </c>
      <c r="AT158" s="450">
        <v>128637.34</v>
      </c>
      <c r="AU158" s="450">
        <v>127287.88</v>
      </c>
      <c r="AV158" s="450">
        <v>122960.97</v>
      </c>
      <c r="AW158" s="450">
        <v>117109.06</v>
      </c>
      <c r="AX158" s="450">
        <v>116609.78</v>
      </c>
      <c r="AY158" s="450">
        <v>118341.33</v>
      </c>
      <c r="AZ158" s="450">
        <v>122678.22</v>
      </c>
      <c r="BA158" s="450">
        <v>123992.6</v>
      </c>
      <c r="BB158" s="450">
        <v>129864.9</v>
      </c>
      <c r="BC158" s="450">
        <v>0.0</v>
      </c>
      <c r="BD158" s="450">
        <v>125838.29</v>
      </c>
      <c r="BE158" s="450">
        <v>123104.79</v>
      </c>
      <c r="BF158" s="450">
        <v>127149.2</v>
      </c>
      <c r="BG158" s="450">
        <v>129379.4903</v>
      </c>
      <c r="BH158" s="450">
        <v>128458.75</v>
      </c>
      <c r="BI158" s="450">
        <v>135930.0</v>
      </c>
      <c r="BJ158" s="450">
        <v>135692.53</v>
      </c>
      <c r="BK158" s="450">
        <v>136099.8</v>
      </c>
      <c r="BL158" s="450">
        <v>136270.3</v>
      </c>
      <c r="BM158" s="450">
        <v>135654.7</v>
      </c>
      <c r="BN158" s="450">
        <v>645.75</v>
      </c>
      <c r="BO158" s="450">
        <v>645.75</v>
      </c>
      <c r="BP158" s="450">
        <v>645.75</v>
      </c>
      <c r="BQ158" s="450">
        <v>648.23</v>
      </c>
      <c r="BR158" s="450">
        <v>648.23</v>
      </c>
      <c r="BS158" s="615">
        <f t="array" ref="BS158">XLOOKUP(D158,'PL TOTAL XP'!A:A,'PL TOTAL XP'!C:C,"0")</f>
        <v>0</v>
      </c>
      <c r="BT158" s="616"/>
    </row>
    <row r="159" ht="15.75" customHeight="1">
      <c r="A159" s="183" t="s">
        <v>3820</v>
      </c>
      <c r="B159" s="78" t="s">
        <v>4309</v>
      </c>
      <c r="C159" s="645" t="s">
        <v>4310</v>
      </c>
      <c r="D159" s="627">
        <v>3274958.0</v>
      </c>
      <c r="E159" s="512" t="s">
        <v>105</v>
      </c>
      <c r="F159" s="609" t="s">
        <v>29</v>
      </c>
      <c r="G159" s="512" t="s">
        <v>4075</v>
      </c>
      <c r="H159" s="512" t="str">
        <f>IFERROR(VLOOKUP(G159,'Cadastro de assessores'!A:B,2,FALSE),"Não Cadastrado")</f>
        <v>19634</v>
      </c>
      <c r="I159" s="512"/>
      <c r="J159" s="51" t="s">
        <v>3823</v>
      </c>
      <c r="K159" s="512" t="s">
        <v>107</v>
      </c>
      <c r="L159" s="624">
        <v>44714.0</v>
      </c>
      <c r="M159" s="624">
        <v>44714.0</v>
      </c>
      <c r="N159" s="566"/>
      <c r="O159" s="566" t="s">
        <v>3834</v>
      </c>
      <c r="P159" s="612">
        <v>0.007</v>
      </c>
      <c r="Q159" s="224" t="s">
        <v>4311</v>
      </c>
      <c r="R159" s="613"/>
      <c r="S159" s="522"/>
      <c r="T159" s="522" t="s">
        <v>108</v>
      </c>
      <c r="U159" s="522" t="s">
        <v>2675</v>
      </c>
      <c r="V159" s="566" t="s">
        <v>29</v>
      </c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614"/>
      <c r="AH159" s="614"/>
      <c r="AI159" s="614"/>
      <c r="AJ159" s="450"/>
      <c r="AK159" s="450"/>
      <c r="AL159" s="450"/>
      <c r="AM159" s="450"/>
      <c r="AN159" s="450"/>
      <c r="AO159" s="450"/>
      <c r="AP159" s="450"/>
      <c r="AQ159" s="450"/>
      <c r="AR159" s="450"/>
      <c r="AS159" s="450"/>
      <c r="AT159" s="450"/>
      <c r="AU159" s="450"/>
      <c r="AV159" s="450"/>
      <c r="AW159" s="450"/>
      <c r="AX159" s="450"/>
      <c r="AY159" s="450"/>
      <c r="AZ159" s="450"/>
      <c r="BA159" s="450"/>
      <c r="BB159" s="450"/>
      <c r="BC159" s="450"/>
      <c r="BD159" s="450" t="s">
        <v>2566</v>
      </c>
      <c r="BE159" s="450" t="s">
        <v>2566</v>
      </c>
      <c r="BF159" s="450">
        <v>205735.78</v>
      </c>
      <c r="BG159" s="450">
        <v>213350.8102</v>
      </c>
      <c r="BH159" s="450">
        <v>213358.43</v>
      </c>
      <c r="BI159" s="450">
        <v>217959.63</v>
      </c>
      <c r="BJ159" s="450">
        <v>212986.95</v>
      </c>
      <c r="BK159" s="450">
        <v>213148.45</v>
      </c>
      <c r="BL159" s="450">
        <v>217189.48</v>
      </c>
      <c r="BM159" s="450">
        <v>216041.42</v>
      </c>
      <c r="BN159" s="450">
        <v>215837.04</v>
      </c>
      <c r="BO159" s="450">
        <v>0.0</v>
      </c>
      <c r="BP159" s="450">
        <v>0.0</v>
      </c>
      <c r="BQ159" s="450">
        <v>0.0</v>
      </c>
      <c r="BR159" s="450">
        <v>0.0</v>
      </c>
      <c r="BS159" s="615" t="str">
        <f t="array" ref="BS159">XLOOKUP(D159,'PL TOTAL XP'!A:A,'PL TOTAL XP'!C:C,"0")</f>
        <v>0</v>
      </c>
      <c r="BT159" s="616"/>
    </row>
    <row r="160" ht="15.75" customHeight="1">
      <c r="A160" s="183" t="s">
        <v>3820</v>
      </c>
      <c r="B160" s="78" t="s">
        <v>910</v>
      </c>
      <c r="C160" s="645" t="s">
        <v>4312</v>
      </c>
      <c r="D160" s="627">
        <v>6986262.0</v>
      </c>
      <c r="E160" s="512" t="s">
        <v>18</v>
      </c>
      <c r="F160" s="609" t="s">
        <v>19</v>
      </c>
      <c r="G160" s="512" t="s">
        <v>256</v>
      </c>
      <c r="H160" s="512" t="str">
        <f>IFERROR(VLOOKUP(G160,'Cadastro de assessores'!A:B,2,FALSE),"Não Cadastrado")</f>
        <v>18009</v>
      </c>
      <c r="I160" s="512"/>
      <c r="J160" s="51" t="s">
        <v>3823</v>
      </c>
      <c r="K160" s="512" t="s">
        <v>107</v>
      </c>
      <c r="L160" s="610">
        <v>44508.0</v>
      </c>
      <c r="M160" s="610">
        <v>44503.0</v>
      </c>
      <c r="N160" s="567">
        <v>45033.0</v>
      </c>
      <c r="O160" s="566" t="s">
        <v>3869</v>
      </c>
      <c r="P160" s="612">
        <v>0.008</v>
      </c>
      <c r="Q160" s="224" t="s">
        <v>4313</v>
      </c>
      <c r="R160" s="613"/>
      <c r="S160" s="522" t="str">
        <f t="shared" ref="S160:S161" si="14">IF(BC160&lt;=0,"",IF(BC160&lt;=1000000,"Não Qualificado",IF(AND(BC160&gt;1000000,BC160&lt;=10000000),"Qualificado","Profissional")))</f>
        <v>Não Qualificado</v>
      </c>
      <c r="T160" s="522" t="s">
        <v>108</v>
      </c>
      <c r="U160" s="522" t="s">
        <v>2675</v>
      </c>
      <c r="V160" s="566" t="s">
        <v>29</v>
      </c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614"/>
      <c r="AH160" s="614"/>
      <c r="AI160" s="614"/>
      <c r="AJ160" s="450"/>
      <c r="AK160" s="450"/>
      <c r="AL160" s="450"/>
      <c r="AM160" s="450"/>
      <c r="AN160" s="450"/>
      <c r="AO160" s="450"/>
      <c r="AP160" s="450"/>
      <c r="AQ160" s="450"/>
      <c r="AR160" s="450"/>
      <c r="AS160" s="450"/>
      <c r="AT160" s="450"/>
      <c r="AU160" s="450"/>
      <c r="AV160" s="450"/>
      <c r="AW160" s="450"/>
      <c r="AX160" s="450">
        <v>95585.03</v>
      </c>
      <c r="AY160" s="450">
        <v>101884.62</v>
      </c>
      <c r="AZ160" s="450">
        <v>119130.48</v>
      </c>
      <c r="BA160" s="450">
        <v>119171.71</v>
      </c>
      <c r="BB160" s="450">
        <v>93325.64</v>
      </c>
      <c r="BC160" s="450">
        <v>207608.37</v>
      </c>
      <c r="BD160" s="450">
        <v>72802.5</v>
      </c>
      <c r="BE160" s="450">
        <v>71745.15</v>
      </c>
      <c r="BF160" s="450">
        <v>71493.49</v>
      </c>
      <c r="BG160" s="450">
        <v>72674.82</v>
      </c>
      <c r="BH160" s="450">
        <v>72068.97</v>
      </c>
      <c r="BI160" s="450">
        <v>72927.82</v>
      </c>
      <c r="BJ160" s="450">
        <v>66177.75</v>
      </c>
      <c r="BK160" s="450">
        <v>62934.1</v>
      </c>
      <c r="BL160" s="450">
        <v>702.83</v>
      </c>
      <c r="BM160" s="450">
        <v>0.0</v>
      </c>
      <c r="BN160" s="450">
        <v>0.0</v>
      </c>
      <c r="BO160" s="450">
        <v>0.0</v>
      </c>
      <c r="BP160" s="450">
        <v>0.0</v>
      </c>
      <c r="BQ160" s="450">
        <v>0.0</v>
      </c>
      <c r="BR160" s="450">
        <v>0.0</v>
      </c>
      <c r="BS160" s="615" t="str">
        <f t="array" ref="BS160">XLOOKUP(D160,'PL TOTAL XP'!A:A,'PL TOTAL XP'!C:C,"0")</f>
        <v>0</v>
      </c>
      <c r="BT160" s="616"/>
    </row>
    <row r="161" ht="15.75" customHeight="1">
      <c r="A161" s="183" t="s">
        <v>3820</v>
      </c>
      <c r="B161" s="78" t="s">
        <v>4314</v>
      </c>
      <c r="C161" s="617" t="s">
        <v>4315</v>
      </c>
      <c r="D161" s="522">
        <v>395136.0</v>
      </c>
      <c r="E161" s="522" t="s">
        <v>18</v>
      </c>
      <c r="F161" s="522" t="s">
        <v>29</v>
      </c>
      <c r="G161" s="522" t="s">
        <v>4316</v>
      </c>
      <c r="H161" s="522" t="str">
        <f>IFERROR(VLOOKUP(G161,'Cadastro de assessores'!A:B,2,FALSE),"Não Cadastrado")</f>
        <v>12846</v>
      </c>
      <c r="I161" s="522"/>
      <c r="J161" s="51" t="s">
        <v>186</v>
      </c>
      <c r="K161" s="522" t="s">
        <v>2563</v>
      </c>
      <c r="L161" s="619">
        <v>44260.0</v>
      </c>
      <c r="M161" s="619">
        <v>44260.0</v>
      </c>
      <c r="N161" s="619">
        <v>44378.0</v>
      </c>
      <c r="O161" s="522" t="s">
        <v>3840</v>
      </c>
      <c r="P161" s="612">
        <v>0.005</v>
      </c>
      <c r="Q161" s="644" t="s">
        <v>4317</v>
      </c>
      <c r="R161" s="613"/>
      <c r="S161" s="522" t="str">
        <f t="shared" si="14"/>
        <v/>
      </c>
      <c r="T161" s="522" t="s">
        <v>108</v>
      </c>
      <c r="U161" s="522" t="s">
        <v>2614</v>
      </c>
      <c r="V161" s="522" t="s">
        <v>29</v>
      </c>
      <c r="W161" s="614"/>
      <c r="X161" s="614"/>
      <c r="Y161" s="614"/>
      <c r="Z161" s="614"/>
      <c r="AA161" s="614"/>
      <c r="AB161" s="614"/>
      <c r="AC161" s="614"/>
      <c r="AD161" s="614"/>
      <c r="AE161" s="614"/>
      <c r="AF161" s="614"/>
      <c r="AG161" s="614"/>
      <c r="AH161" s="614"/>
      <c r="AI161" s="614"/>
      <c r="AJ161" s="614"/>
      <c r="AK161" s="450"/>
      <c r="AL161" s="450"/>
      <c r="AM161" s="450"/>
      <c r="AN161" s="450">
        <v>6.147688534E7</v>
      </c>
      <c r="AO161" s="450">
        <v>6.213008304E7</v>
      </c>
      <c r="AP161" s="450">
        <v>6.240586715E7</v>
      </c>
      <c r="AQ161" s="450">
        <v>6.219317039E7</v>
      </c>
      <c r="AR161" s="450">
        <v>6.324494366E7</v>
      </c>
      <c r="AS161" s="450">
        <v>6.203358919E7</v>
      </c>
      <c r="AT161" s="450"/>
      <c r="AU161" s="450"/>
      <c r="AV161" s="450"/>
      <c r="AW161" s="450"/>
      <c r="AX161" s="450"/>
      <c r="AY161" s="450"/>
      <c r="AZ161" s="450"/>
      <c r="BA161" s="450">
        <v>0.0</v>
      </c>
      <c r="BB161" s="450">
        <v>0.0</v>
      </c>
      <c r="BC161" s="450">
        <v>0.0</v>
      </c>
      <c r="BD161" s="450" t="s">
        <v>2566</v>
      </c>
      <c r="BE161" s="450" t="s">
        <v>2566</v>
      </c>
      <c r="BF161" s="450">
        <v>0.0</v>
      </c>
      <c r="BG161" s="450">
        <v>0.0</v>
      </c>
      <c r="BH161" s="450">
        <v>0.0</v>
      </c>
      <c r="BI161" s="450">
        <v>0.0</v>
      </c>
      <c r="BJ161" s="450">
        <v>0.0</v>
      </c>
      <c r="BK161" s="450">
        <v>0.0</v>
      </c>
      <c r="BL161" s="450">
        <v>0.0</v>
      </c>
      <c r="BM161" s="450">
        <v>0.0</v>
      </c>
      <c r="BN161" s="450">
        <v>0.0</v>
      </c>
      <c r="BO161" s="450">
        <v>0.0</v>
      </c>
      <c r="BP161" s="450">
        <v>0.0</v>
      </c>
      <c r="BQ161" s="450">
        <v>0.0</v>
      </c>
      <c r="BR161" s="450">
        <v>0.0</v>
      </c>
      <c r="BS161" s="615" t="str">
        <f t="array" ref="BS161">XLOOKUP(D161,'PL TOTAL XP'!A:A,'PL TOTAL XP'!C:C,"0")</f>
        <v>0</v>
      </c>
      <c r="BT161" s="616"/>
    </row>
    <row r="162" ht="15.75" customHeight="1">
      <c r="A162" s="183" t="s">
        <v>3820</v>
      </c>
      <c r="B162" s="78" t="s">
        <v>4318</v>
      </c>
      <c r="C162" s="564" t="s">
        <v>4319</v>
      </c>
      <c r="D162" s="623">
        <v>9225581.0</v>
      </c>
      <c r="E162" s="512" t="s">
        <v>18</v>
      </c>
      <c r="F162" s="512" t="s">
        <v>19</v>
      </c>
      <c r="G162" s="512" t="s">
        <v>20</v>
      </c>
      <c r="H162" s="522">
        <f>IFERROR(VLOOKUP(G162,'Cadastro de assessores'!A:B,2,FALSE),"Não Cadastrado")</f>
        <v>12331</v>
      </c>
      <c r="I162" s="522"/>
      <c r="J162" s="51" t="s">
        <v>3823</v>
      </c>
      <c r="K162" s="522" t="s">
        <v>147</v>
      </c>
      <c r="L162" s="643" t="s">
        <v>2600</v>
      </c>
      <c r="M162" s="643"/>
      <c r="N162" s="566"/>
      <c r="O162" s="566" t="s">
        <v>3836</v>
      </c>
      <c r="P162" s="612">
        <v>0.01</v>
      </c>
      <c r="Q162" s="644" t="s">
        <v>4320</v>
      </c>
      <c r="R162" s="613"/>
      <c r="S162" s="522"/>
      <c r="T162" s="522"/>
      <c r="U162" s="522"/>
      <c r="V162" s="522" t="s">
        <v>19</v>
      </c>
      <c r="W162" s="614"/>
      <c r="X162" s="614"/>
      <c r="Y162" s="614"/>
      <c r="Z162" s="614"/>
      <c r="AA162" s="614"/>
      <c r="AB162" s="614"/>
      <c r="AC162" s="614"/>
      <c r="AD162" s="614"/>
      <c r="AE162" s="614"/>
      <c r="AF162" s="614"/>
      <c r="AG162" s="614"/>
      <c r="AH162" s="614"/>
      <c r="AI162" s="614"/>
      <c r="AJ162" s="614"/>
      <c r="AK162" s="450"/>
      <c r="AL162" s="450"/>
      <c r="AM162" s="450"/>
      <c r="AN162" s="450"/>
      <c r="AO162" s="450"/>
      <c r="AP162" s="450"/>
      <c r="AQ162" s="450"/>
      <c r="AR162" s="450"/>
      <c r="AS162" s="450"/>
      <c r="AT162" s="450"/>
      <c r="AU162" s="450"/>
      <c r="AV162" s="450"/>
      <c r="AW162" s="450"/>
      <c r="AX162" s="450"/>
      <c r="AY162" s="450"/>
      <c r="AZ162" s="450"/>
      <c r="BA162" s="450"/>
      <c r="BB162" s="450"/>
      <c r="BC162" s="450"/>
      <c r="BD162" s="450"/>
      <c r="BE162" s="450"/>
      <c r="BF162" s="450"/>
      <c r="BG162" s="450">
        <v>0.0</v>
      </c>
      <c r="BH162" s="450">
        <v>0.0</v>
      </c>
      <c r="BI162" s="450">
        <v>0.0</v>
      </c>
      <c r="BJ162" s="450">
        <v>0.0</v>
      </c>
      <c r="BK162" s="450">
        <v>0.0</v>
      </c>
      <c r="BL162" s="450">
        <v>400010.0</v>
      </c>
      <c r="BM162" s="450">
        <v>403313.07</v>
      </c>
      <c r="BN162" s="450">
        <v>408662.99</v>
      </c>
      <c r="BO162" s="450">
        <v>617691.2</v>
      </c>
      <c r="BP162" s="450">
        <v>413573.8</v>
      </c>
      <c r="BQ162" s="450">
        <v>416994.89</v>
      </c>
      <c r="BR162" s="450">
        <v>421928.84</v>
      </c>
      <c r="BS162" s="615" t="str">
        <f t="array" ref="BS162">XLOOKUP(D162,'PL TOTAL XP'!A:A,'PL TOTAL XP'!C:C,"0")</f>
        <v>0</v>
      </c>
      <c r="BT162" s="616"/>
    </row>
    <row r="163" ht="15.75" customHeight="1">
      <c r="A163" s="183" t="s">
        <v>3820</v>
      </c>
      <c r="B163" s="78" t="s">
        <v>934</v>
      </c>
      <c r="C163" s="564" t="s">
        <v>2874</v>
      </c>
      <c r="D163" s="623">
        <v>2551563.0</v>
      </c>
      <c r="E163" s="512" t="s">
        <v>18</v>
      </c>
      <c r="F163" s="512" t="s">
        <v>29</v>
      </c>
      <c r="G163" s="512" t="s">
        <v>168</v>
      </c>
      <c r="H163" s="512">
        <f>IFERROR(VLOOKUP(G163,'Cadastro de assessores'!A:B,2,FALSE),"Não Cadastrado")</f>
        <v>12344</v>
      </c>
      <c r="I163" s="512"/>
      <c r="J163" s="51" t="s">
        <v>3823</v>
      </c>
      <c r="K163" s="512" t="s">
        <v>107</v>
      </c>
      <c r="L163" s="624">
        <v>44644.0</v>
      </c>
      <c r="M163" s="624">
        <v>44644.0</v>
      </c>
      <c r="N163" s="566"/>
      <c r="O163" s="566" t="s">
        <v>3834</v>
      </c>
      <c r="P163" s="612">
        <v>0.007</v>
      </c>
      <c r="Q163" s="620"/>
      <c r="R163" s="613"/>
      <c r="S163" s="522" t="str">
        <f t="shared" ref="S163:S169" si="15">IF(BC163&lt;=0,"",IF(BC163&lt;=1000000,"Não Qualificado",IF(AND(BC163&gt;1000000,BC163&lt;=10000000),"Qualificado","Profissional")))</f>
        <v>Não Qualificado</v>
      </c>
      <c r="T163" s="522" t="s">
        <v>108</v>
      </c>
      <c r="U163" s="522" t="s">
        <v>2675</v>
      </c>
      <c r="V163" s="522" t="s">
        <v>29</v>
      </c>
      <c r="W163" s="614"/>
      <c r="X163" s="614"/>
      <c r="Y163" s="614"/>
      <c r="Z163" s="614"/>
      <c r="AA163" s="614"/>
      <c r="AB163" s="614"/>
      <c r="AC163" s="614"/>
      <c r="AD163" s="614"/>
      <c r="AE163" s="614"/>
      <c r="AF163" s="614"/>
      <c r="AG163" s="614"/>
      <c r="AH163" s="614"/>
      <c r="AI163" s="614"/>
      <c r="AJ163" s="614"/>
      <c r="AK163" s="450"/>
      <c r="AL163" s="450"/>
      <c r="AM163" s="450"/>
      <c r="AN163" s="450"/>
      <c r="AO163" s="450"/>
      <c r="AP163" s="450"/>
      <c r="AQ163" s="450"/>
      <c r="AR163" s="450"/>
      <c r="AS163" s="450"/>
      <c r="AT163" s="450"/>
      <c r="AU163" s="450"/>
      <c r="AV163" s="450"/>
      <c r="AW163" s="450"/>
      <c r="AX163" s="450"/>
      <c r="AY163" s="450"/>
      <c r="AZ163" s="450"/>
      <c r="BA163" s="450"/>
      <c r="BB163" s="450">
        <v>1025821.69</v>
      </c>
      <c r="BC163" s="450">
        <v>315158.26</v>
      </c>
      <c r="BD163" s="450">
        <v>1035508.97</v>
      </c>
      <c r="BE163" s="450">
        <v>1005092.6</v>
      </c>
      <c r="BF163" s="450">
        <v>925576.55</v>
      </c>
      <c r="BG163" s="450">
        <v>938163.5708</v>
      </c>
      <c r="BH163" s="450">
        <v>942331.55</v>
      </c>
      <c r="BI163" s="450">
        <v>944029.3</v>
      </c>
      <c r="BJ163" s="450">
        <v>923835.09</v>
      </c>
      <c r="BK163" s="450">
        <v>856291.1</v>
      </c>
      <c r="BL163" s="450">
        <v>861952.62</v>
      </c>
      <c r="BM163" s="450">
        <v>850686.8</v>
      </c>
      <c r="BN163" s="450">
        <v>74520.51</v>
      </c>
      <c r="BO163" s="450">
        <v>73020.11</v>
      </c>
      <c r="BP163" s="450">
        <v>71810.62</v>
      </c>
      <c r="BQ163" s="450">
        <v>70175.82</v>
      </c>
      <c r="BR163" s="450">
        <v>0.0</v>
      </c>
      <c r="BS163" s="615">
        <f t="array" ref="BS163">XLOOKUP(D163,'PL TOTAL XP'!A:A,'PL TOTAL XP'!C:C,"0")</f>
        <v>55559.82</v>
      </c>
      <c r="BT163" s="616"/>
    </row>
    <row r="164" ht="15.75" customHeight="1">
      <c r="A164" s="183" t="s">
        <v>3820</v>
      </c>
      <c r="B164" s="78" t="s">
        <v>4321</v>
      </c>
      <c r="C164" s="564" t="s">
        <v>4322</v>
      </c>
      <c r="D164" s="623">
        <v>2160689.0</v>
      </c>
      <c r="E164" s="609" t="s">
        <v>18</v>
      </c>
      <c r="F164" s="609" t="s">
        <v>19</v>
      </c>
      <c r="G164" s="512" t="s">
        <v>20</v>
      </c>
      <c r="H164" s="627">
        <f>IFERROR(VLOOKUP(G164,'Cadastro de assessores'!A:B,2,FALSE),"Não Cadastrado")</f>
        <v>12331</v>
      </c>
      <c r="I164" s="627"/>
      <c r="J164" s="46" t="s">
        <v>107</v>
      </c>
      <c r="K164" s="512" t="s">
        <v>107</v>
      </c>
      <c r="L164" s="624">
        <v>44645.0</v>
      </c>
      <c r="M164" s="624">
        <v>44645.0</v>
      </c>
      <c r="N164" s="566"/>
      <c r="O164" s="566" t="s">
        <v>3828</v>
      </c>
      <c r="P164" s="612">
        <v>0.015</v>
      </c>
      <c r="Q164" s="620" t="s">
        <v>4323</v>
      </c>
      <c r="R164" s="613"/>
      <c r="S164" s="522" t="str">
        <f t="shared" si="15"/>
        <v>Não Qualificado</v>
      </c>
      <c r="T164" s="522" t="s">
        <v>108</v>
      </c>
      <c r="U164" s="566" t="s">
        <v>4324</v>
      </c>
      <c r="V164" s="522" t="s">
        <v>1112</v>
      </c>
      <c r="W164" s="468"/>
      <c r="X164" s="468"/>
      <c r="Y164" s="468"/>
      <c r="Z164" s="468"/>
      <c r="AA164" s="468"/>
      <c r="AB164" s="468"/>
      <c r="AC164" s="468"/>
      <c r="AD164" s="468"/>
      <c r="AE164" s="468"/>
      <c r="AF164" s="468"/>
      <c r="AG164" s="614"/>
      <c r="AH164" s="614"/>
      <c r="AI164" s="614"/>
      <c r="AJ164" s="450"/>
      <c r="AK164" s="450"/>
      <c r="AL164" s="450"/>
      <c r="AM164" s="450"/>
      <c r="AN164" s="450"/>
      <c r="AO164" s="450"/>
      <c r="AP164" s="450"/>
      <c r="AQ164" s="450"/>
      <c r="AR164" s="450"/>
      <c r="AS164" s="450"/>
      <c r="AT164" s="450"/>
      <c r="AU164" s="450"/>
      <c r="AV164" s="450"/>
      <c r="AW164" s="450"/>
      <c r="AX164" s="450"/>
      <c r="AY164" s="450"/>
      <c r="AZ164" s="450"/>
      <c r="BA164" s="450"/>
      <c r="BB164" s="450"/>
      <c r="BC164" s="450">
        <v>101781.47</v>
      </c>
      <c r="BD164" s="450" t="s">
        <v>2566</v>
      </c>
      <c r="BE164" s="450">
        <v>388000.81</v>
      </c>
      <c r="BF164" s="450">
        <v>299398.9</v>
      </c>
      <c r="BG164" s="450">
        <v>308586.9723</v>
      </c>
      <c r="BH164" s="450">
        <v>284174.11</v>
      </c>
      <c r="BI164" s="450">
        <v>291058.62</v>
      </c>
      <c r="BJ164" s="450">
        <v>261777.54</v>
      </c>
      <c r="BK164" s="450">
        <v>261625.65</v>
      </c>
      <c r="BL164" s="450">
        <v>213548.12</v>
      </c>
      <c r="BM164" s="450">
        <v>212277.24</v>
      </c>
      <c r="BN164" s="450">
        <v>214159.26</v>
      </c>
      <c r="BO164" s="450">
        <v>49455.58</v>
      </c>
      <c r="BP164" s="450">
        <v>50216.64</v>
      </c>
      <c r="BQ164" s="450">
        <v>50702.35</v>
      </c>
      <c r="BR164" s="450">
        <v>99369.12</v>
      </c>
      <c r="BS164" s="615">
        <f t="array" ref="BS164">XLOOKUP(D164,'PL TOTAL XP'!A:A,'PL TOTAL XP'!C:C,"0")</f>
        <v>45079.69</v>
      </c>
      <c r="BT164" s="616"/>
    </row>
    <row r="165" ht="15.75" customHeight="1">
      <c r="A165" s="183" t="s">
        <v>3820</v>
      </c>
      <c r="B165" s="78" t="s">
        <v>4325</v>
      </c>
      <c r="C165" s="564" t="s">
        <v>4326</v>
      </c>
      <c r="D165" s="566">
        <v>6486558.0</v>
      </c>
      <c r="E165" s="512" t="s">
        <v>18</v>
      </c>
      <c r="F165" s="609" t="s">
        <v>29</v>
      </c>
      <c r="G165" s="627" t="s">
        <v>3666</v>
      </c>
      <c r="H165" s="627" t="str">
        <f>IFERROR(VLOOKUP(G165,'Cadastro de assessores'!A:B,2,FALSE),"Não Cadastrado")</f>
        <v>14739</v>
      </c>
      <c r="I165" s="627"/>
      <c r="J165" s="46" t="s">
        <v>107</v>
      </c>
      <c r="K165" s="512" t="s">
        <v>107</v>
      </c>
      <c r="L165" s="610">
        <v>44439.0</v>
      </c>
      <c r="M165" s="610">
        <v>44447.0</v>
      </c>
      <c r="N165" s="566"/>
      <c r="O165" s="566" t="s">
        <v>3828</v>
      </c>
      <c r="P165" s="612">
        <v>0.015</v>
      </c>
      <c r="Q165" s="620"/>
      <c r="R165" s="613"/>
      <c r="S165" s="522" t="str">
        <f t="shared" si="15"/>
        <v>Não Qualificado</v>
      </c>
      <c r="T165" s="522" t="s">
        <v>108</v>
      </c>
      <c r="U165" s="566" t="s">
        <v>4327</v>
      </c>
      <c r="V165" s="522" t="s">
        <v>152</v>
      </c>
      <c r="W165" s="468"/>
      <c r="X165" s="468"/>
      <c r="Y165" s="468"/>
      <c r="Z165" s="468"/>
      <c r="AA165" s="468"/>
      <c r="AB165" s="468"/>
      <c r="AC165" s="468"/>
      <c r="AD165" s="468"/>
      <c r="AE165" s="468"/>
      <c r="AF165" s="468"/>
      <c r="AG165" s="468"/>
      <c r="AH165" s="614"/>
      <c r="AI165" s="614"/>
      <c r="AJ165" s="450"/>
      <c r="AK165" s="450"/>
      <c r="AL165" s="450"/>
      <c r="AM165" s="450"/>
      <c r="AN165" s="450"/>
      <c r="AO165" s="450"/>
      <c r="AP165" s="450"/>
      <c r="AQ165" s="450"/>
      <c r="AR165" s="450"/>
      <c r="AS165" s="634"/>
      <c r="AT165" s="449"/>
      <c r="AU165" s="449"/>
      <c r="AV165" s="450">
        <v>99505.28</v>
      </c>
      <c r="AW165" s="450">
        <v>96398.79</v>
      </c>
      <c r="AX165" s="450">
        <v>195166.67</v>
      </c>
      <c r="AY165" s="450">
        <v>197749.36</v>
      </c>
      <c r="AZ165" s="450">
        <v>203540.46</v>
      </c>
      <c r="BA165" s="450">
        <v>205255.89</v>
      </c>
      <c r="BB165" s="450">
        <v>211908.49</v>
      </c>
      <c r="BC165" s="450">
        <v>206914.14</v>
      </c>
      <c r="BD165" s="450">
        <v>209950.05</v>
      </c>
      <c r="BE165" s="450">
        <v>209157.16</v>
      </c>
      <c r="BF165" s="450">
        <v>212567.54</v>
      </c>
      <c r="BG165" s="450">
        <v>214088.6971</v>
      </c>
      <c r="BH165" s="450">
        <v>215408.33</v>
      </c>
      <c r="BI165" s="450">
        <v>223130.99</v>
      </c>
      <c r="BJ165" s="450">
        <v>221935.53</v>
      </c>
      <c r="BK165" s="450">
        <v>223307.13</v>
      </c>
      <c r="BL165" s="450">
        <v>225875.13</v>
      </c>
      <c r="BM165" s="450">
        <v>227500.63</v>
      </c>
      <c r="BN165" s="450">
        <v>229726.14</v>
      </c>
      <c r="BO165" s="450">
        <v>231802.52</v>
      </c>
      <c r="BP165" s="450">
        <v>189520.32</v>
      </c>
      <c r="BQ165" s="450">
        <v>190766.24</v>
      </c>
      <c r="BR165" s="450">
        <v>183687.23</v>
      </c>
      <c r="BS165" s="615">
        <f t="array" ref="BS165">XLOOKUP(D165,'PL TOTAL XP'!A:A,'PL TOTAL XP'!C:C,"0")</f>
        <v>146502.75</v>
      </c>
      <c r="BT165" s="616"/>
    </row>
    <row r="166" ht="15.75" customHeight="1">
      <c r="A166" s="183" t="s">
        <v>3820</v>
      </c>
      <c r="B166" s="78" t="s">
        <v>959</v>
      </c>
      <c r="C166" s="656" t="s">
        <v>956</v>
      </c>
      <c r="D166" s="566">
        <v>7032839.0</v>
      </c>
      <c r="E166" s="512" t="s">
        <v>18</v>
      </c>
      <c r="F166" s="512" t="s">
        <v>29</v>
      </c>
      <c r="G166" s="566" t="s">
        <v>3666</v>
      </c>
      <c r="H166" s="627" t="str">
        <f>IFERROR(VLOOKUP(G166,'Cadastro de assessores'!A:B,2,FALSE),"Não Cadastrado")</f>
        <v>14739</v>
      </c>
      <c r="I166" s="627"/>
      <c r="J166" s="51" t="s">
        <v>3823</v>
      </c>
      <c r="K166" s="512" t="s">
        <v>107</v>
      </c>
      <c r="L166" s="610">
        <v>44508.0</v>
      </c>
      <c r="M166" s="610">
        <v>44509.0</v>
      </c>
      <c r="N166" s="566"/>
      <c r="O166" s="566" t="s">
        <v>3834</v>
      </c>
      <c r="P166" s="657">
        <v>0.007</v>
      </c>
      <c r="Q166" s="620"/>
      <c r="R166" s="613"/>
      <c r="S166" s="522" t="str">
        <f t="shared" si="15"/>
        <v>Não Qualificado</v>
      </c>
      <c r="T166" s="522" t="s">
        <v>108</v>
      </c>
      <c r="U166" s="566" t="s">
        <v>4327</v>
      </c>
      <c r="V166" s="522" t="s">
        <v>152</v>
      </c>
      <c r="W166" s="468"/>
      <c r="X166" s="468"/>
      <c r="Y166" s="468"/>
      <c r="Z166" s="468"/>
      <c r="AA166" s="468"/>
      <c r="AB166" s="468"/>
      <c r="AC166" s="468"/>
      <c r="AD166" s="468"/>
      <c r="AE166" s="468"/>
      <c r="AF166" s="468"/>
      <c r="AG166" s="614"/>
      <c r="AH166" s="614"/>
      <c r="AI166" s="614"/>
      <c r="AJ166" s="450"/>
      <c r="AK166" s="450"/>
      <c r="AL166" s="450"/>
      <c r="AM166" s="450"/>
      <c r="AN166" s="450"/>
      <c r="AO166" s="450"/>
      <c r="AP166" s="450"/>
      <c r="AQ166" s="450"/>
      <c r="AR166" s="450"/>
      <c r="AS166" s="450"/>
      <c r="AT166" s="450"/>
      <c r="AU166" s="450"/>
      <c r="AV166" s="450"/>
      <c r="AW166" s="450"/>
      <c r="AX166" s="450"/>
      <c r="AY166" s="450">
        <v>611893.62</v>
      </c>
      <c r="AZ166" s="450">
        <v>617525.86</v>
      </c>
      <c r="BA166" s="450">
        <v>519312.62</v>
      </c>
      <c r="BB166" s="450">
        <v>524879.42</v>
      </c>
      <c r="BC166" s="450">
        <v>373083.73</v>
      </c>
      <c r="BD166" s="450">
        <v>536467.82</v>
      </c>
      <c r="BE166" s="450">
        <v>439118.67</v>
      </c>
      <c r="BF166" s="450">
        <v>442739.48</v>
      </c>
      <c r="BG166" s="450">
        <v>444898.1497</v>
      </c>
      <c r="BH166" s="450">
        <v>447341.31</v>
      </c>
      <c r="BI166" s="450">
        <v>450246.34</v>
      </c>
      <c r="BJ166" s="450">
        <v>454096.81</v>
      </c>
      <c r="BK166" s="450">
        <v>457880.89</v>
      </c>
      <c r="BL166" s="450">
        <v>462789.82</v>
      </c>
      <c r="BM166" s="450">
        <v>465428.03</v>
      </c>
      <c r="BN166" s="450">
        <v>149248.23</v>
      </c>
      <c r="BO166" s="450">
        <v>8524.39</v>
      </c>
      <c r="BP166" s="450">
        <v>8604.19</v>
      </c>
      <c r="BQ166" s="450">
        <v>0.0</v>
      </c>
      <c r="BR166" s="450">
        <v>0.0</v>
      </c>
      <c r="BS166" s="615">
        <f t="array" ref="BS166">XLOOKUP(D166,'PL TOTAL XP'!A:A,'PL TOTAL XP'!C:C,"0")</f>
        <v>0</v>
      </c>
      <c r="BT166" s="616"/>
    </row>
    <row r="167" ht="15.75" customHeight="1">
      <c r="A167" s="183" t="s">
        <v>3820</v>
      </c>
      <c r="B167" s="78" t="s">
        <v>959</v>
      </c>
      <c r="C167" s="656" t="s">
        <v>956</v>
      </c>
      <c r="D167" s="566">
        <v>7046433.0</v>
      </c>
      <c r="E167" s="512" t="s">
        <v>18</v>
      </c>
      <c r="F167" s="512" t="s">
        <v>29</v>
      </c>
      <c r="G167" s="566" t="s">
        <v>3666</v>
      </c>
      <c r="H167" s="627" t="str">
        <f>IFERROR(VLOOKUP(G167,'Cadastro de assessores'!A:B,2,FALSE),"Não Cadastrado")</f>
        <v>14739</v>
      </c>
      <c r="I167" s="627"/>
      <c r="J167" s="51" t="s">
        <v>3823</v>
      </c>
      <c r="K167" s="512" t="s">
        <v>107</v>
      </c>
      <c r="L167" s="610">
        <v>44508.0</v>
      </c>
      <c r="M167" s="610">
        <v>44508.0</v>
      </c>
      <c r="N167" s="566"/>
      <c r="O167" s="566" t="s">
        <v>3840</v>
      </c>
      <c r="P167" s="612">
        <v>0.025</v>
      </c>
      <c r="Q167" s="620"/>
      <c r="R167" s="613"/>
      <c r="S167" s="522" t="str">
        <f t="shared" si="15"/>
        <v>Não Qualificado</v>
      </c>
      <c r="T167" s="522" t="s">
        <v>108</v>
      </c>
      <c r="U167" s="566" t="s">
        <v>4327</v>
      </c>
      <c r="V167" s="522" t="s">
        <v>152</v>
      </c>
      <c r="W167" s="468"/>
      <c r="X167" s="468"/>
      <c r="Y167" s="468"/>
      <c r="Z167" s="468"/>
      <c r="AA167" s="468"/>
      <c r="AB167" s="468"/>
      <c r="AC167" s="468"/>
      <c r="AD167" s="468"/>
      <c r="AE167" s="468"/>
      <c r="AF167" s="468"/>
      <c r="AG167" s="614"/>
      <c r="AH167" s="614"/>
      <c r="AI167" s="614"/>
      <c r="AJ167" s="450"/>
      <c r="AK167" s="450"/>
      <c r="AL167" s="450"/>
      <c r="AM167" s="450"/>
      <c r="AN167" s="450"/>
      <c r="AO167" s="450"/>
      <c r="AP167" s="450"/>
      <c r="AQ167" s="450"/>
      <c r="AR167" s="450"/>
      <c r="AS167" s="450"/>
      <c r="AT167" s="450"/>
      <c r="AU167" s="450"/>
      <c r="AV167" s="450"/>
      <c r="AW167" s="468"/>
      <c r="AX167" s="449"/>
      <c r="AY167" s="449">
        <v>390535.92</v>
      </c>
      <c r="AZ167" s="450">
        <v>518929.42</v>
      </c>
      <c r="BA167" s="450">
        <v>1223670.38</v>
      </c>
      <c r="BB167" s="450">
        <v>1312265.97</v>
      </c>
      <c r="BC167" s="450">
        <v>239191.26</v>
      </c>
      <c r="BD167" s="450">
        <v>1227094.3</v>
      </c>
      <c r="BE167" s="450">
        <v>1170101.61</v>
      </c>
      <c r="BF167" s="450">
        <v>1232059.39</v>
      </c>
      <c r="BG167" s="450">
        <v>1250917.689</v>
      </c>
      <c r="BH167" s="450">
        <v>1235818.27</v>
      </c>
      <c r="BI167" s="450">
        <v>1358626.34</v>
      </c>
      <c r="BJ167" s="450">
        <v>1319066.67</v>
      </c>
      <c r="BK167" s="450">
        <v>1518444.81</v>
      </c>
      <c r="BL167" s="450">
        <v>1542746.62</v>
      </c>
      <c r="BM167" s="450">
        <v>1354390.49</v>
      </c>
      <c r="BN167" s="450">
        <v>125093.58</v>
      </c>
      <c r="BO167" s="450">
        <v>10628.71</v>
      </c>
      <c r="BP167" s="450">
        <v>63.81</v>
      </c>
      <c r="BQ167" s="450">
        <v>177.21</v>
      </c>
      <c r="BR167" s="450">
        <v>181.92</v>
      </c>
      <c r="BS167" s="615">
        <f t="array" ref="BS167">XLOOKUP(D167,'PL TOTAL XP'!A:A,'PL TOTAL XP'!C:C,"0")</f>
        <v>0</v>
      </c>
      <c r="BT167" s="616"/>
    </row>
    <row r="168" ht="15.75" customHeight="1">
      <c r="A168" s="183" t="s">
        <v>3820</v>
      </c>
      <c r="B168" s="78" t="s">
        <v>4328</v>
      </c>
      <c r="C168" s="617" t="s">
        <v>4329</v>
      </c>
      <c r="D168" s="522">
        <v>4947409.0</v>
      </c>
      <c r="E168" s="512" t="s">
        <v>18</v>
      </c>
      <c r="F168" s="609" t="s">
        <v>29</v>
      </c>
      <c r="G168" s="512" t="s">
        <v>4330</v>
      </c>
      <c r="H168" s="609" t="str">
        <f>IFERROR(VLOOKUP(G168,'Cadastro de assessores'!A:B,2,FALSE),"Não Cadastrado")</f>
        <v>13896</v>
      </c>
      <c r="I168" s="609"/>
      <c r="J168" s="51" t="s">
        <v>3823</v>
      </c>
      <c r="K168" s="512" t="s">
        <v>107</v>
      </c>
      <c r="L168" s="610">
        <v>44272.0</v>
      </c>
      <c r="M168" s="610">
        <v>44260.0</v>
      </c>
      <c r="N168" s="522"/>
      <c r="O168" s="522" t="s">
        <v>3840</v>
      </c>
      <c r="P168" s="612">
        <v>0.025</v>
      </c>
      <c r="Q168" s="620"/>
      <c r="R168" s="613"/>
      <c r="S168" s="522" t="str">
        <f t="shared" si="15"/>
        <v/>
      </c>
      <c r="T168" s="522" t="s">
        <v>108</v>
      </c>
      <c r="U168" s="522" t="s">
        <v>2619</v>
      </c>
      <c r="V168" s="522" t="s">
        <v>152</v>
      </c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450"/>
      <c r="AL168" s="450"/>
      <c r="AM168" s="450"/>
      <c r="AN168" s="450"/>
      <c r="AO168" s="450">
        <v>311050.89</v>
      </c>
      <c r="AP168" s="450">
        <v>315606.0</v>
      </c>
      <c r="AQ168" s="450">
        <v>312118.33</v>
      </c>
      <c r="AR168" s="450">
        <v>330338.52</v>
      </c>
      <c r="AS168" s="450">
        <v>469284.0</v>
      </c>
      <c r="AT168" s="450">
        <v>444033.24</v>
      </c>
      <c r="AU168" s="450">
        <v>433836.87</v>
      </c>
      <c r="AV168" s="450">
        <v>387272.68</v>
      </c>
      <c r="AW168" s="450">
        <v>356283.8</v>
      </c>
      <c r="AX168" s="450">
        <v>351842.76</v>
      </c>
      <c r="AY168" s="450">
        <v>360003.55</v>
      </c>
      <c r="AZ168" s="450">
        <v>384400.77</v>
      </c>
      <c r="BA168" s="450">
        <v>389879.42</v>
      </c>
      <c r="BB168" s="450">
        <v>414499.73</v>
      </c>
      <c r="BC168" s="450">
        <v>0.0</v>
      </c>
      <c r="BD168" s="450">
        <v>390803.55</v>
      </c>
      <c r="BE168" s="450">
        <v>371466.68</v>
      </c>
      <c r="BF168" s="450">
        <v>391772.32</v>
      </c>
      <c r="BG168" s="450">
        <v>396111.5919</v>
      </c>
      <c r="BH168" s="450">
        <v>385652.55</v>
      </c>
      <c r="BI168" s="450">
        <v>413943.13</v>
      </c>
      <c r="BJ168" s="450">
        <v>398777.51</v>
      </c>
      <c r="BK168" s="450">
        <v>397074.82</v>
      </c>
      <c r="BL168" s="450">
        <v>393848.03</v>
      </c>
      <c r="BM168" s="450">
        <v>376246.6</v>
      </c>
      <c r="BN168" s="450">
        <v>0.0</v>
      </c>
      <c r="BO168" s="450">
        <v>0.0</v>
      </c>
      <c r="BP168" s="450">
        <v>0.0</v>
      </c>
      <c r="BQ168" s="450">
        <v>0.0</v>
      </c>
      <c r="BR168" s="450">
        <v>0.0</v>
      </c>
      <c r="BS168" s="615" t="str">
        <f t="array" ref="BS168">XLOOKUP(D168,'PL TOTAL XP'!A:A,'PL TOTAL XP'!C:C,"0")</f>
        <v>0</v>
      </c>
      <c r="BT168" s="616"/>
    </row>
    <row r="169" ht="15.75" customHeight="1">
      <c r="A169" s="183" t="s">
        <v>3820</v>
      </c>
      <c r="B169" s="78" t="s">
        <v>4331</v>
      </c>
      <c r="C169" s="617" t="s">
        <v>4332</v>
      </c>
      <c r="D169" s="522">
        <v>4622255.0</v>
      </c>
      <c r="E169" s="512" t="s">
        <v>105</v>
      </c>
      <c r="F169" s="512" t="s">
        <v>29</v>
      </c>
      <c r="G169" s="512" t="s">
        <v>4122</v>
      </c>
      <c r="H169" s="512" t="str">
        <f>IFERROR(VLOOKUP(G169,'Cadastro de assessores'!A:B,2,FALSE),"Não Cadastrado")</f>
        <v>19157</v>
      </c>
      <c r="I169" s="512"/>
      <c r="J169" s="51" t="s">
        <v>3823</v>
      </c>
      <c r="K169" s="522" t="s">
        <v>147</v>
      </c>
      <c r="L169" s="522" t="s">
        <v>2600</v>
      </c>
      <c r="M169" s="640" t="s">
        <v>2599</v>
      </c>
      <c r="N169" s="522"/>
      <c r="O169" s="522" t="s">
        <v>3828</v>
      </c>
      <c r="P169" s="612">
        <v>0.015</v>
      </c>
      <c r="Q169" s="620"/>
      <c r="R169" s="613"/>
      <c r="S169" s="522" t="str">
        <f t="shared" si="15"/>
        <v>Não Qualificado</v>
      </c>
      <c r="T169" s="522" t="s">
        <v>108</v>
      </c>
      <c r="U169" s="522" t="s">
        <v>2565</v>
      </c>
      <c r="V169" s="522" t="s">
        <v>29</v>
      </c>
      <c r="W169" s="614" t="s">
        <v>3830</v>
      </c>
      <c r="X169" s="614" t="s">
        <v>3830</v>
      </c>
      <c r="Y169" s="614" t="s">
        <v>3830</v>
      </c>
      <c r="Z169" s="614" t="s">
        <v>3830</v>
      </c>
      <c r="AA169" s="614" t="s">
        <v>3830</v>
      </c>
      <c r="AB169" s="614" t="s">
        <v>3830</v>
      </c>
      <c r="AC169" s="614" t="s">
        <v>3830</v>
      </c>
      <c r="AD169" s="614" t="s">
        <v>3830</v>
      </c>
      <c r="AE169" s="614" t="s">
        <v>3830</v>
      </c>
      <c r="AF169" s="614" t="s">
        <v>3830</v>
      </c>
      <c r="AG169" s="614" t="s">
        <v>3830</v>
      </c>
      <c r="AH169" s="614" t="s">
        <v>3830</v>
      </c>
      <c r="AI169" s="614" t="s">
        <v>3830</v>
      </c>
      <c r="AJ169" s="614" t="s">
        <v>3830</v>
      </c>
      <c r="AK169" s="450" t="s">
        <v>2600</v>
      </c>
      <c r="AL169" s="450"/>
      <c r="AM169" s="450" t="s">
        <v>2600</v>
      </c>
      <c r="AN169" s="450" t="s">
        <v>2600</v>
      </c>
      <c r="AO169" s="450"/>
      <c r="AP169" s="450"/>
      <c r="AQ169" s="450"/>
      <c r="AR169" s="450"/>
      <c r="AS169" s="450"/>
      <c r="AT169" s="450"/>
      <c r="AU169" s="450"/>
      <c r="AV169" s="450"/>
      <c r="AW169" s="450"/>
      <c r="AX169" s="450"/>
      <c r="AY169" s="450"/>
      <c r="AZ169" s="450"/>
      <c r="BA169" s="450">
        <v>0.0</v>
      </c>
      <c r="BB169" s="450">
        <v>0.0</v>
      </c>
      <c r="BC169" s="450">
        <v>210730.39</v>
      </c>
      <c r="BD169" s="450" t="s">
        <v>2566</v>
      </c>
      <c r="BE169" s="450" t="s">
        <v>2566</v>
      </c>
      <c r="BF169" s="450">
        <v>0.0</v>
      </c>
      <c r="BG169" s="450">
        <v>0.0</v>
      </c>
      <c r="BH169" s="450">
        <v>0.0</v>
      </c>
      <c r="BI169" s="450">
        <v>0.0</v>
      </c>
      <c r="BJ169" s="450">
        <v>0.0</v>
      </c>
      <c r="BK169" s="450">
        <v>0.0</v>
      </c>
      <c r="BL169" s="450">
        <v>0.0</v>
      </c>
      <c r="BM169" s="450">
        <v>0.0</v>
      </c>
      <c r="BN169" s="450">
        <v>0.0</v>
      </c>
      <c r="BO169" s="450">
        <v>0.0</v>
      </c>
      <c r="BP169" s="450">
        <v>0.0</v>
      </c>
      <c r="BQ169" s="450">
        <v>0.0</v>
      </c>
      <c r="BR169" s="450">
        <v>0.0</v>
      </c>
      <c r="BS169" s="615">
        <f t="array" ref="BS169">XLOOKUP(D169,'PL TOTAL XP'!A:A,'PL TOTAL XP'!C:C,"0")</f>
        <v>0</v>
      </c>
      <c r="BT169" s="616"/>
    </row>
    <row r="170" ht="15.75" customHeight="1">
      <c r="A170" s="183" t="s">
        <v>3820</v>
      </c>
      <c r="B170" s="78" t="s">
        <v>4333</v>
      </c>
      <c r="C170" s="564" t="s">
        <v>4334</v>
      </c>
      <c r="D170" s="566">
        <v>394871.0</v>
      </c>
      <c r="E170" s="512" t="s">
        <v>18</v>
      </c>
      <c r="F170" s="609" t="s">
        <v>29</v>
      </c>
      <c r="G170" s="512" t="s">
        <v>168</v>
      </c>
      <c r="H170" s="512">
        <v>12344.0</v>
      </c>
      <c r="I170" s="512"/>
      <c r="J170" s="51" t="s">
        <v>3823</v>
      </c>
      <c r="K170" s="512" t="s">
        <v>107</v>
      </c>
      <c r="L170" s="610">
        <v>44757.0</v>
      </c>
      <c r="M170" s="610">
        <v>44757.0</v>
      </c>
      <c r="N170" s="522"/>
      <c r="O170" s="522" t="s">
        <v>3836</v>
      </c>
      <c r="P170" s="612">
        <v>0.012</v>
      </c>
      <c r="Q170" s="620" t="s">
        <v>4335</v>
      </c>
      <c r="R170" s="613"/>
      <c r="S170" s="522"/>
      <c r="T170" s="522" t="s">
        <v>108</v>
      </c>
      <c r="U170" s="522" t="s">
        <v>2591</v>
      </c>
      <c r="V170" s="522" t="s">
        <v>29</v>
      </c>
      <c r="W170" s="614"/>
      <c r="X170" s="614"/>
      <c r="Y170" s="614"/>
      <c r="Z170" s="614"/>
      <c r="AA170" s="614"/>
      <c r="AB170" s="614"/>
      <c r="AC170" s="614"/>
      <c r="AD170" s="614"/>
      <c r="AE170" s="614"/>
      <c r="AF170" s="614"/>
      <c r="AG170" s="614"/>
      <c r="AH170" s="614"/>
      <c r="AI170" s="614"/>
      <c r="AJ170" s="614"/>
      <c r="AK170" s="450"/>
      <c r="AL170" s="450"/>
      <c r="AM170" s="450"/>
      <c r="AN170" s="450"/>
      <c r="AO170" s="450"/>
      <c r="AP170" s="450"/>
      <c r="AQ170" s="450"/>
      <c r="AR170" s="450"/>
      <c r="AS170" s="450"/>
      <c r="AT170" s="450"/>
      <c r="AU170" s="450"/>
      <c r="AV170" s="450"/>
      <c r="AW170" s="450"/>
      <c r="AX170" s="450"/>
      <c r="AY170" s="450"/>
      <c r="AZ170" s="450"/>
      <c r="BA170" s="450"/>
      <c r="BB170" s="450"/>
      <c r="BC170" s="450"/>
      <c r="BD170" s="450"/>
      <c r="BE170" s="450">
        <v>568434.37</v>
      </c>
      <c r="BF170" s="450">
        <v>572533.19</v>
      </c>
      <c r="BG170" s="450">
        <v>574280.2279</v>
      </c>
      <c r="BH170" s="450">
        <v>572911.07</v>
      </c>
      <c r="BI170" s="450">
        <v>587626.95</v>
      </c>
      <c r="BJ170" s="450">
        <v>591695.62</v>
      </c>
      <c r="BK170" s="450">
        <v>596967.11</v>
      </c>
      <c r="BL170" s="450">
        <v>604418.21</v>
      </c>
      <c r="BM170" s="450">
        <v>607782.8</v>
      </c>
      <c r="BN170" s="450">
        <v>546041.85</v>
      </c>
      <c r="BO170" s="450">
        <v>517142.36</v>
      </c>
      <c r="BP170" s="450">
        <v>516945.85</v>
      </c>
      <c r="BQ170" s="450">
        <v>0.0</v>
      </c>
      <c r="BR170" s="450">
        <v>0.0</v>
      </c>
      <c r="BS170" s="615">
        <f t="array" ref="BS170">XLOOKUP(D170,'PL TOTAL XP'!A:A,'PL TOTAL XP'!C:C,"0")</f>
        <v>0</v>
      </c>
      <c r="BT170" s="616"/>
    </row>
    <row r="171" ht="15.75" customHeight="1">
      <c r="A171" s="183" t="s">
        <v>3820</v>
      </c>
      <c r="B171" s="78" t="s">
        <v>4336</v>
      </c>
      <c r="C171" s="617" t="s">
        <v>4337</v>
      </c>
      <c r="D171" s="522">
        <v>4862815.0</v>
      </c>
      <c r="E171" s="522" t="s">
        <v>18</v>
      </c>
      <c r="F171" s="511" t="s">
        <v>19</v>
      </c>
      <c r="G171" s="522" t="s">
        <v>256</v>
      </c>
      <c r="H171" s="522" t="str">
        <f>IFERROR(VLOOKUP(G171,'Cadastro de assessores'!A:B,2,FALSE),"Não Cadastrado")</f>
        <v>18009</v>
      </c>
      <c r="I171" s="522"/>
      <c r="J171" s="51" t="s">
        <v>186</v>
      </c>
      <c r="K171" s="522" t="s">
        <v>2563</v>
      </c>
      <c r="L171" s="619">
        <v>44251.0</v>
      </c>
      <c r="M171" s="619">
        <v>44251.0</v>
      </c>
      <c r="N171" s="619">
        <v>44777.0</v>
      </c>
      <c r="O171" s="522" t="s">
        <v>3840</v>
      </c>
      <c r="P171" s="612">
        <v>0.025</v>
      </c>
      <c r="Q171" s="620" t="s">
        <v>4338</v>
      </c>
      <c r="R171" s="613"/>
      <c r="S171" s="522" t="str">
        <f t="shared" ref="S171:S173" si="16">IF(BC171&lt;=0,"",IF(BC171&lt;=1000000,"Não Qualificado",IF(AND(BC171&gt;1000000,BC171&lt;=10000000),"Qualificado","Profissional")))</f>
        <v/>
      </c>
      <c r="T171" s="522" t="s">
        <v>108</v>
      </c>
      <c r="U171" s="522" t="s">
        <v>2619</v>
      </c>
      <c r="V171" s="522" t="s">
        <v>152</v>
      </c>
      <c r="W171" s="614"/>
      <c r="X171" s="614"/>
      <c r="Y171" s="614"/>
      <c r="Z171" s="614"/>
      <c r="AA171" s="614"/>
      <c r="AB171" s="614"/>
      <c r="AC171" s="614"/>
      <c r="AD171" s="614"/>
      <c r="AE171" s="614"/>
      <c r="AF171" s="614"/>
      <c r="AG171" s="614"/>
      <c r="AH171" s="614"/>
      <c r="AI171" s="614"/>
      <c r="AJ171" s="614"/>
      <c r="AK171" s="450"/>
      <c r="AL171" s="450"/>
      <c r="AM171" s="450">
        <v>172047.98</v>
      </c>
      <c r="AN171" s="450">
        <v>172657.88</v>
      </c>
      <c r="AO171" s="450">
        <v>186013.14</v>
      </c>
      <c r="AP171" s="450">
        <v>189139.66</v>
      </c>
      <c r="AQ171" s="450">
        <v>186997.12</v>
      </c>
      <c r="AR171" s="450">
        <v>197852.63</v>
      </c>
      <c r="AS171" s="450">
        <v>193478.02</v>
      </c>
      <c r="AT171" s="450">
        <v>183243.57</v>
      </c>
      <c r="AU171" s="450">
        <v>240334.19</v>
      </c>
      <c r="AV171" s="450">
        <v>225907.57</v>
      </c>
      <c r="AW171" s="450">
        <v>208441.57</v>
      </c>
      <c r="AX171" s="450">
        <v>206884.26</v>
      </c>
      <c r="AY171" s="450">
        <v>213117.73</v>
      </c>
      <c r="AZ171" s="450">
        <v>226009.54</v>
      </c>
      <c r="BA171" s="450">
        <v>228071.75</v>
      </c>
      <c r="BB171" s="450">
        <v>244031.88</v>
      </c>
      <c r="BC171" s="450">
        <v>0.0</v>
      </c>
      <c r="BD171" s="450">
        <v>158667.01</v>
      </c>
      <c r="BE171" s="450">
        <v>149193.85</v>
      </c>
      <c r="BF171" s="450">
        <v>3672.46</v>
      </c>
      <c r="BG171" s="450">
        <v>0.0</v>
      </c>
      <c r="BH171" s="450">
        <v>0.0</v>
      </c>
      <c r="BI171" s="450">
        <v>0.0</v>
      </c>
      <c r="BJ171" s="450">
        <v>0.0</v>
      </c>
      <c r="BK171" s="450">
        <v>0.0</v>
      </c>
      <c r="BL171" s="450">
        <v>0.0</v>
      </c>
      <c r="BM171" s="450">
        <v>0.0</v>
      </c>
      <c r="BN171" s="450">
        <v>0.0</v>
      </c>
      <c r="BO171" s="450">
        <v>0.0</v>
      </c>
      <c r="BP171" s="450">
        <v>0.0</v>
      </c>
      <c r="BQ171" s="450">
        <v>0.0</v>
      </c>
      <c r="BR171" s="450">
        <v>0.0</v>
      </c>
      <c r="BS171" s="615" t="str">
        <f t="array" ref="BS171">XLOOKUP(D171,'PL TOTAL XP'!A:A,'PL TOTAL XP'!C:C,"0")</f>
        <v>0</v>
      </c>
      <c r="BT171" s="616"/>
    </row>
    <row r="172" ht="15.75" customHeight="1">
      <c r="A172" s="183" t="s">
        <v>3820</v>
      </c>
      <c r="B172" s="78" t="s">
        <v>4339</v>
      </c>
      <c r="C172" s="564" t="s">
        <v>4340</v>
      </c>
      <c r="D172" s="566">
        <v>5171052.0</v>
      </c>
      <c r="E172" s="512" t="s">
        <v>18</v>
      </c>
      <c r="F172" s="609" t="s">
        <v>19</v>
      </c>
      <c r="G172" s="512" t="s">
        <v>256</v>
      </c>
      <c r="H172" s="609" t="str">
        <f>IFERROR(VLOOKUP(G172,'Cadastro de assessores'!A:B,2,FALSE),"Não Cadastrado")</f>
        <v>18009</v>
      </c>
      <c r="I172" s="609"/>
      <c r="J172" s="46" t="s">
        <v>107</v>
      </c>
      <c r="K172" s="512" t="s">
        <v>107</v>
      </c>
      <c r="L172" s="610">
        <v>44299.0</v>
      </c>
      <c r="M172" s="610">
        <v>44314.0</v>
      </c>
      <c r="N172" s="522"/>
      <c r="O172" s="522" t="s">
        <v>3840</v>
      </c>
      <c r="P172" s="612">
        <v>0.025</v>
      </c>
      <c r="Q172" s="620"/>
      <c r="R172" s="613"/>
      <c r="S172" s="522" t="str">
        <f t="shared" si="16"/>
        <v>Não Qualificado</v>
      </c>
      <c r="T172" s="522" t="s">
        <v>108</v>
      </c>
      <c r="U172" s="522" t="s">
        <v>4341</v>
      </c>
      <c r="V172" s="522" t="s">
        <v>152</v>
      </c>
      <c r="W172" s="614"/>
      <c r="X172" s="614"/>
      <c r="Y172" s="614"/>
      <c r="Z172" s="614"/>
      <c r="AA172" s="614"/>
      <c r="AB172" s="614"/>
      <c r="AC172" s="614"/>
      <c r="AD172" s="614"/>
      <c r="AE172" s="614"/>
      <c r="AF172" s="614"/>
      <c r="AG172" s="614"/>
      <c r="AH172" s="614"/>
      <c r="AI172" s="614"/>
      <c r="AJ172" s="614"/>
      <c r="AK172" s="450"/>
      <c r="AL172" s="450"/>
      <c r="AM172" s="450"/>
      <c r="AN172" s="450"/>
      <c r="AO172" s="450"/>
      <c r="AP172" s="450"/>
      <c r="AQ172" s="450">
        <v>98718.49</v>
      </c>
      <c r="AR172" s="450">
        <v>104549.66</v>
      </c>
      <c r="AS172" s="450">
        <v>102079.95</v>
      </c>
      <c r="AT172" s="450">
        <v>96552.47</v>
      </c>
      <c r="AU172" s="450">
        <v>94492.59</v>
      </c>
      <c r="AV172" s="450">
        <v>89006.99</v>
      </c>
      <c r="AW172" s="450">
        <v>82143.29</v>
      </c>
      <c r="AX172" s="450">
        <v>81336.07</v>
      </c>
      <c r="AY172" s="450">
        <v>82885.49</v>
      </c>
      <c r="AZ172" s="450">
        <v>88056.48</v>
      </c>
      <c r="BA172" s="450">
        <v>89270.81</v>
      </c>
      <c r="BB172" s="450">
        <v>95220.64</v>
      </c>
      <c r="BC172" s="450">
        <v>212879.2</v>
      </c>
      <c r="BD172" s="450">
        <v>88765.51</v>
      </c>
      <c r="BE172" s="450">
        <v>85282.99</v>
      </c>
      <c r="BF172" s="450">
        <v>90031.64</v>
      </c>
      <c r="BG172" s="450">
        <v>91393.48</v>
      </c>
      <c r="BH172" s="450">
        <v>90472.59</v>
      </c>
      <c r="BI172" s="450">
        <v>98685.88</v>
      </c>
      <c r="BJ172" s="450">
        <v>95542.3</v>
      </c>
      <c r="BK172" s="450">
        <v>94874.83</v>
      </c>
      <c r="BL172" s="450">
        <v>96555.43</v>
      </c>
      <c r="BM172" s="450">
        <v>92876.04</v>
      </c>
      <c r="BN172" s="450">
        <v>91957.51</v>
      </c>
      <c r="BO172" s="450">
        <v>91178.79</v>
      </c>
      <c r="BP172" s="450">
        <v>93130.62</v>
      </c>
      <c r="BQ172" s="450">
        <v>98386.68</v>
      </c>
      <c r="BR172" s="450">
        <v>101358.91</v>
      </c>
      <c r="BS172" s="615">
        <f t="array" ref="BS172">XLOOKUP(D172,'PL TOTAL XP'!A:A,'PL TOTAL XP'!C:C,"0")</f>
        <v>83207.87</v>
      </c>
      <c r="BT172" s="616"/>
    </row>
    <row r="173" ht="15.75" customHeight="1">
      <c r="A173" s="183" t="s">
        <v>3820</v>
      </c>
      <c r="B173" s="78" t="s">
        <v>4342</v>
      </c>
      <c r="C173" s="617" t="s">
        <v>4343</v>
      </c>
      <c r="D173" s="522">
        <v>2218857.0</v>
      </c>
      <c r="E173" s="522" t="s">
        <v>105</v>
      </c>
      <c r="F173" s="522" t="s">
        <v>29</v>
      </c>
      <c r="G173" s="522" t="s">
        <v>3660</v>
      </c>
      <c r="H173" s="522" t="str">
        <f>IFERROR(VLOOKUP(G173,'Cadastro de assessores'!A:B,2,FALSE),"Não Cadastrado")</f>
        <v>14574</v>
      </c>
      <c r="I173" s="522"/>
      <c r="J173" s="51" t="s">
        <v>186</v>
      </c>
      <c r="K173" s="522" t="s">
        <v>2563</v>
      </c>
      <c r="L173" s="618">
        <v>44126.0</v>
      </c>
      <c r="M173" s="618">
        <v>44126.0</v>
      </c>
      <c r="N173" s="619">
        <v>44281.0</v>
      </c>
      <c r="O173" s="522" t="s">
        <v>3828</v>
      </c>
      <c r="P173" s="612">
        <v>0.015</v>
      </c>
      <c r="Q173" s="620" t="s">
        <v>4344</v>
      </c>
      <c r="R173" s="613"/>
      <c r="S173" s="522" t="str">
        <f t="shared" si="16"/>
        <v>Qualificado</v>
      </c>
      <c r="T173" s="522" t="s">
        <v>108</v>
      </c>
      <c r="U173" s="522" t="s">
        <v>2580</v>
      </c>
      <c r="V173" s="522" t="s">
        <v>29</v>
      </c>
      <c r="W173" s="614" t="s">
        <v>3830</v>
      </c>
      <c r="X173" s="614" t="s">
        <v>3830</v>
      </c>
      <c r="Y173" s="614" t="s">
        <v>3830</v>
      </c>
      <c r="Z173" s="614" t="s">
        <v>3830</v>
      </c>
      <c r="AA173" s="614" t="s">
        <v>3830</v>
      </c>
      <c r="AB173" s="614" t="s">
        <v>3830</v>
      </c>
      <c r="AC173" s="614" t="s">
        <v>3830</v>
      </c>
      <c r="AD173" s="614" t="s">
        <v>3830</v>
      </c>
      <c r="AE173" s="614" t="s">
        <v>3830</v>
      </c>
      <c r="AF173" s="614" t="s">
        <v>3830</v>
      </c>
      <c r="AG173" s="614" t="s">
        <v>3830</v>
      </c>
      <c r="AH173" s="614" t="s">
        <v>3830</v>
      </c>
      <c r="AI173" s="614" t="s">
        <v>4345</v>
      </c>
      <c r="AJ173" s="614" t="s">
        <v>4346</v>
      </c>
      <c r="AK173" s="450">
        <v>127463.51</v>
      </c>
      <c r="AL173" s="450">
        <v>145987.89</v>
      </c>
      <c r="AM173" s="450">
        <v>152606.06</v>
      </c>
      <c r="AN173" s="450">
        <v>159235.94</v>
      </c>
      <c r="AO173" s="450">
        <v>165066.02</v>
      </c>
      <c r="AP173" s="450"/>
      <c r="AQ173" s="450"/>
      <c r="AR173" s="450"/>
      <c r="AS173" s="450"/>
      <c r="AT173" s="450"/>
      <c r="AU173" s="450"/>
      <c r="AV173" s="450"/>
      <c r="AW173" s="450"/>
      <c r="AX173" s="450"/>
      <c r="AY173" s="450"/>
      <c r="AZ173" s="450"/>
      <c r="BA173" s="450">
        <v>0.0</v>
      </c>
      <c r="BB173" s="450">
        <v>0.0</v>
      </c>
      <c r="BC173" s="450">
        <v>1024594.84</v>
      </c>
      <c r="BD173" s="450" t="s">
        <v>2566</v>
      </c>
      <c r="BE173" s="450" t="s">
        <v>2566</v>
      </c>
      <c r="BF173" s="450">
        <v>0.0</v>
      </c>
      <c r="BG173" s="450">
        <v>0.0</v>
      </c>
      <c r="BH173" s="450">
        <v>0.0</v>
      </c>
      <c r="BI173" s="450">
        <v>0.0</v>
      </c>
      <c r="BJ173" s="450">
        <v>0.0</v>
      </c>
      <c r="BK173" s="450">
        <v>0.0</v>
      </c>
      <c r="BL173" s="450">
        <v>0.0</v>
      </c>
      <c r="BM173" s="450">
        <v>0.0</v>
      </c>
      <c r="BN173" s="450">
        <v>0.0</v>
      </c>
      <c r="BO173" s="450">
        <v>0.0</v>
      </c>
      <c r="BP173" s="450">
        <v>0.0</v>
      </c>
      <c r="BQ173" s="450">
        <v>0.0</v>
      </c>
      <c r="BR173" s="450">
        <v>0.0</v>
      </c>
      <c r="BS173" s="615" t="str">
        <f t="array" ref="BS173">XLOOKUP(D173,'PL TOTAL XP'!A:A,'PL TOTAL XP'!C:C,"0")</f>
        <v>0</v>
      </c>
      <c r="BT173" s="616"/>
    </row>
    <row r="174" ht="15.75" customHeight="1">
      <c r="A174" s="183" t="s">
        <v>3820</v>
      </c>
      <c r="B174" s="78" t="s">
        <v>1005</v>
      </c>
      <c r="C174" s="564" t="s">
        <v>1002</v>
      </c>
      <c r="D174" s="566">
        <v>2257037.0</v>
      </c>
      <c r="E174" s="512" t="s">
        <v>105</v>
      </c>
      <c r="F174" s="609" t="s">
        <v>29</v>
      </c>
      <c r="G174" s="512" t="s">
        <v>4283</v>
      </c>
      <c r="H174" s="512">
        <f>IFERROR(VLOOKUP(G174,'Cadastro de assessores'!A:B,2,FALSE),"Não Cadastrado")</f>
        <v>12330</v>
      </c>
      <c r="I174" s="512"/>
      <c r="J174" s="51" t="s">
        <v>3823</v>
      </c>
      <c r="K174" s="512" t="s">
        <v>107</v>
      </c>
      <c r="L174" s="624">
        <v>44684.0</v>
      </c>
      <c r="M174" s="624">
        <v>44706.0</v>
      </c>
      <c r="N174" s="522"/>
      <c r="O174" s="522" t="s">
        <v>4347</v>
      </c>
      <c r="P174" s="612">
        <v>0.002</v>
      </c>
      <c r="Q174" s="224" t="s">
        <v>4335</v>
      </c>
      <c r="R174" s="613"/>
      <c r="S174" s="522"/>
      <c r="T174" s="522" t="s">
        <v>108</v>
      </c>
      <c r="U174" s="522" t="s">
        <v>2565</v>
      </c>
      <c r="V174" s="522" t="s">
        <v>29</v>
      </c>
      <c r="W174" s="614"/>
      <c r="X174" s="614"/>
      <c r="Y174" s="614"/>
      <c r="Z174" s="614"/>
      <c r="AA174" s="614"/>
      <c r="AB174" s="614"/>
      <c r="AC174" s="614"/>
      <c r="AD174" s="614"/>
      <c r="AE174" s="614"/>
      <c r="AF174" s="614"/>
      <c r="AG174" s="614"/>
      <c r="AH174" s="614"/>
      <c r="AI174" s="614"/>
      <c r="AJ174" s="614"/>
      <c r="AK174" s="450"/>
      <c r="AL174" s="450"/>
      <c r="AM174" s="450"/>
      <c r="AN174" s="450"/>
      <c r="AO174" s="450"/>
      <c r="AP174" s="450"/>
      <c r="AQ174" s="450"/>
      <c r="AR174" s="450"/>
      <c r="AS174" s="450"/>
      <c r="AT174" s="450"/>
      <c r="AU174" s="450"/>
      <c r="AV174" s="450"/>
      <c r="AW174" s="450"/>
      <c r="AX174" s="450"/>
      <c r="AY174" s="450"/>
      <c r="AZ174" s="450"/>
      <c r="BA174" s="450"/>
      <c r="BB174" s="450"/>
      <c r="BC174" s="450"/>
      <c r="BD174" s="450"/>
      <c r="BE174" s="450">
        <v>698753.33</v>
      </c>
      <c r="BF174" s="450">
        <v>683511.94</v>
      </c>
      <c r="BG174" s="450">
        <v>709321.7006</v>
      </c>
      <c r="BH174" s="450">
        <v>712735.17</v>
      </c>
      <c r="BI174" s="450">
        <v>704511.09</v>
      </c>
      <c r="BJ174" s="450">
        <v>706575.9</v>
      </c>
      <c r="BK174" s="450">
        <v>711393.02</v>
      </c>
      <c r="BL174" s="450">
        <v>715043.89</v>
      </c>
      <c r="BM174" s="450">
        <v>714401.72</v>
      </c>
      <c r="BN174" s="450">
        <v>122819.33</v>
      </c>
      <c r="BO174" s="450">
        <v>0.0</v>
      </c>
      <c r="BP174" s="450">
        <v>0.0</v>
      </c>
      <c r="BQ174" s="450">
        <v>0.0</v>
      </c>
      <c r="BR174" s="450">
        <v>0.0</v>
      </c>
      <c r="BS174" s="615">
        <f t="array" ref="BS174">XLOOKUP(D174,'PL TOTAL XP'!A:A,'PL TOTAL XP'!C:C,"0")</f>
        <v>0</v>
      </c>
      <c r="BT174" s="616"/>
    </row>
    <row r="175" ht="15.75" customHeight="1">
      <c r="A175" s="183" t="s">
        <v>3820</v>
      </c>
      <c r="B175" s="78" t="s">
        <v>1005</v>
      </c>
      <c r="C175" s="564" t="s">
        <v>1002</v>
      </c>
      <c r="D175" s="566">
        <v>8588911.0</v>
      </c>
      <c r="E175" s="512" t="s">
        <v>105</v>
      </c>
      <c r="F175" s="512" t="s">
        <v>29</v>
      </c>
      <c r="G175" s="512" t="s">
        <v>4283</v>
      </c>
      <c r="H175" s="512">
        <f>IFERROR(VLOOKUP(G175,'Cadastro de assessores'!A:B,2,FALSE),"Não Cadastrado")</f>
        <v>12330</v>
      </c>
      <c r="I175" s="512"/>
      <c r="J175" s="51" t="s">
        <v>3823</v>
      </c>
      <c r="K175" s="512" t="s">
        <v>107</v>
      </c>
      <c r="L175" s="624">
        <v>44704.0</v>
      </c>
      <c r="M175" s="624">
        <v>44706.0</v>
      </c>
      <c r="N175" s="522"/>
      <c r="O175" s="522" t="s">
        <v>3836</v>
      </c>
      <c r="P175" s="612">
        <v>0.01</v>
      </c>
      <c r="Q175" s="620" t="s">
        <v>4348</v>
      </c>
      <c r="R175" s="613"/>
      <c r="S175" s="522" t="str">
        <f t="shared" ref="S175:S178" si="17">IF(BC175&lt;=0,"",IF(BC175&lt;=1000000,"Não Qualificado",IF(AND(BC175&gt;1000000,BC175&lt;=10000000),"Qualificado","Profissional")))</f>
        <v>Qualificado</v>
      </c>
      <c r="T175" s="522" t="s">
        <v>108</v>
      </c>
      <c r="U175" s="522" t="s">
        <v>2565</v>
      </c>
      <c r="V175" s="522" t="s">
        <v>29</v>
      </c>
      <c r="W175" s="614"/>
      <c r="X175" s="614"/>
      <c r="Y175" s="614"/>
      <c r="Z175" s="614"/>
      <c r="AA175" s="614"/>
      <c r="AB175" s="614"/>
      <c r="AC175" s="614"/>
      <c r="AD175" s="614"/>
      <c r="AE175" s="614"/>
      <c r="AF175" s="614"/>
      <c r="AG175" s="614"/>
      <c r="AH175" s="614"/>
      <c r="AI175" s="614"/>
      <c r="AJ175" s="614"/>
      <c r="AK175" s="450"/>
      <c r="AL175" s="450"/>
      <c r="AM175" s="450"/>
      <c r="AN175" s="450"/>
      <c r="AO175" s="450"/>
      <c r="AP175" s="450"/>
      <c r="AQ175" s="450"/>
      <c r="AR175" s="450"/>
      <c r="AS175" s="450"/>
      <c r="AT175" s="450"/>
      <c r="AU175" s="450"/>
      <c r="AV175" s="450"/>
      <c r="AW175" s="450"/>
      <c r="AX175" s="450"/>
      <c r="AY175" s="450"/>
      <c r="AZ175" s="450"/>
      <c r="BA175" s="450"/>
      <c r="BB175" s="450"/>
      <c r="BC175" s="450">
        <v>1003742.99</v>
      </c>
      <c r="BD175" s="450">
        <v>302624.32</v>
      </c>
      <c r="BE175" s="450">
        <v>395735.65</v>
      </c>
      <c r="BF175" s="450">
        <v>428056.29</v>
      </c>
      <c r="BG175" s="450">
        <v>432493.2174</v>
      </c>
      <c r="BH175" s="450">
        <v>433636.9</v>
      </c>
      <c r="BI175" s="450">
        <v>342910.77</v>
      </c>
      <c r="BJ175" s="450">
        <v>353654.39</v>
      </c>
      <c r="BK175" s="450">
        <v>363575.74</v>
      </c>
      <c r="BL175" s="450">
        <v>372861.75</v>
      </c>
      <c r="BM175" s="450">
        <v>385543.29</v>
      </c>
      <c r="BN175" s="450">
        <v>0.0</v>
      </c>
      <c r="BO175" s="450">
        <v>0.0</v>
      </c>
      <c r="BP175" s="450">
        <v>0.0</v>
      </c>
      <c r="BQ175" s="450">
        <v>0.0</v>
      </c>
      <c r="BR175" s="450">
        <v>0.0</v>
      </c>
      <c r="BS175" s="615">
        <f t="array" ref="BS175">XLOOKUP(D175,'PL TOTAL XP'!A:A,'PL TOTAL XP'!C:C,"0")</f>
        <v>0</v>
      </c>
      <c r="BT175" s="616"/>
    </row>
    <row r="176" ht="15.75" customHeight="1">
      <c r="A176" s="183" t="s">
        <v>3820</v>
      </c>
      <c r="B176" s="78" t="s">
        <v>1009</v>
      </c>
      <c r="C176" s="645" t="s">
        <v>4349</v>
      </c>
      <c r="D176" s="623">
        <v>7393141.0</v>
      </c>
      <c r="E176" s="609" t="s">
        <v>18</v>
      </c>
      <c r="F176" s="609" t="s">
        <v>19</v>
      </c>
      <c r="G176" s="512" t="s">
        <v>20</v>
      </c>
      <c r="H176" s="512">
        <f>IFERROR(VLOOKUP(G176,'Cadastro de assessores'!A:B,2,FALSE),"Não Cadastrado")</f>
        <v>12331</v>
      </c>
      <c r="I176" s="512"/>
      <c r="J176" s="51" t="s">
        <v>3823</v>
      </c>
      <c r="K176" s="512" t="s">
        <v>107</v>
      </c>
      <c r="L176" s="624">
        <v>44607.0</v>
      </c>
      <c r="M176" s="624">
        <v>44606.0</v>
      </c>
      <c r="N176" s="522"/>
      <c r="O176" s="522" t="s">
        <v>3836</v>
      </c>
      <c r="P176" s="612">
        <v>0.012</v>
      </c>
      <c r="Q176" s="620" t="s">
        <v>4102</v>
      </c>
      <c r="R176" s="613"/>
      <c r="S176" s="522" t="str">
        <f t="shared" si="17"/>
        <v>Não Qualificado</v>
      </c>
      <c r="T176" s="522" t="s">
        <v>369</v>
      </c>
      <c r="U176" s="522" t="s">
        <v>2652</v>
      </c>
      <c r="V176" s="522" t="s">
        <v>19</v>
      </c>
      <c r="W176" s="614"/>
      <c r="X176" s="614"/>
      <c r="Y176" s="614"/>
      <c r="Z176" s="614"/>
      <c r="AA176" s="614"/>
      <c r="AB176" s="614"/>
      <c r="AC176" s="614"/>
      <c r="AD176" s="614"/>
      <c r="AE176" s="614"/>
      <c r="AF176" s="614"/>
      <c r="AG176" s="614"/>
      <c r="AH176" s="614"/>
      <c r="AI176" s="614"/>
      <c r="AJ176" s="614"/>
      <c r="AK176" s="450"/>
      <c r="AL176" s="450"/>
      <c r="AM176" s="450"/>
      <c r="AN176" s="450"/>
      <c r="AO176" s="450"/>
      <c r="AP176" s="450"/>
      <c r="AQ176" s="450"/>
      <c r="AR176" s="450"/>
      <c r="AS176" s="450"/>
      <c r="AT176" s="450"/>
      <c r="AU176" s="450"/>
      <c r="AV176" s="450"/>
      <c r="AW176" s="450"/>
      <c r="AX176" s="450"/>
      <c r="AY176" s="450"/>
      <c r="AZ176" s="450"/>
      <c r="BA176" s="450">
        <v>101037.98</v>
      </c>
      <c r="BB176" s="450">
        <v>103421.19</v>
      </c>
      <c r="BC176" s="450">
        <v>7585.18</v>
      </c>
      <c r="BD176" s="450">
        <v>103753.08</v>
      </c>
      <c r="BE176" s="450">
        <v>104674.41</v>
      </c>
      <c r="BF176" s="450">
        <v>105470.65</v>
      </c>
      <c r="BG176" s="450">
        <v>106174.1611</v>
      </c>
      <c r="BH176" s="450">
        <v>106774.37</v>
      </c>
      <c r="BI176" s="450">
        <v>107511.33</v>
      </c>
      <c r="BJ176" s="450">
        <v>168889.22</v>
      </c>
      <c r="BK176" s="450">
        <v>170322.58</v>
      </c>
      <c r="BL176" s="450">
        <v>5422.29</v>
      </c>
      <c r="BM176" s="450">
        <v>0.0</v>
      </c>
      <c r="BN176" s="450">
        <v>0.0</v>
      </c>
      <c r="BO176" s="450">
        <v>0.0</v>
      </c>
      <c r="BP176" s="450">
        <v>0.0</v>
      </c>
      <c r="BQ176" s="450">
        <v>0.0</v>
      </c>
      <c r="BR176" s="450">
        <v>0.0</v>
      </c>
      <c r="BS176" s="615">
        <f t="array" ref="BS176">XLOOKUP(D176,'PL TOTAL XP'!A:A,'PL TOTAL XP'!C:C,"0")</f>
        <v>0</v>
      </c>
      <c r="BT176" s="616"/>
    </row>
    <row r="177" ht="15.75" customHeight="1">
      <c r="A177" s="183" t="s">
        <v>3820</v>
      </c>
      <c r="B177" s="78" t="s">
        <v>4350</v>
      </c>
      <c r="C177" s="617" t="s">
        <v>4351</v>
      </c>
      <c r="D177" s="522">
        <v>4418403.0</v>
      </c>
      <c r="E177" s="522" t="s">
        <v>105</v>
      </c>
      <c r="F177" s="522" t="s">
        <v>29</v>
      </c>
      <c r="G177" s="522" t="s">
        <v>3660</v>
      </c>
      <c r="H177" s="522" t="str">
        <f>IFERROR(VLOOKUP(G177,'Cadastro de assessores'!A:B,2,FALSE),"Não Cadastrado")</f>
        <v>14574</v>
      </c>
      <c r="I177" s="522"/>
      <c r="J177" s="51" t="s">
        <v>186</v>
      </c>
      <c r="K177" s="522" t="s">
        <v>2563</v>
      </c>
      <c r="L177" s="619">
        <v>44075.0</v>
      </c>
      <c r="M177" s="619">
        <v>44075.0</v>
      </c>
      <c r="N177" s="619">
        <v>44650.0</v>
      </c>
      <c r="O177" s="522" t="s">
        <v>3828</v>
      </c>
      <c r="P177" s="612">
        <v>0.015</v>
      </c>
      <c r="Q177" s="620" t="s">
        <v>4352</v>
      </c>
      <c r="R177" s="613"/>
      <c r="S177" s="522" t="str">
        <f t="shared" si="17"/>
        <v/>
      </c>
      <c r="T177" s="522" t="s">
        <v>108</v>
      </c>
      <c r="U177" s="522" t="s">
        <v>2623</v>
      </c>
      <c r="V177" s="522" t="s">
        <v>29</v>
      </c>
      <c r="W177" s="614" t="s">
        <v>3830</v>
      </c>
      <c r="X177" s="614" t="s">
        <v>3830</v>
      </c>
      <c r="Y177" s="614" t="s">
        <v>3830</v>
      </c>
      <c r="Z177" s="614" t="s">
        <v>3830</v>
      </c>
      <c r="AA177" s="614" t="s">
        <v>3830</v>
      </c>
      <c r="AB177" s="614" t="s">
        <v>3830</v>
      </c>
      <c r="AC177" s="614" t="s">
        <v>3830</v>
      </c>
      <c r="AD177" s="614" t="s">
        <v>3830</v>
      </c>
      <c r="AE177" s="614" t="s">
        <v>3830</v>
      </c>
      <c r="AF177" s="614" t="s">
        <v>3830</v>
      </c>
      <c r="AG177" s="614" t="s">
        <v>3830</v>
      </c>
      <c r="AH177" s="614" t="s">
        <v>4353</v>
      </c>
      <c r="AI177" s="614" t="s">
        <v>4354</v>
      </c>
      <c r="AJ177" s="614" t="s">
        <v>4355</v>
      </c>
      <c r="AK177" s="450">
        <v>513022.22</v>
      </c>
      <c r="AL177" s="450">
        <v>508196.47</v>
      </c>
      <c r="AM177" s="450">
        <v>517530.25</v>
      </c>
      <c r="AN177" s="450">
        <v>516652.41</v>
      </c>
      <c r="AO177" s="450">
        <v>522095.51</v>
      </c>
      <c r="AP177" s="450">
        <v>523735.99</v>
      </c>
      <c r="AQ177" s="450">
        <v>521397.57</v>
      </c>
      <c r="AR177" s="450">
        <v>534858.62</v>
      </c>
      <c r="AS177" s="450">
        <v>530681.48</v>
      </c>
      <c r="AT177" s="450">
        <v>520101.3</v>
      </c>
      <c r="AU177" s="450">
        <v>517028.61</v>
      </c>
      <c r="AV177" s="450">
        <v>507901.9</v>
      </c>
      <c r="AW177" s="450">
        <v>487529.71</v>
      </c>
      <c r="AX177" s="450">
        <v>488751.87</v>
      </c>
      <c r="AY177" s="450">
        <v>495991.77</v>
      </c>
      <c r="AZ177" s="450">
        <v>510428.92</v>
      </c>
      <c r="BA177" s="450">
        <v>513869.33</v>
      </c>
      <c r="BB177" s="450">
        <v>0.0</v>
      </c>
      <c r="BC177" s="450"/>
      <c r="BD177" s="450" t="s">
        <v>2566</v>
      </c>
      <c r="BE177" s="450" t="s">
        <v>2566</v>
      </c>
      <c r="BF177" s="450">
        <v>0.0</v>
      </c>
      <c r="BG177" s="450">
        <v>0.0</v>
      </c>
      <c r="BH177" s="450">
        <v>0.0</v>
      </c>
      <c r="BI177" s="450">
        <v>0.0</v>
      </c>
      <c r="BJ177" s="450">
        <v>0.0</v>
      </c>
      <c r="BK177" s="450">
        <v>0.0</v>
      </c>
      <c r="BL177" s="450">
        <v>0.0</v>
      </c>
      <c r="BM177" s="450">
        <v>0.0</v>
      </c>
      <c r="BN177" s="450">
        <v>0.0</v>
      </c>
      <c r="BO177" s="450">
        <v>0.0</v>
      </c>
      <c r="BP177" s="450">
        <v>0.0</v>
      </c>
      <c r="BQ177" s="450">
        <v>0.0</v>
      </c>
      <c r="BR177" s="450">
        <v>0.0</v>
      </c>
      <c r="BS177" s="615" t="str">
        <f t="array" ref="BS177">XLOOKUP(D177,'PL TOTAL XP'!A:A,'PL TOTAL XP'!C:C,"0")</f>
        <v>0</v>
      </c>
      <c r="BT177" s="616"/>
    </row>
    <row r="178" ht="15.75" customHeight="1">
      <c r="A178" s="183" t="s">
        <v>3820</v>
      </c>
      <c r="B178" s="78" t="s">
        <v>4356</v>
      </c>
      <c r="C178" s="564" t="s">
        <v>4357</v>
      </c>
      <c r="D178" s="635">
        <v>7970402.0</v>
      </c>
      <c r="E178" s="511" t="s">
        <v>18</v>
      </c>
      <c r="F178" s="511" t="s">
        <v>29</v>
      </c>
      <c r="G178" s="522" t="s">
        <v>4358</v>
      </c>
      <c r="H178" s="522" t="str">
        <f>IFERROR(VLOOKUP(G178,'Cadastro de assessores'!A:B,2,FALSE),"Não Cadastrado")</f>
        <v>16130</v>
      </c>
      <c r="I178" s="522"/>
      <c r="J178" s="51" t="s">
        <v>186</v>
      </c>
      <c r="K178" s="522" t="s">
        <v>2563</v>
      </c>
      <c r="L178" s="619">
        <v>44623.0</v>
      </c>
      <c r="M178" s="619">
        <v>44623.0</v>
      </c>
      <c r="N178" s="567">
        <v>44763.0</v>
      </c>
      <c r="O178" s="566" t="s">
        <v>3834</v>
      </c>
      <c r="P178" s="612">
        <v>0.007</v>
      </c>
      <c r="Q178" s="620" t="s">
        <v>4359</v>
      </c>
      <c r="R178" s="613"/>
      <c r="S178" s="522" t="str">
        <f t="shared" si="17"/>
        <v>Não Qualificado</v>
      </c>
      <c r="T178" s="522" t="s">
        <v>108</v>
      </c>
      <c r="U178" s="522" t="s">
        <v>2614</v>
      </c>
      <c r="V178" s="522" t="s">
        <v>29</v>
      </c>
      <c r="W178" s="614"/>
      <c r="X178" s="614"/>
      <c r="Y178" s="614"/>
      <c r="Z178" s="614"/>
      <c r="AA178" s="614"/>
      <c r="AB178" s="614"/>
      <c r="AC178" s="614"/>
      <c r="AD178" s="614"/>
      <c r="AE178" s="614"/>
      <c r="AF178" s="614"/>
      <c r="AG178" s="614"/>
      <c r="AH178" s="614"/>
      <c r="AI178" s="614"/>
      <c r="AJ178" s="614"/>
      <c r="AK178" s="450"/>
      <c r="AL178" s="450"/>
      <c r="AM178" s="450"/>
      <c r="AN178" s="450"/>
      <c r="AO178" s="450"/>
      <c r="AP178" s="450"/>
      <c r="AQ178" s="450"/>
      <c r="AR178" s="450"/>
      <c r="AS178" s="450"/>
      <c r="AT178" s="450"/>
      <c r="AU178" s="450"/>
      <c r="AV178" s="450"/>
      <c r="AW178" s="450"/>
      <c r="AX178" s="450"/>
      <c r="AY178" s="450"/>
      <c r="AZ178" s="450"/>
      <c r="BA178" s="450"/>
      <c r="BB178" s="450">
        <v>56466.82</v>
      </c>
      <c r="BC178" s="450">
        <v>64112.17</v>
      </c>
      <c r="BD178" s="450">
        <v>80910.99</v>
      </c>
      <c r="BE178" s="450">
        <v>81614.17</v>
      </c>
      <c r="BF178" s="450">
        <v>0.0</v>
      </c>
      <c r="BG178" s="450">
        <v>0.0</v>
      </c>
      <c r="BH178" s="450">
        <v>0.0</v>
      </c>
      <c r="BI178" s="450">
        <v>0.0</v>
      </c>
      <c r="BJ178" s="450">
        <v>0.0</v>
      </c>
      <c r="BK178" s="450">
        <v>0.0</v>
      </c>
      <c r="BL178" s="450">
        <v>0.0</v>
      </c>
      <c r="BM178" s="450">
        <v>0.0</v>
      </c>
      <c r="BN178" s="450">
        <v>0.0</v>
      </c>
      <c r="BO178" s="450">
        <v>0.0</v>
      </c>
      <c r="BP178" s="450">
        <v>0.0</v>
      </c>
      <c r="BQ178" s="450">
        <v>0.0</v>
      </c>
      <c r="BR178" s="450">
        <v>0.0</v>
      </c>
      <c r="BS178" s="615" t="str">
        <f t="array" ref="BS178">XLOOKUP(D178,'PL TOTAL XP'!A:A,'PL TOTAL XP'!C:C,"0")</f>
        <v>0</v>
      </c>
      <c r="BT178" s="616"/>
    </row>
    <row r="179" ht="15.75" customHeight="1">
      <c r="A179" s="183" t="s">
        <v>3820</v>
      </c>
      <c r="B179" s="78" t="s">
        <v>2924</v>
      </c>
      <c r="C179" s="564" t="s">
        <v>4360</v>
      </c>
      <c r="D179" s="566">
        <v>522975.0</v>
      </c>
      <c r="E179" s="512" t="s">
        <v>18</v>
      </c>
      <c r="F179" s="609" t="s">
        <v>29</v>
      </c>
      <c r="G179" s="566" t="s">
        <v>2605</v>
      </c>
      <c r="H179" s="522" t="str">
        <f>IFERROR(VLOOKUP(G179,'Cadastro de assessores'!A:B,2,FALSE),"Não Cadastrado")</f>
        <v>18836</v>
      </c>
      <c r="I179" s="512"/>
      <c r="J179" s="51" t="s">
        <v>3823</v>
      </c>
      <c r="K179" s="512"/>
      <c r="L179" s="624"/>
      <c r="M179" s="624"/>
      <c r="N179" s="566"/>
      <c r="O179" s="566" t="s">
        <v>3834</v>
      </c>
      <c r="P179" s="612">
        <v>0.01</v>
      </c>
      <c r="Q179" s="620"/>
      <c r="R179" s="613"/>
      <c r="S179" s="522"/>
      <c r="T179" s="522"/>
      <c r="U179" s="522"/>
      <c r="V179" s="522" t="s">
        <v>791</v>
      </c>
      <c r="W179" s="614"/>
      <c r="X179" s="614"/>
      <c r="Y179" s="614"/>
      <c r="Z179" s="614"/>
      <c r="AA179" s="614"/>
      <c r="AB179" s="614"/>
      <c r="AC179" s="614"/>
      <c r="AD179" s="614"/>
      <c r="AE179" s="614"/>
      <c r="AF179" s="614"/>
      <c r="AG179" s="614"/>
      <c r="AH179" s="614"/>
      <c r="AI179" s="614"/>
      <c r="AJ179" s="614"/>
      <c r="AK179" s="450"/>
      <c r="AL179" s="450"/>
      <c r="AM179" s="450"/>
      <c r="AN179" s="450"/>
      <c r="AO179" s="450"/>
      <c r="AP179" s="450"/>
      <c r="AQ179" s="450"/>
      <c r="AR179" s="450"/>
      <c r="AS179" s="450"/>
      <c r="AT179" s="450"/>
      <c r="AU179" s="450"/>
      <c r="AV179" s="450"/>
      <c r="AW179" s="450"/>
      <c r="AX179" s="450"/>
      <c r="AY179" s="450"/>
      <c r="AZ179" s="450"/>
      <c r="BA179" s="450"/>
      <c r="BB179" s="450"/>
      <c r="BC179" s="450"/>
      <c r="BD179" s="450"/>
      <c r="BE179" s="450"/>
      <c r="BF179" s="450"/>
      <c r="BG179" s="450"/>
      <c r="BH179" s="450"/>
      <c r="BI179" s="450">
        <v>57816.56</v>
      </c>
      <c r="BJ179" s="450">
        <v>58584.45</v>
      </c>
      <c r="BK179" s="450">
        <v>59243.98</v>
      </c>
      <c r="BL179" s="450">
        <v>91314.57</v>
      </c>
      <c r="BM179" s="450">
        <v>100230.19</v>
      </c>
      <c r="BN179" s="450">
        <v>80.7</v>
      </c>
      <c r="BO179" s="450">
        <v>81.45</v>
      </c>
      <c r="BP179" s="450">
        <v>200.07</v>
      </c>
      <c r="BQ179" s="450">
        <v>394.74</v>
      </c>
      <c r="BR179" s="450">
        <v>480.85</v>
      </c>
      <c r="BS179" s="615">
        <f t="array" ref="BS179">XLOOKUP(D179,'PL TOTAL XP'!A:A,'PL TOTAL XP'!C:C,"0")</f>
        <v>294.35</v>
      </c>
      <c r="BT179" s="616"/>
    </row>
    <row r="180" ht="15.75" customHeight="1">
      <c r="A180" s="183" t="s">
        <v>3820</v>
      </c>
      <c r="B180" s="78" t="s">
        <v>4361</v>
      </c>
      <c r="C180" s="564" t="s">
        <v>4362</v>
      </c>
      <c r="D180" s="566">
        <v>3581528.0</v>
      </c>
      <c r="E180" s="512" t="s">
        <v>105</v>
      </c>
      <c r="F180" s="609" t="s">
        <v>29</v>
      </c>
      <c r="G180" s="566" t="s">
        <v>4201</v>
      </c>
      <c r="H180" s="512">
        <f>IFERROR(VLOOKUP(G180,'Cadastro de assessores'!A:B,2,FALSE),"Não Cadastrado")</f>
        <v>12347</v>
      </c>
      <c r="I180" s="512"/>
      <c r="J180" s="46" t="s">
        <v>107</v>
      </c>
      <c r="K180" s="512" t="s">
        <v>107</v>
      </c>
      <c r="L180" s="624">
        <v>44693.0</v>
      </c>
      <c r="M180" s="624">
        <v>44693.0</v>
      </c>
      <c r="N180" s="566"/>
      <c r="O180" s="566" t="s">
        <v>3836</v>
      </c>
      <c r="P180" s="612">
        <v>0.012</v>
      </c>
      <c r="Q180" s="620"/>
      <c r="R180" s="613"/>
      <c r="S180" s="522" t="str">
        <f>IF(BC180&lt;=0,"",IF(BC180&lt;=1000000,"Não Qualificado",IF(AND(BC180&gt;1000000,BC180&lt;=10000000),"Qualificado","Profissional")))</f>
        <v>Não Qualificado</v>
      </c>
      <c r="T180" s="522" t="s">
        <v>108</v>
      </c>
      <c r="U180" s="522" t="s">
        <v>2623</v>
      </c>
      <c r="V180" s="522" t="s">
        <v>29</v>
      </c>
      <c r="W180" s="614"/>
      <c r="X180" s="614"/>
      <c r="Y180" s="614"/>
      <c r="Z180" s="614"/>
      <c r="AA180" s="614"/>
      <c r="AB180" s="614"/>
      <c r="AC180" s="614"/>
      <c r="AD180" s="614"/>
      <c r="AE180" s="614"/>
      <c r="AF180" s="614"/>
      <c r="AG180" s="614"/>
      <c r="AH180" s="614"/>
      <c r="AI180" s="614"/>
      <c r="AJ180" s="614"/>
      <c r="AK180" s="450"/>
      <c r="AL180" s="450"/>
      <c r="AM180" s="450"/>
      <c r="AN180" s="450"/>
      <c r="AO180" s="450"/>
      <c r="AP180" s="450"/>
      <c r="AQ180" s="450"/>
      <c r="AR180" s="450"/>
      <c r="AS180" s="450"/>
      <c r="AT180" s="450"/>
      <c r="AU180" s="450"/>
      <c r="AV180" s="450"/>
      <c r="AW180" s="450"/>
      <c r="AX180" s="450"/>
      <c r="AY180" s="450"/>
      <c r="AZ180" s="450"/>
      <c r="BA180" s="450"/>
      <c r="BB180" s="450"/>
      <c r="BC180" s="450">
        <v>269622.01</v>
      </c>
      <c r="BD180" s="450">
        <v>425173.48</v>
      </c>
      <c r="BE180" s="450">
        <v>295581.08</v>
      </c>
      <c r="BF180" s="450">
        <v>300602.63</v>
      </c>
      <c r="BG180" s="450">
        <v>302247.9893</v>
      </c>
      <c r="BH180" s="450">
        <v>304149.59</v>
      </c>
      <c r="BI180" s="450">
        <v>313515.83</v>
      </c>
      <c r="BJ180" s="450">
        <v>313484.7</v>
      </c>
      <c r="BK180" s="450">
        <v>315863.65</v>
      </c>
      <c r="BL180" s="450">
        <v>318816.54</v>
      </c>
      <c r="BM180" s="450">
        <v>320997.93</v>
      </c>
      <c r="BN180" s="450">
        <v>323894.49</v>
      </c>
      <c r="BO180" s="450">
        <v>326638.67</v>
      </c>
      <c r="BP180" s="450">
        <v>329409.87</v>
      </c>
      <c r="BQ180" s="450">
        <v>330460.54</v>
      </c>
      <c r="BR180" s="450">
        <v>333003.86</v>
      </c>
      <c r="BS180" s="615">
        <f t="array" ref="BS180">XLOOKUP(D180,'PL TOTAL XP'!A:A,'PL TOTAL XP'!C:C,"0")</f>
        <v>352930.19</v>
      </c>
      <c r="BT180" s="616"/>
    </row>
    <row r="181" ht="15.75" customHeight="1">
      <c r="A181" s="183" t="s">
        <v>3820</v>
      </c>
      <c r="B181" s="78" t="s">
        <v>2932</v>
      </c>
      <c r="C181" s="564" t="s">
        <v>2929</v>
      </c>
      <c r="D181" s="566">
        <v>4001766.0</v>
      </c>
      <c r="E181" s="512" t="s">
        <v>18</v>
      </c>
      <c r="F181" s="609" t="s">
        <v>29</v>
      </c>
      <c r="G181" s="566" t="s">
        <v>2931</v>
      </c>
      <c r="H181" s="512" t="str">
        <f>IFERROR(VLOOKUP(G181,'Cadastro de assessores'!A:B,2,FALSE),"Não Cadastrado")</f>
        <v>13444</v>
      </c>
      <c r="I181" s="512"/>
      <c r="J181" s="51" t="s">
        <v>3823</v>
      </c>
      <c r="K181" s="512" t="s">
        <v>107</v>
      </c>
      <c r="L181" s="624">
        <v>44747.0</v>
      </c>
      <c r="M181" s="624">
        <v>44747.0</v>
      </c>
      <c r="N181" s="566"/>
      <c r="O181" s="566" t="s">
        <v>3836</v>
      </c>
      <c r="P181" s="612">
        <v>0.012</v>
      </c>
      <c r="Q181" s="224" t="s">
        <v>4363</v>
      </c>
      <c r="R181" s="613"/>
      <c r="S181" s="522"/>
      <c r="T181" s="522" t="s">
        <v>108</v>
      </c>
      <c r="U181" s="522" t="s">
        <v>4364</v>
      </c>
      <c r="V181" s="522" t="s">
        <v>152</v>
      </c>
      <c r="W181" s="614"/>
      <c r="X181" s="614"/>
      <c r="Y181" s="614"/>
      <c r="Z181" s="614"/>
      <c r="AA181" s="614"/>
      <c r="AB181" s="614"/>
      <c r="AC181" s="614"/>
      <c r="AD181" s="614"/>
      <c r="AE181" s="614"/>
      <c r="AF181" s="614"/>
      <c r="AG181" s="614"/>
      <c r="AH181" s="614"/>
      <c r="AI181" s="614"/>
      <c r="AJ181" s="614"/>
      <c r="AK181" s="450"/>
      <c r="AL181" s="450"/>
      <c r="AM181" s="450"/>
      <c r="AN181" s="450"/>
      <c r="AO181" s="450"/>
      <c r="AP181" s="450"/>
      <c r="AQ181" s="450"/>
      <c r="AR181" s="450"/>
      <c r="AS181" s="450"/>
      <c r="AT181" s="450"/>
      <c r="AU181" s="450"/>
      <c r="AV181" s="450"/>
      <c r="AW181" s="450"/>
      <c r="AX181" s="450"/>
      <c r="AY181" s="450"/>
      <c r="AZ181" s="450"/>
      <c r="BA181" s="450"/>
      <c r="BB181" s="450"/>
      <c r="BC181" s="450"/>
      <c r="BD181" s="450"/>
      <c r="BE181" s="450" t="s">
        <v>2566</v>
      </c>
      <c r="BF181" s="450">
        <v>103418.85</v>
      </c>
      <c r="BG181" s="450">
        <v>108786.126</v>
      </c>
      <c r="BH181" s="450">
        <v>165889.68</v>
      </c>
      <c r="BI181" s="450">
        <v>171230.72</v>
      </c>
      <c r="BJ181" s="450">
        <v>155827.83</v>
      </c>
      <c r="BK181" s="450">
        <v>136694.08</v>
      </c>
      <c r="BL181" s="450">
        <v>128081.83</v>
      </c>
      <c r="BM181" s="450">
        <v>111338.1</v>
      </c>
      <c r="BN181" s="450">
        <v>7.63</v>
      </c>
      <c r="BO181" s="450">
        <v>7.63</v>
      </c>
      <c r="BP181" s="450">
        <v>7.63</v>
      </c>
      <c r="BQ181" s="450">
        <v>7.63</v>
      </c>
      <c r="BR181" s="450">
        <v>7.63</v>
      </c>
      <c r="BS181" s="615">
        <f t="array" ref="BS181">XLOOKUP(D181,'PL TOTAL XP'!A:A,'PL TOTAL XP'!C:C,"0")</f>
        <v>7.63</v>
      </c>
      <c r="BT181" s="616"/>
    </row>
    <row r="182" ht="15.75" customHeight="1">
      <c r="A182" s="183" t="s">
        <v>3820</v>
      </c>
      <c r="B182" s="78" t="s">
        <v>4365</v>
      </c>
      <c r="C182" s="564" t="s">
        <v>4366</v>
      </c>
      <c r="D182" s="566">
        <v>2651260.0</v>
      </c>
      <c r="E182" s="522" t="s">
        <v>18</v>
      </c>
      <c r="F182" s="522" t="s">
        <v>29</v>
      </c>
      <c r="G182" s="522" t="s">
        <v>3708</v>
      </c>
      <c r="H182" s="522" t="str">
        <f>IFERROR(VLOOKUP(G182,'Cadastro de assessores'!A:B,2,FALSE),"Não Cadastrado")</f>
        <v>18266</v>
      </c>
      <c r="I182" s="522"/>
      <c r="J182" s="51" t="s">
        <v>186</v>
      </c>
      <c r="K182" s="522" t="s">
        <v>2563</v>
      </c>
      <c r="L182" s="522" t="s">
        <v>2600</v>
      </c>
      <c r="M182" s="522" t="s">
        <v>2600</v>
      </c>
      <c r="N182" s="619">
        <v>44459.0</v>
      </c>
      <c r="O182" s="522" t="s">
        <v>3840</v>
      </c>
      <c r="P182" s="612">
        <v>0.025</v>
      </c>
      <c r="Q182" s="620" t="s">
        <v>4367</v>
      </c>
      <c r="R182" s="613"/>
      <c r="S182" s="522" t="str">
        <f>IF(BC182&lt;=0,"",IF(BC182&lt;=1000000,"Não Qualificado",IF(AND(BC182&gt;1000000,BC182&lt;=10000000),"Qualificado","Profissional")))</f>
        <v>Não Qualificado</v>
      </c>
      <c r="T182" s="522" t="s">
        <v>108</v>
      </c>
      <c r="U182" s="566" t="s">
        <v>2664</v>
      </c>
      <c r="V182" s="566" t="s">
        <v>791</v>
      </c>
      <c r="W182" s="468"/>
      <c r="X182" s="468"/>
      <c r="Y182" s="468"/>
      <c r="Z182" s="468"/>
      <c r="AA182" s="468"/>
      <c r="AB182" s="468"/>
      <c r="AC182" s="468"/>
      <c r="AD182" s="468"/>
      <c r="AE182" s="468"/>
      <c r="AF182" s="468"/>
      <c r="AG182" s="468"/>
      <c r="AH182" s="468"/>
      <c r="AI182" s="468"/>
      <c r="AJ182" s="468"/>
      <c r="AK182" s="450"/>
      <c r="AL182" s="450"/>
      <c r="AM182" s="450"/>
      <c r="AN182" s="450"/>
      <c r="AO182" s="450"/>
      <c r="AP182" s="450"/>
      <c r="AQ182" s="468"/>
      <c r="AR182" s="449">
        <v>104420.51</v>
      </c>
      <c r="AS182" s="450">
        <v>101510.67</v>
      </c>
      <c r="AT182" s="450">
        <v>99241.38</v>
      </c>
      <c r="AU182" s="450">
        <v>95161.41</v>
      </c>
      <c r="AV182" s="450"/>
      <c r="AW182" s="450"/>
      <c r="AX182" s="450"/>
      <c r="AY182" s="450"/>
      <c r="AZ182" s="450"/>
      <c r="BA182" s="450">
        <v>0.0</v>
      </c>
      <c r="BB182" s="450">
        <v>0.0</v>
      </c>
      <c r="BC182" s="450">
        <v>88166.66</v>
      </c>
      <c r="BD182" s="450" t="s">
        <v>2566</v>
      </c>
      <c r="BE182" s="450" t="s">
        <v>2566</v>
      </c>
      <c r="BF182" s="450">
        <v>0.0</v>
      </c>
      <c r="BG182" s="450">
        <v>0.0</v>
      </c>
      <c r="BH182" s="450">
        <v>0.0</v>
      </c>
      <c r="BI182" s="450">
        <v>0.0</v>
      </c>
      <c r="BJ182" s="450">
        <v>0.0</v>
      </c>
      <c r="BK182" s="450">
        <v>0.0</v>
      </c>
      <c r="BL182" s="450">
        <v>0.0</v>
      </c>
      <c r="BM182" s="450">
        <v>0.0</v>
      </c>
      <c r="BN182" s="450">
        <v>0.0</v>
      </c>
      <c r="BO182" s="450">
        <v>0.0</v>
      </c>
      <c r="BP182" s="450">
        <v>0.0</v>
      </c>
      <c r="BQ182" s="450">
        <v>0.0</v>
      </c>
      <c r="BR182" s="450">
        <v>0.0</v>
      </c>
      <c r="BS182" s="615" t="str">
        <f t="array" ref="BS182">XLOOKUP(D182,'PL TOTAL XP'!A:A,'PL TOTAL XP'!C:C,"0")</f>
        <v>0</v>
      </c>
      <c r="BT182" s="616"/>
    </row>
    <row r="183" ht="15.75" customHeight="1">
      <c r="A183" s="183" t="s">
        <v>3820</v>
      </c>
      <c r="B183" s="78" t="s">
        <v>2814</v>
      </c>
      <c r="C183" s="564" t="s">
        <v>4368</v>
      </c>
      <c r="D183" s="566">
        <v>3716665.0</v>
      </c>
      <c r="E183" s="512" t="s">
        <v>105</v>
      </c>
      <c r="F183" s="512" t="s">
        <v>29</v>
      </c>
      <c r="G183" s="566" t="s">
        <v>71</v>
      </c>
      <c r="H183" s="512" t="str">
        <f>IFERROR(VLOOKUP(G183,'Cadastro de assessores'!A:B,2,FALSE),"Não Cadastrado")</f>
        <v>17896</v>
      </c>
      <c r="I183" s="512"/>
      <c r="J183" s="51" t="s">
        <v>3823</v>
      </c>
      <c r="K183" s="522" t="s">
        <v>2600</v>
      </c>
      <c r="L183" s="522" t="s">
        <v>2600</v>
      </c>
      <c r="M183" s="640" t="s">
        <v>4369</v>
      </c>
      <c r="N183" s="566"/>
      <c r="O183" s="566" t="s">
        <v>3836</v>
      </c>
      <c r="P183" s="612">
        <v>0.012</v>
      </c>
      <c r="Q183" s="620"/>
      <c r="R183" s="613"/>
      <c r="S183" s="522"/>
      <c r="T183" s="522" t="s">
        <v>369</v>
      </c>
      <c r="U183" s="522"/>
      <c r="V183" s="522" t="s">
        <v>29</v>
      </c>
      <c r="W183" s="614"/>
      <c r="X183" s="614"/>
      <c r="Y183" s="614"/>
      <c r="Z183" s="614"/>
      <c r="AA183" s="614"/>
      <c r="AB183" s="614"/>
      <c r="AC183" s="614"/>
      <c r="AD183" s="614"/>
      <c r="AE183" s="614"/>
      <c r="AF183" s="614"/>
      <c r="AG183" s="614"/>
      <c r="AH183" s="614"/>
      <c r="AI183" s="614"/>
      <c r="AJ183" s="614"/>
      <c r="AK183" s="450"/>
      <c r="AL183" s="450"/>
      <c r="AM183" s="450"/>
      <c r="AN183" s="450"/>
      <c r="AO183" s="450"/>
      <c r="AP183" s="450"/>
      <c r="AQ183" s="450"/>
      <c r="AR183" s="450"/>
      <c r="AS183" s="450"/>
      <c r="AT183" s="450"/>
      <c r="AU183" s="450"/>
      <c r="AV183" s="450"/>
      <c r="AW183" s="450"/>
      <c r="AX183" s="450"/>
      <c r="AY183" s="450"/>
      <c r="AZ183" s="450"/>
      <c r="BA183" s="450"/>
      <c r="BB183" s="450"/>
      <c r="BC183" s="450"/>
      <c r="BD183" s="450" t="s">
        <v>2566</v>
      </c>
      <c r="BE183" s="450" t="s">
        <v>2566</v>
      </c>
      <c r="BF183" s="450">
        <v>0.0</v>
      </c>
      <c r="BG183" s="450">
        <v>0.0</v>
      </c>
      <c r="BH183" s="450">
        <v>0.0</v>
      </c>
      <c r="BI183" s="450">
        <v>0.0</v>
      </c>
      <c r="BJ183" s="450">
        <v>0.0</v>
      </c>
      <c r="BK183" s="450">
        <v>0.0</v>
      </c>
      <c r="BL183" s="450">
        <v>0.0</v>
      </c>
      <c r="BM183" s="450">
        <v>0.0</v>
      </c>
      <c r="BN183" s="450">
        <v>0.0</v>
      </c>
      <c r="BO183" s="450">
        <v>0.0</v>
      </c>
      <c r="BP183" s="450">
        <v>0.0</v>
      </c>
      <c r="BQ183" s="450">
        <v>0.0</v>
      </c>
      <c r="BR183" s="450">
        <v>0.0</v>
      </c>
      <c r="BS183" s="615" t="str">
        <f t="array" ref="BS183">XLOOKUP(D183,'PL TOTAL XP'!A:A,'PL TOTAL XP'!C:C,"0")</f>
        <v>0</v>
      </c>
      <c r="BT183" s="616"/>
    </row>
    <row r="184" ht="15.75" customHeight="1">
      <c r="A184" s="183" t="s">
        <v>3820</v>
      </c>
      <c r="B184" s="78" t="s">
        <v>1039</v>
      </c>
      <c r="C184" s="564" t="s">
        <v>4370</v>
      </c>
      <c r="D184" s="566">
        <v>8461167.0</v>
      </c>
      <c r="E184" s="512" t="s">
        <v>18</v>
      </c>
      <c r="F184" s="512" t="s">
        <v>19</v>
      </c>
      <c r="G184" s="566" t="s">
        <v>4003</v>
      </c>
      <c r="H184" s="512">
        <f>IFERROR(VLOOKUP(G184,'Cadastro de assessores'!A:B,2,FALSE),"Não Cadastrado")</f>
        <v>12351</v>
      </c>
      <c r="I184" s="512"/>
      <c r="J184" s="51" t="s">
        <v>3823</v>
      </c>
      <c r="K184" s="512" t="s">
        <v>107</v>
      </c>
      <c r="L184" s="611">
        <v>44690.0</v>
      </c>
      <c r="M184" s="611">
        <v>44694.0</v>
      </c>
      <c r="N184" s="566"/>
      <c r="O184" s="566" t="s">
        <v>3836</v>
      </c>
      <c r="P184" s="612">
        <v>0.012</v>
      </c>
      <c r="Q184" s="620"/>
      <c r="R184" s="613"/>
      <c r="S184" s="522" t="str">
        <f t="shared" ref="S184:S188" si="18">IF(BC184&lt;=0,"",IF(BC184&lt;=1000000,"Não Qualificado",IF(AND(BC184&gt;1000000,BC184&lt;=10000000),"Qualificado","Profissional")))</f>
        <v>Não Qualificado</v>
      </c>
      <c r="T184" s="522" t="s">
        <v>108</v>
      </c>
      <c r="U184" s="522" t="s">
        <v>2652</v>
      </c>
      <c r="V184" s="522" t="s">
        <v>19</v>
      </c>
      <c r="W184" s="614"/>
      <c r="X184" s="614"/>
      <c r="Y184" s="614"/>
      <c r="Z184" s="614"/>
      <c r="AA184" s="614"/>
      <c r="AB184" s="614"/>
      <c r="AC184" s="614"/>
      <c r="AD184" s="614"/>
      <c r="AE184" s="614"/>
      <c r="AF184" s="614"/>
      <c r="AG184" s="614"/>
      <c r="AH184" s="614"/>
      <c r="AI184" s="614"/>
      <c r="AJ184" s="614"/>
      <c r="AK184" s="450"/>
      <c r="AL184" s="450"/>
      <c r="AM184" s="450"/>
      <c r="AN184" s="450"/>
      <c r="AO184" s="450"/>
      <c r="AP184" s="450"/>
      <c r="AQ184" s="450"/>
      <c r="AR184" s="450"/>
      <c r="AS184" s="450"/>
      <c r="AT184" s="450"/>
      <c r="AU184" s="450"/>
      <c r="AV184" s="450"/>
      <c r="AW184" s="450"/>
      <c r="AX184" s="450"/>
      <c r="AY184" s="450"/>
      <c r="AZ184" s="450"/>
      <c r="BA184" s="450"/>
      <c r="BB184" s="450"/>
      <c r="BC184" s="450">
        <v>36058.3</v>
      </c>
      <c r="BD184" s="450">
        <v>40142.11</v>
      </c>
      <c r="BE184" s="450">
        <v>40154.21</v>
      </c>
      <c r="BF184" s="450">
        <v>40646.33</v>
      </c>
      <c r="BG184" s="450">
        <v>40906.90507</v>
      </c>
      <c r="BH184" s="450">
        <v>41248.5</v>
      </c>
      <c r="BI184" s="450">
        <v>42112.48</v>
      </c>
      <c r="BJ184" s="450">
        <v>42091.07</v>
      </c>
      <c r="BK184" s="450">
        <v>42447.95</v>
      </c>
      <c r="BL184" s="450">
        <v>42877.01</v>
      </c>
      <c r="BM184" s="450">
        <v>21306.22</v>
      </c>
      <c r="BN184" s="450">
        <v>1.83</v>
      </c>
      <c r="BO184" s="450">
        <v>17.72</v>
      </c>
      <c r="BP184" s="450">
        <v>17.72</v>
      </c>
      <c r="BQ184" s="450">
        <v>17.72</v>
      </c>
      <c r="BR184" s="450">
        <v>0.72</v>
      </c>
      <c r="BS184" s="615">
        <f t="array" ref="BS184">XLOOKUP(D184,'PL TOTAL XP'!A:A,'PL TOTAL XP'!C:C,"0")</f>
        <v>0</v>
      </c>
      <c r="BT184" s="616"/>
    </row>
    <row r="185" ht="15.75" customHeight="1">
      <c r="A185" s="183" t="s">
        <v>3820</v>
      </c>
      <c r="B185" s="78" t="s">
        <v>4371</v>
      </c>
      <c r="C185" s="617" t="s">
        <v>4372</v>
      </c>
      <c r="D185" s="522">
        <v>4696470.0</v>
      </c>
      <c r="E185" s="512" t="s">
        <v>105</v>
      </c>
      <c r="F185" s="512" t="s">
        <v>29</v>
      </c>
      <c r="G185" s="512" t="s">
        <v>4087</v>
      </c>
      <c r="H185" s="512" t="str">
        <f>IFERROR(VLOOKUP(G185,'Cadastro de assessores'!A:B,2,FALSE),"Não Cadastrado")</f>
        <v>17243</v>
      </c>
      <c r="I185" s="512"/>
      <c r="J185" s="51" t="s">
        <v>3823</v>
      </c>
      <c r="K185" s="522" t="s">
        <v>147</v>
      </c>
      <c r="L185" s="611">
        <v>44193.0</v>
      </c>
      <c r="M185" s="611">
        <v>44195.0</v>
      </c>
      <c r="N185" s="522"/>
      <c r="O185" s="522" t="s">
        <v>3836</v>
      </c>
      <c r="P185" s="612">
        <v>0.012</v>
      </c>
      <c r="Q185" s="620"/>
      <c r="R185" s="613"/>
      <c r="S185" s="522" t="str">
        <f t="shared" si="18"/>
        <v>Não Qualificado</v>
      </c>
      <c r="T185" s="522" t="s">
        <v>108</v>
      </c>
      <c r="U185" s="522" t="s">
        <v>2623</v>
      </c>
      <c r="V185" s="522" t="s">
        <v>29</v>
      </c>
      <c r="W185" s="614" t="s">
        <v>3830</v>
      </c>
      <c r="X185" s="614" t="s">
        <v>3830</v>
      </c>
      <c r="Y185" s="614" t="s">
        <v>3830</v>
      </c>
      <c r="Z185" s="614" t="s">
        <v>3830</v>
      </c>
      <c r="AA185" s="614" t="s">
        <v>3830</v>
      </c>
      <c r="AB185" s="614" t="s">
        <v>3830</v>
      </c>
      <c r="AC185" s="614" t="s">
        <v>3830</v>
      </c>
      <c r="AD185" s="614" t="s">
        <v>3830</v>
      </c>
      <c r="AE185" s="614" t="s">
        <v>3830</v>
      </c>
      <c r="AF185" s="614" t="s">
        <v>3830</v>
      </c>
      <c r="AG185" s="614" t="s">
        <v>3830</v>
      </c>
      <c r="AH185" s="614" t="s">
        <v>3830</v>
      </c>
      <c r="AI185" s="614" t="s">
        <v>3830</v>
      </c>
      <c r="AJ185" s="614" t="s">
        <v>3830</v>
      </c>
      <c r="AK185" s="450">
        <v>330663.71</v>
      </c>
      <c r="AL185" s="450">
        <v>327919.39</v>
      </c>
      <c r="AM185" s="450">
        <v>324320.47</v>
      </c>
      <c r="AN185" s="450">
        <v>324101.44</v>
      </c>
      <c r="AO185" s="450">
        <v>328583.39</v>
      </c>
      <c r="AP185" s="450">
        <v>104.99</v>
      </c>
      <c r="AQ185" s="450">
        <v>104.99</v>
      </c>
      <c r="AR185" s="450">
        <v>105.0</v>
      </c>
      <c r="AS185" s="450">
        <v>107.77</v>
      </c>
      <c r="AT185" s="450">
        <v>107.55</v>
      </c>
      <c r="AU185" s="450">
        <v>107.33</v>
      </c>
      <c r="AV185" s="450">
        <v>56.06</v>
      </c>
      <c r="AW185" s="450">
        <v>106.92</v>
      </c>
      <c r="AX185" s="450">
        <v>106.72</v>
      </c>
      <c r="AY185" s="450">
        <v>50.62</v>
      </c>
      <c r="AZ185" s="450">
        <v>50.62</v>
      </c>
      <c r="BA185" s="450">
        <v>50.62</v>
      </c>
      <c r="BB185" s="450">
        <v>50.62</v>
      </c>
      <c r="BC185" s="450">
        <v>90375.06</v>
      </c>
      <c r="BD185" s="450">
        <v>51.81</v>
      </c>
      <c r="BE185" s="450">
        <v>51.81</v>
      </c>
      <c r="BF185" s="450">
        <v>51.82</v>
      </c>
      <c r="BG185" s="450">
        <v>51.82</v>
      </c>
      <c r="BH185" s="450">
        <v>51.82</v>
      </c>
      <c r="BI185" s="450">
        <v>51.82</v>
      </c>
      <c r="BJ185" s="450">
        <v>51.82</v>
      </c>
      <c r="BK185" s="450">
        <v>51.82</v>
      </c>
      <c r="BL185" s="450">
        <v>51.82</v>
      </c>
      <c r="BM185" s="450">
        <v>51.82</v>
      </c>
      <c r="BN185" s="450">
        <v>51.82</v>
      </c>
      <c r="BO185" s="450">
        <v>51.82</v>
      </c>
      <c r="BP185" s="450">
        <v>51.82</v>
      </c>
      <c r="BQ185" s="450">
        <v>51.82</v>
      </c>
      <c r="BR185" s="450">
        <v>51.82</v>
      </c>
      <c r="BS185" s="615">
        <f t="array" ref="BS185">XLOOKUP(D185,'PL TOTAL XP'!A:A,'PL TOTAL XP'!C:C,"0")</f>
        <v>0</v>
      </c>
      <c r="BT185" s="616"/>
    </row>
    <row r="186" ht="15.75" customHeight="1">
      <c r="A186" s="183" t="s">
        <v>3820</v>
      </c>
      <c r="B186" s="78" t="s">
        <v>4373</v>
      </c>
      <c r="C186" s="564" t="s">
        <v>4374</v>
      </c>
      <c r="D186" s="566">
        <v>4929433.0</v>
      </c>
      <c r="E186" s="512" t="s">
        <v>18</v>
      </c>
      <c r="F186" s="512" t="s">
        <v>29</v>
      </c>
      <c r="G186" s="512" t="s">
        <v>4375</v>
      </c>
      <c r="H186" s="512" t="str">
        <f>IFERROR(VLOOKUP(G186,'Cadastro de assessores'!A:B,2,FALSE),"Não Cadastrado")</f>
        <v>1633</v>
      </c>
      <c r="I186" s="512"/>
      <c r="J186" s="51" t="s">
        <v>3823</v>
      </c>
      <c r="K186" s="522" t="s">
        <v>2600</v>
      </c>
      <c r="L186" s="522" t="s">
        <v>2600</v>
      </c>
      <c r="M186" s="640" t="s">
        <v>2599</v>
      </c>
      <c r="N186" s="566"/>
      <c r="O186" s="566" t="s">
        <v>3869</v>
      </c>
      <c r="P186" s="612">
        <v>0.008</v>
      </c>
      <c r="Q186" s="224"/>
      <c r="R186" s="613"/>
      <c r="S186" s="522" t="str">
        <f t="shared" si="18"/>
        <v>Não Qualificado</v>
      </c>
      <c r="T186" s="522" t="s">
        <v>108</v>
      </c>
      <c r="U186" s="522" t="s">
        <v>2623</v>
      </c>
      <c r="V186" s="522" t="s">
        <v>29</v>
      </c>
      <c r="W186" s="468"/>
      <c r="X186" s="468"/>
      <c r="Y186" s="468"/>
      <c r="Z186" s="468"/>
      <c r="AA186" s="468"/>
      <c r="AB186" s="468"/>
      <c r="AC186" s="468"/>
      <c r="AD186" s="468"/>
      <c r="AE186" s="468"/>
      <c r="AF186" s="468"/>
      <c r="AG186" s="468"/>
      <c r="AH186" s="468"/>
      <c r="AI186" s="468"/>
      <c r="AJ186" s="468"/>
      <c r="AK186" s="450"/>
      <c r="AL186" s="450"/>
      <c r="AM186" s="450"/>
      <c r="AN186" s="450"/>
      <c r="AO186" s="450"/>
      <c r="AP186" s="450"/>
      <c r="AQ186" s="468"/>
      <c r="AR186" s="449"/>
      <c r="AS186" s="450"/>
      <c r="AT186" s="450"/>
      <c r="AU186" s="450"/>
      <c r="AV186" s="450"/>
      <c r="AW186" s="450"/>
      <c r="AX186" s="450"/>
      <c r="AY186" s="450"/>
      <c r="AZ186" s="450"/>
      <c r="BA186" s="450">
        <v>0.0</v>
      </c>
      <c r="BB186" s="450">
        <v>0.0</v>
      </c>
      <c r="BC186" s="450">
        <v>96206.97</v>
      </c>
      <c r="BD186" s="450" t="s">
        <v>2566</v>
      </c>
      <c r="BE186" s="450" t="s">
        <v>2566</v>
      </c>
      <c r="BF186" s="450">
        <v>0.0</v>
      </c>
      <c r="BG186" s="450">
        <v>0.0</v>
      </c>
      <c r="BH186" s="450">
        <v>0.0</v>
      </c>
      <c r="BI186" s="450">
        <v>0.0</v>
      </c>
      <c r="BJ186" s="450">
        <v>0.0</v>
      </c>
      <c r="BK186" s="450">
        <v>0.0</v>
      </c>
      <c r="BL186" s="450">
        <v>0.0</v>
      </c>
      <c r="BM186" s="450">
        <v>0.0</v>
      </c>
      <c r="BN186" s="450">
        <v>0.0</v>
      </c>
      <c r="BO186" s="450">
        <v>0.0</v>
      </c>
      <c r="BP186" s="450">
        <v>0.0</v>
      </c>
      <c r="BQ186" s="450">
        <v>0.0</v>
      </c>
      <c r="BR186" s="450">
        <v>0.0</v>
      </c>
      <c r="BS186" s="615">
        <f t="array" ref="BS186">XLOOKUP(D186,'PL TOTAL XP'!A:A,'PL TOTAL XP'!C:C,"0")</f>
        <v>0</v>
      </c>
      <c r="BT186" s="616"/>
    </row>
    <row r="187" ht="15.75" customHeight="1">
      <c r="A187" s="183" t="s">
        <v>3820</v>
      </c>
      <c r="B187" s="78" t="s">
        <v>4376</v>
      </c>
      <c r="C187" s="564" t="s">
        <v>4377</v>
      </c>
      <c r="D187" s="566">
        <v>38592.0</v>
      </c>
      <c r="E187" s="522" t="s">
        <v>105</v>
      </c>
      <c r="F187" s="522" t="s">
        <v>29</v>
      </c>
      <c r="G187" s="522" t="s">
        <v>4378</v>
      </c>
      <c r="H187" s="522" t="str">
        <f>IFERROR(VLOOKUP(G187,'Cadastro de assessores'!A:B,2,FALSE),"Não Cadastrado")</f>
        <v>11113</v>
      </c>
      <c r="I187" s="522"/>
      <c r="J187" s="51" t="s">
        <v>186</v>
      </c>
      <c r="K187" s="522" t="s">
        <v>2563</v>
      </c>
      <c r="L187" s="619">
        <v>44407.0</v>
      </c>
      <c r="M187" s="619">
        <v>44407.0</v>
      </c>
      <c r="N187" s="654">
        <v>44516.0</v>
      </c>
      <c r="O187" s="566" t="s">
        <v>3828</v>
      </c>
      <c r="P187" s="612">
        <v>0.015</v>
      </c>
      <c r="Q187" s="224" t="s">
        <v>4379</v>
      </c>
      <c r="R187" s="613"/>
      <c r="S187" s="522" t="str">
        <f t="shared" si="18"/>
        <v>Não Qualificado</v>
      </c>
      <c r="T187" s="522" t="s">
        <v>108</v>
      </c>
      <c r="U187" s="566" t="s">
        <v>2942</v>
      </c>
      <c r="V187" s="566" t="s">
        <v>29</v>
      </c>
      <c r="W187" s="468"/>
      <c r="X187" s="468"/>
      <c r="Y187" s="468"/>
      <c r="Z187" s="468"/>
      <c r="AA187" s="468"/>
      <c r="AB187" s="468"/>
      <c r="AC187" s="468"/>
      <c r="AD187" s="468"/>
      <c r="AE187" s="468"/>
      <c r="AF187" s="468"/>
      <c r="AG187" s="468"/>
      <c r="AH187" s="468"/>
      <c r="AI187" s="450"/>
      <c r="AJ187" s="450"/>
      <c r="AK187" s="450"/>
      <c r="AL187" s="450"/>
      <c r="AM187" s="450"/>
      <c r="AN187" s="450"/>
      <c r="AO187" s="468"/>
      <c r="AP187" s="449"/>
      <c r="AQ187" s="450"/>
      <c r="AR187" s="468"/>
      <c r="AS187" s="468"/>
      <c r="AT187" s="449">
        <v>98440.45</v>
      </c>
      <c r="AU187" s="449">
        <v>95789.2</v>
      </c>
      <c r="AV187" s="450">
        <v>94545.98</v>
      </c>
      <c r="AW187" s="450">
        <v>91589.07</v>
      </c>
      <c r="AX187" s="450"/>
      <c r="AY187" s="450"/>
      <c r="AZ187" s="450"/>
      <c r="BA187" s="450">
        <v>0.0</v>
      </c>
      <c r="BB187" s="450">
        <v>0.0</v>
      </c>
      <c r="BC187" s="450">
        <v>197238.58</v>
      </c>
      <c r="BD187" s="450" t="s">
        <v>2566</v>
      </c>
      <c r="BE187" s="450" t="s">
        <v>2566</v>
      </c>
      <c r="BF187" s="450">
        <v>0.0</v>
      </c>
      <c r="BG187" s="450">
        <v>0.0</v>
      </c>
      <c r="BH187" s="450">
        <v>0.0</v>
      </c>
      <c r="BI187" s="450">
        <v>0.0</v>
      </c>
      <c r="BJ187" s="450">
        <v>0.0</v>
      </c>
      <c r="BK187" s="450">
        <v>0.0</v>
      </c>
      <c r="BL187" s="450">
        <v>0.0</v>
      </c>
      <c r="BM187" s="450">
        <v>0.0</v>
      </c>
      <c r="BN187" s="450">
        <v>0.0</v>
      </c>
      <c r="BO187" s="450">
        <v>0.0</v>
      </c>
      <c r="BP187" s="450">
        <v>0.0</v>
      </c>
      <c r="BQ187" s="450">
        <v>0.0</v>
      </c>
      <c r="BR187" s="450">
        <v>0.0</v>
      </c>
      <c r="BS187" s="615" t="str">
        <f t="array" ref="BS187">XLOOKUP(D187,'PL TOTAL XP'!A:A,'PL TOTAL XP'!C:C,"0")</f>
        <v>0</v>
      </c>
      <c r="BT187" s="616"/>
    </row>
    <row r="188" ht="15.75" customHeight="1">
      <c r="A188" s="183" t="s">
        <v>3820</v>
      </c>
      <c r="B188" s="78" t="s">
        <v>1058</v>
      </c>
      <c r="C188" s="617" t="s">
        <v>1056</v>
      </c>
      <c r="D188" s="522">
        <v>4568576.0</v>
      </c>
      <c r="E188" s="512" t="s">
        <v>105</v>
      </c>
      <c r="F188" s="512" t="s">
        <v>29</v>
      </c>
      <c r="G188" s="512" t="s">
        <v>4122</v>
      </c>
      <c r="H188" s="512" t="str">
        <f>IFERROR(VLOOKUP(G188,'Cadastro de assessores'!A:B,2,FALSE),"Não Cadastrado")</f>
        <v>19157</v>
      </c>
      <c r="I188" s="512"/>
      <c r="J188" s="51" t="s">
        <v>3823</v>
      </c>
      <c r="K188" s="522" t="s">
        <v>107</v>
      </c>
      <c r="L188" s="611">
        <v>44138.0</v>
      </c>
      <c r="M188" s="611">
        <v>44145.0</v>
      </c>
      <c r="N188" s="566"/>
      <c r="O188" s="566" t="s">
        <v>3824</v>
      </c>
      <c r="P188" s="612">
        <v>0.02</v>
      </c>
      <c r="Q188" s="620" t="s">
        <v>4380</v>
      </c>
      <c r="R188" s="613"/>
      <c r="S188" s="522" t="str">
        <f t="shared" si="18"/>
        <v/>
      </c>
      <c r="T188" s="522" t="s">
        <v>108</v>
      </c>
      <c r="U188" s="522" t="s">
        <v>4112</v>
      </c>
      <c r="V188" s="522" t="s">
        <v>152</v>
      </c>
      <c r="W188" s="614" t="s">
        <v>3830</v>
      </c>
      <c r="X188" s="614" t="s">
        <v>3830</v>
      </c>
      <c r="Y188" s="614" t="s">
        <v>3830</v>
      </c>
      <c r="Z188" s="614" t="s">
        <v>3830</v>
      </c>
      <c r="AA188" s="614" t="s">
        <v>3830</v>
      </c>
      <c r="AB188" s="614" t="s">
        <v>3830</v>
      </c>
      <c r="AC188" s="614" t="s">
        <v>3830</v>
      </c>
      <c r="AD188" s="614" t="s">
        <v>3830</v>
      </c>
      <c r="AE188" s="614" t="s">
        <v>3830</v>
      </c>
      <c r="AF188" s="614" t="s">
        <v>3830</v>
      </c>
      <c r="AG188" s="614" t="s">
        <v>3830</v>
      </c>
      <c r="AH188" s="614" t="s">
        <v>3830</v>
      </c>
      <c r="AI188" s="614" t="s">
        <v>3830</v>
      </c>
      <c r="AJ188" s="614" t="s">
        <v>4381</v>
      </c>
      <c r="AK188" s="450">
        <v>162899.53</v>
      </c>
      <c r="AL188" s="450">
        <v>159876.14</v>
      </c>
      <c r="AM188" s="450">
        <v>198929.44</v>
      </c>
      <c r="AN188" s="450">
        <v>198512.77</v>
      </c>
      <c r="AO188" s="450">
        <v>134271.19</v>
      </c>
      <c r="AP188" s="450">
        <v>135980.59</v>
      </c>
      <c r="AQ188" s="450">
        <v>134736.41</v>
      </c>
      <c r="AR188" s="450">
        <v>140789.13</v>
      </c>
      <c r="AS188" s="450">
        <v>129898.4</v>
      </c>
      <c r="AT188" s="450">
        <v>78745.34</v>
      </c>
      <c r="AU188" s="450">
        <v>78615.02</v>
      </c>
      <c r="AV188" s="450">
        <v>65210.43</v>
      </c>
      <c r="AW188" s="450">
        <v>60826.24</v>
      </c>
      <c r="AX188" s="450">
        <v>55218.08</v>
      </c>
      <c r="AY188" s="450">
        <v>46001.82</v>
      </c>
      <c r="AZ188" s="450">
        <v>43601.12</v>
      </c>
      <c r="BA188" s="450">
        <v>22282.23</v>
      </c>
      <c r="BB188" s="450">
        <v>19520.25</v>
      </c>
      <c r="BC188" s="450"/>
      <c r="BD188" s="450">
        <v>3277.2</v>
      </c>
      <c r="BE188" s="450">
        <v>156.59</v>
      </c>
      <c r="BF188" s="450">
        <v>156.6</v>
      </c>
      <c r="BG188" s="450">
        <v>156.61</v>
      </c>
      <c r="BH188" s="450">
        <v>156.61</v>
      </c>
      <c r="BI188" s="450">
        <v>156.61</v>
      </c>
      <c r="BJ188" s="450">
        <v>0.0</v>
      </c>
      <c r="BK188" s="450">
        <v>0.0</v>
      </c>
      <c r="BL188" s="450">
        <v>0.0</v>
      </c>
      <c r="BM188" s="450">
        <v>0.0</v>
      </c>
      <c r="BN188" s="450">
        <v>0.0</v>
      </c>
      <c r="BO188" s="450">
        <v>0.0</v>
      </c>
      <c r="BP188" s="450">
        <v>0.0</v>
      </c>
      <c r="BQ188" s="450">
        <v>0.0</v>
      </c>
      <c r="BR188" s="450">
        <v>0.0</v>
      </c>
      <c r="BS188" s="615" t="str">
        <f t="array" ref="BS188">XLOOKUP(D188,'PL TOTAL XP'!A:A,'PL TOTAL XP'!C:C,"0")</f>
        <v>0</v>
      </c>
      <c r="BT188" s="616"/>
    </row>
    <row r="189" ht="15.75" customHeight="1">
      <c r="A189" s="183" t="s">
        <v>3820</v>
      </c>
      <c r="B189" s="78" t="s">
        <v>4382</v>
      </c>
      <c r="C189" s="617" t="s">
        <v>4383</v>
      </c>
      <c r="D189" s="522">
        <v>2089993.0</v>
      </c>
      <c r="E189" s="512" t="s">
        <v>18</v>
      </c>
      <c r="F189" s="512" t="s">
        <v>29</v>
      </c>
      <c r="G189" s="512" t="s">
        <v>2605</v>
      </c>
      <c r="H189" s="522" t="str">
        <f>IFERROR(VLOOKUP(G189,'Cadastro de assessores'!A:B,2,FALSE),"Não Cadastrado")</f>
        <v>18836</v>
      </c>
      <c r="I189" s="512"/>
      <c r="J189" s="51" t="s">
        <v>3823</v>
      </c>
      <c r="K189" s="512"/>
      <c r="L189" s="610"/>
      <c r="M189" s="610"/>
      <c r="N189" s="522"/>
      <c r="O189" s="522" t="s">
        <v>3834</v>
      </c>
      <c r="P189" s="612">
        <v>0.01</v>
      </c>
      <c r="Q189" s="620"/>
      <c r="R189" s="613"/>
      <c r="S189" s="522"/>
      <c r="T189" s="522"/>
      <c r="U189" s="522"/>
      <c r="V189" s="522" t="s">
        <v>791</v>
      </c>
      <c r="W189" s="614"/>
      <c r="X189" s="614"/>
      <c r="Y189" s="614"/>
      <c r="Z189" s="614"/>
      <c r="AA189" s="614"/>
      <c r="AB189" s="614"/>
      <c r="AC189" s="614"/>
      <c r="AD189" s="614"/>
      <c r="AE189" s="614"/>
      <c r="AF189" s="614"/>
      <c r="AG189" s="614"/>
      <c r="AH189" s="614"/>
      <c r="AI189" s="614"/>
      <c r="AJ189" s="614"/>
      <c r="AK189" s="450"/>
      <c r="AL189" s="450"/>
      <c r="AM189" s="450"/>
      <c r="AN189" s="450"/>
      <c r="AO189" s="450"/>
      <c r="AP189" s="450"/>
      <c r="AQ189" s="450"/>
      <c r="AR189" s="450"/>
      <c r="AS189" s="450"/>
      <c r="AT189" s="450"/>
      <c r="AU189" s="450"/>
      <c r="AV189" s="450"/>
      <c r="AW189" s="450"/>
      <c r="AX189" s="450"/>
      <c r="AY189" s="450"/>
      <c r="AZ189" s="450"/>
      <c r="BA189" s="450"/>
      <c r="BB189" s="450"/>
      <c r="BC189" s="450"/>
      <c r="BD189" s="450"/>
      <c r="BE189" s="450"/>
      <c r="BF189" s="450"/>
      <c r="BG189" s="450"/>
      <c r="BH189" s="450">
        <v>0.0</v>
      </c>
      <c r="BI189" s="450">
        <v>39488.76</v>
      </c>
      <c r="BJ189" s="450">
        <v>39890.48</v>
      </c>
      <c r="BK189" s="450">
        <v>40296.49</v>
      </c>
      <c r="BL189" s="450">
        <v>40154.92</v>
      </c>
      <c r="BM189" s="450">
        <v>40537.74</v>
      </c>
      <c r="BN189" s="450">
        <v>39968.64</v>
      </c>
      <c r="BO189" s="450">
        <v>40163.73</v>
      </c>
      <c r="BP189" s="450">
        <v>3153.5</v>
      </c>
      <c r="BQ189" s="450">
        <v>105.9</v>
      </c>
      <c r="BR189" s="450">
        <v>0.0</v>
      </c>
      <c r="BS189" s="615">
        <f t="array" ref="BS189">XLOOKUP(D189,'PL TOTAL XP'!A:A,'PL TOTAL XP'!C:C,"0")</f>
        <v>0</v>
      </c>
      <c r="BT189" s="616"/>
    </row>
    <row r="190" ht="15.75" customHeight="1">
      <c r="A190" s="183" t="s">
        <v>3820</v>
      </c>
      <c r="B190" s="78" t="s">
        <v>4384</v>
      </c>
      <c r="C190" s="564" t="s">
        <v>4385</v>
      </c>
      <c r="D190" s="566">
        <v>5907461.0</v>
      </c>
      <c r="E190" s="522" t="s">
        <v>18</v>
      </c>
      <c r="F190" s="522" t="s">
        <v>29</v>
      </c>
      <c r="G190" s="522" t="s">
        <v>3708</v>
      </c>
      <c r="H190" s="522" t="str">
        <f>IFERROR(VLOOKUP(G190,'Cadastro de assessores'!A:B,2,FALSE),"Não Cadastrado")</f>
        <v>18266</v>
      </c>
      <c r="I190" s="522"/>
      <c r="J190" s="51" t="s">
        <v>186</v>
      </c>
      <c r="K190" s="522" t="s">
        <v>2563</v>
      </c>
      <c r="L190" s="619">
        <v>44405.0</v>
      </c>
      <c r="M190" s="619">
        <v>44405.0</v>
      </c>
      <c r="N190" s="567">
        <v>44677.0</v>
      </c>
      <c r="O190" s="566" t="s">
        <v>3840</v>
      </c>
      <c r="P190" s="612">
        <v>0.025</v>
      </c>
      <c r="Q190" s="224" t="s">
        <v>4386</v>
      </c>
      <c r="R190" s="613"/>
      <c r="S190" s="522" t="str">
        <f>IF(BC190&lt;=0,"",IF(BC190&lt;=1000000,"Não Qualificado",IF(AND(BC190&gt;1000000,BC190&lt;=10000000),"Qualificado","Profissional")))</f>
        <v>Não Qualificado</v>
      </c>
      <c r="T190" s="522" t="s">
        <v>108</v>
      </c>
      <c r="U190" s="566" t="s">
        <v>2664</v>
      </c>
      <c r="V190" s="566" t="s">
        <v>791</v>
      </c>
      <c r="W190" s="468"/>
      <c r="X190" s="468"/>
      <c r="Y190" s="468"/>
      <c r="Z190" s="468"/>
      <c r="AA190" s="468"/>
      <c r="AB190" s="468"/>
      <c r="AC190" s="468"/>
      <c r="AD190" s="468"/>
      <c r="AE190" s="468"/>
      <c r="AF190" s="468"/>
      <c r="AG190" s="468"/>
      <c r="AH190" s="468"/>
      <c r="AI190" s="468"/>
      <c r="AJ190" s="450"/>
      <c r="AK190" s="450"/>
      <c r="AL190" s="450"/>
      <c r="AM190" s="450"/>
      <c r="AN190" s="450"/>
      <c r="AO190" s="450"/>
      <c r="AP190" s="468"/>
      <c r="AQ190" s="449"/>
      <c r="AR190" s="450"/>
      <c r="AS190" s="468"/>
      <c r="AT190" s="449">
        <v>125235.44</v>
      </c>
      <c r="AU190" s="449">
        <v>127171.85</v>
      </c>
      <c r="AV190" s="450">
        <v>119921.88</v>
      </c>
      <c r="AW190" s="450">
        <v>110341.45</v>
      </c>
      <c r="AX190" s="450">
        <v>109040.25</v>
      </c>
      <c r="AY190" s="450">
        <v>111150.09</v>
      </c>
      <c r="AZ190" s="450">
        <v>118162.63</v>
      </c>
      <c r="BA190" s="450">
        <v>119585.83</v>
      </c>
      <c r="BB190" s="450">
        <v>126794.66</v>
      </c>
      <c r="BC190" s="450">
        <v>99207.37</v>
      </c>
      <c r="BD190" s="450" t="s">
        <v>2566</v>
      </c>
      <c r="BE190" s="450" t="s">
        <v>2566</v>
      </c>
      <c r="BF190" s="450">
        <v>0.0</v>
      </c>
      <c r="BG190" s="450">
        <v>0.0</v>
      </c>
      <c r="BH190" s="450">
        <v>0.0</v>
      </c>
      <c r="BI190" s="450">
        <v>0.0</v>
      </c>
      <c r="BJ190" s="450">
        <v>0.0</v>
      </c>
      <c r="BK190" s="450">
        <v>0.0</v>
      </c>
      <c r="BL190" s="450">
        <v>0.0</v>
      </c>
      <c r="BM190" s="450">
        <v>0.0</v>
      </c>
      <c r="BN190" s="450">
        <v>0.0</v>
      </c>
      <c r="BO190" s="450">
        <v>0.0</v>
      </c>
      <c r="BP190" s="450">
        <v>0.0</v>
      </c>
      <c r="BQ190" s="450">
        <v>0.0</v>
      </c>
      <c r="BR190" s="450">
        <v>0.0</v>
      </c>
      <c r="BS190" s="615" t="str">
        <f t="array" ref="BS190">XLOOKUP(D190,'PL TOTAL XP'!A:A,'PL TOTAL XP'!C:C,"0")</f>
        <v>0</v>
      </c>
      <c r="BT190" s="616"/>
    </row>
    <row r="191" ht="15.75" customHeight="1">
      <c r="A191" s="183" t="s">
        <v>3820</v>
      </c>
      <c r="B191" s="78" t="s">
        <v>1070</v>
      </c>
      <c r="C191" s="617" t="s">
        <v>1068</v>
      </c>
      <c r="D191" s="522">
        <v>8699747.0</v>
      </c>
      <c r="E191" s="512" t="s">
        <v>18</v>
      </c>
      <c r="F191" s="512" t="s">
        <v>29</v>
      </c>
      <c r="G191" s="512" t="s">
        <v>294</v>
      </c>
      <c r="H191" s="522">
        <f>IFERROR(VLOOKUP(G191,'Cadastro de assessores'!A:B,2,FALSE),"Não Cadastrado")</f>
        <v>12359</v>
      </c>
      <c r="I191" s="522"/>
      <c r="J191" s="51" t="s">
        <v>3823</v>
      </c>
      <c r="K191" s="522" t="s">
        <v>107</v>
      </c>
      <c r="L191" s="610">
        <v>44776.0</v>
      </c>
      <c r="M191" s="610">
        <v>44778.0</v>
      </c>
      <c r="N191" s="522"/>
      <c r="O191" s="522" t="s">
        <v>3834</v>
      </c>
      <c r="P191" s="612">
        <v>0.007</v>
      </c>
      <c r="Q191" s="620"/>
      <c r="R191" s="613"/>
      <c r="S191" s="522"/>
      <c r="T191" s="522"/>
      <c r="U191" s="522"/>
      <c r="V191" s="522" t="s">
        <v>791</v>
      </c>
      <c r="W191" s="614"/>
      <c r="X191" s="614"/>
      <c r="Y191" s="614"/>
      <c r="Z191" s="614"/>
      <c r="AA191" s="614"/>
      <c r="AB191" s="614"/>
      <c r="AC191" s="614"/>
      <c r="AD191" s="614"/>
      <c r="AE191" s="614"/>
      <c r="AF191" s="614"/>
      <c r="AG191" s="614"/>
      <c r="AH191" s="614"/>
      <c r="AI191" s="614"/>
      <c r="AJ191" s="614"/>
      <c r="AK191" s="450"/>
      <c r="AL191" s="450"/>
      <c r="AM191" s="450"/>
      <c r="AN191" s="450"/>
      <c r="AO191" s="450"/>
      <c r="AP191" s="450"/>
      <c r="AQ191" s="450"/>
      <c r="AR191" s="450"/>
      <c r="AS191" s="450"/>
      <c r="AT191" s="450"/>
      <c r="AU191" s="450"/>
      <c r="AV191" s="450"/>
      <c r="AW191" s="450"/>
      <c r="AX191" s="450"/>
      <c r="AY191" s="450"/>
      <c r="AZ191" s="450"/>
      <c r="BA191" s="450"/>
      <c r="BB191" s="450"/>
      <c r="BC191" s="450"/>
      <c r="BD191" s="450"/>
      <c r="BE191" s="450"/>
      <c r="BF191" s="450">
        <v>0.0</v>
      </c>
      <c r="BG191" s="450">
        <v>9076.203149</v>
      </c>
      <c r="BH191" s="450">
        <v>10663.75</v>
      </c>
      <c r="BI191" s="450">
        <v>14782.3</v>
      </c>
      <c r="BJ191" s="450">
        <v>17416.08</v>
      </c>
      <c r="BK191" s="450">
        <v>27567.63</v>
      </c>
      <c r="BL191" s="450">
        <v>27873.01</v>
      </c>
      <c r="BM191" s="450">
        <v>28082.95</v>
      </c>
      <c r="BN191" s="450">
        <v>4472.43</v>
      </c>
      <c r="BO191" s="450">
        <v>444.51</v>
      </c>
      <c r="BP191" s="450">
        <v>444.51</v>
      </c>
      <c r="BQ191" s="450">
        <v>444.51</v>
      </c>
      <c r="BR191" s="450">
        <v>444.51</v>
      </c>
      <c r="BS191" s="615" t="str">
        <f t="array" ref="BS191">XLOOKUP(D191,'PL TOTAL XP'!A:A,'PL TOTAL XP'!C:C,"0")</f>
        <v>0</v>
      </c>
      <c r="BT191" s="616"/>
    </row>
    <row r="192" ht="15.75" customHeight="1">
      <c r="A192" s="183" t="s">
        <v>3820</v>
      </c>
      <c r="B192" s="78" t="s">
        <v>4387</v>
      </c>
      <c r="C192" s="617" t="s">
        <v>4388</v>
      </c>
      <c r="D192" s="522">
        <v>4920156.0</v>
      </c>
      <c r="E192" s="512" t="s">
        <v>105</v>
      </c>
      <c r="F192" s="512" t="s">
        <v>29</v>
      </c>
      <c r="G192" s="512" t="s">
        <v>3887</v>
      </c>
      <c r="H192" s="512" t="str">
        <f>IFERROR(VLOOKUP(G192,'Cadastro de assessores'!A:B,2,FALSE),"Não Cadastrado")</f>
        <v>1298</v>
      </c>
      <c r="I192" s="512"/>
      <c r="J192" s="51" t="s">
        <v>186</v>
      </c>
      <c r="K192" s="512" t="s">
        <v>107</v>
      </c>
      <c r="L192" s="610">
        <v>44258.0</v>
      </c>
      <c r="M192" s="610">
        <v>44263.0</v>
      </c>
      <c r="N192" s="619">
        <v>44987.0</v>
      </c>
      <c r="O192" s="522" t="s">
        <v>3828</v>
      </c>
      <c r="P192" s="612">
        <v>0.015</v>
      </c>
      <c r="Q192" s="620" t="s">
        <v>4389</v>
      </c>
      <c r="R192" s="613"/>
      <c r="S192" s="522" t="str">
        <f>IF(BC192&lt;=0,"",IF(BC192&lt;=1000000,"Não Qualificado",IF(AND(BC192&gt;1000000,BC192&lt;=10000000),"Qualificado","Profissional")))</f>
        <v>Não Qualificado</v>
      </c>
      <c r="T192" s="522" t="s">
        <v>108</v>
      </c>
      <c r="U192" s="522" t="s">
        <v>2623</v>
      </c>
      <c r="V192" s="522" t="s">
        <v>29</v>
      </c>
      <c r="W192" s="614"/>
      <c r="X192" s="614"/>
      <c r="Y192" s="614"/>
      <c r="Z192" s="614"/>
      <c r="AA192" s="614"/>
      <c r="AB192" s="614"/>
      <c r="AC192" s="614"/>
      <c r="AD192" s="614"/>
      <c r="AE192" s="614"/>
      <c r="AF192" s="614"/>
      <c r="AG192" s="614"/>
      <c r="AH192" s="614"/>
      <c r="AI192" s="614"/>
      <c r="AJ192" s="614"/>
      <c r="AK192" s="450"/>
      <c r="AL192" s="450"/>
      <c r="AM192" s="450"/>
      <c r="AN192" s="450">
        <v>197755.01</v>
      </c>
      <c r="AO192" s="450">
        <v>204509.97</v>
      </c>
      <c r="AP192" s="450">
        <v>205824.31</v>
      </c>
      <c r="AQ192" s="450">
        <v>205087.85</v>
      </c>
      <c r="AR192" s="450">
        <v>209685.15</v>
      </c>
      <c r="AS192" s="450">
        <v>208293.18</v>
      </c>
      <c r="AT192" s="450">
        <v>204189.57</v>
      </c>
      <c r="AU192" s="450">
        <v>202979.1</v>
      </c>
      <c r="AV192" s="450">
        <v>197438.47</v>
      </c>
      <c r="AW192" s="450">
        <v>191217.6</v>
      </c>
      <c r="AX192" s="450">
        <v>181278.66</v>
      </c>
      <c r="AY192" s="450">
        <v>178538.54</v>
      </c>
      <c r="AZ192" s="450">
        <v>173366.31</v>
      </c>
      <c r="BA192" s="450">
        <v>175314.68</v>
      </c>
      <c r="BB192" s="450">
        <v>181217.19</v>
      </c>
      <c r="BC192" s="450">
        <v>11314.04</v>
      </c>
      <c r="BD192" s="450">
        <v>144375.16</v>
      </c>
      <c r="BE192" s="450">
        <v>128152.79</v>
      </c>
      <c r="BF192" s="450">
        <v>124878.29</v>
      </c>
      <c r="BG192" s="450">
        <v>99275.46318</v>
      </c>
      <c r="BH192" s="450">
        <v>84064.4</v>
      </c>
      <c r="BI192" s="450">
        <v>77554.24</v>
      </c>
      <c r="BJ192" s="450">
        <v>76140.46</v>
      </c>
      <c r="BK192" s="450">
        <v>80405.85</v>
      </c>
      <c r="BL192" s="450">
        <v>81515.82</v>
      </c>
      <c r="BM192" s="450">
        <v>82088.44</v>
      </c>
      <c r="BN192" s="450">
        <v>0.0</v>
      </c>
      <c r="BO192" s="450">
        <v>0.0</v>
      </c>
      <c r="BP192" s="450">
        <v>0.0</v>
      </c>
      <c r="BQ192" s="450">
        <v>0.0</v>
      </c>
      <c r="BR192" s="450">
        <v>0.0</v>
      </c>
      <c r="BS192" s="615" t="str">
        <f t="array" ref="BS192">XLOOKUP(D192,'PL TOTAL XP'!A:A,'PL TOTAL XP'!C:C,"0")</f>
        <v>0</v>
      </c>
      <c r="BT192" s="616"/>
    </row>
    <row r="193" ht="15.75" customHeight="1">
      <c r="A193" s="183" t="s">
        <v>3820</v>
      </c>
      <c r="B193" s="78" t="s">
        <v>4390</v>
      </c>
      <c r="C193" s="617" t="s">
        <v>4391</v>
      </c>
      <c r="D193" s="488">
        <v>508722.0</v>
      </c>
      <c r="E193" s="512" t="s">
        <v>18</v>
      </c>
      <c r="F193" s="512" t="s">
        <v>29</v>
      </c>
      <c r="G193" s="512" t="s">
        <v>3223</v>
      </c>
      <c r="H193" s="512">
        <f>IFERROR(VLOOKUP(G193,'Cadastro de assessores'!A:B,2,FALSE),"Não Cadastrado")</f>
        <v>12355</v>
      </c>
      <c r="I193" s="512"/>
      <c r="J193" s="51" t="s">
        <v>3823</v>
      </c>
      <c r="K193" s="522" t="s">
        <v>147</v>
      </c>
      <c r="L193" s="512" t="s">
        <v>2600</v>
      </c>
      <c r="M193" s="640" t="s">
        <v>2599</v>
      </c>
      <c r="N193" s="522"/>
      <c r="O193" s="522" t="s">
        <v>3834</v>
      </c>
      <c r="P193" s="612">
        <v>0.007</v>
      </c>
      <c r="Q193" s="620"/>
      <c r="R193" s="613"/>
      <c r="S193" s="522"/>
      <c r="T193" s="522" t="s">
        <v>108</v>
      </c>
      <c r="U193" s="522" t="s">
        <v>2614</v>
      </c>
      <c r="V193" s="522" t="s">
        <v>29</v>
      </c>
      <c r="W193" s="614"/>
      <c r="X193" s="614"/>
      <c r="Y193" s="614"/>
      <c r="Z193" s="614"/>
      <c r="AA193" s="614"/>
      <c r="AB193" s="614"/>
      <c r="AC193" s="614"/>
      <c r="AD193" s="614"/>
      <c r="AE193" s="614"/>
      <c r="AF193" s="614"/>
      <c r="AG193" s="614"/>
      <c r="AH193" s="614"/>
      <c r="AI193" s="614"/>
      <c r="AJ193" s="614"/>
      <c r="AK193" s="450"/>
      <c r="AL193" s="450"/>
      <c r="AM193" s="450"/>
      <c r="AN193" s="450"/>
      <c r="AO193" s="450"/>
      <c r="AP193" s="450"/>
      <c r="AQ193" s="450"/>
      <c r="AR193" s="450"/>
      <c r="AS193" s="450"/>
      <c r="AT193" s="450"/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 t="s">
        <v>2566</v>
      </c>
      <c r="BF193" s="450">
        <v>0.0</v>
      </c>
      <c r="BG193" s="450">
        <v>0.0</v>
      </c>
      <c r="BH193" s="450">
        <v>0.0</v>
      </c>
      <c r="BI193" s="450">
        <v>0.0</v>
      </c>
      <c r="BJ193" s="450">
        <v>0.0</v>
      </c>
      <c r="BK193" s="450">
        <v>0.0</v>
      </c>
      <c r="BL193" s="450">
        <v>0.0</v>
      </c>
      <c r="BM193" s="450">
        <v>0.0</v>
      </c>
      <c r="BN193" s="450">
        <v>0.0</v>
      </c>
      <c r="BO193" s="450">
        <v>0.0</v>
      </c>
      <c r="BP193" s="450">
        <v>0.0</v>
      </c>
      <c r="BQ193" s="450">
        <v>0.0</v>
      </c>
      <c r="BR193" s="450">
        <v>0.0</v>
      </c>
      <c r="BS193" s="615">
        <f t="array" ref="BS193">XLOOKUP(D193,'PL TOTAL XP'!A:A,'PL TOTAL XP'!C:C,"0")</f>
        <v>0</v>
      </c>
      <c r="BT193" s="616"/>
    </row>
    <row r="194" ht="15.75" customHeight="1">
      <c r="A194" s="183" t="s">
        <v>3820</v>
      </c>
      <c r="B194" s="78" t="s">
        <v>4392</v>
      </c>
      <c r="C194" s="617" t="s">
        <v>4393</v>
      </c>
      <c r="D194" s="522">
        <v>4858869.0</v>
      </c>
      <c r="E194" s="522" t="s">
        <v>105</v>
      </c>
      <c r="F194" s="522" t="s">
        <v>29</v>
      </c>
      <c r="G194" s="522" t="s">
        <v>3660</v>
      </c>
      <c r="H194" s="522" t="str">
        <f>IFERROR(VLOOKUP(G194,'Cadastro de assessores'!A:B,2,FALSE),"Não Cadastrado")</f>
        <v>14574</v>
      </c>
      <c r="I194" s="522"/>
      <c r="J194" s="51" t="s">
        <v>186</v>
      </c>
      <c r="K194" s="522" t="s">
        <v>2563</v>
      </c>
      <c r="L194" s="619">
        <v>44238.0</v>
      </c>
      <c r="M194" s="619">
        <v>44238.0</v>
      </c>
      <c r="N194" s="567">
        <v>44504.0</v>
      </c>
      <c r="O194" s="566" t="s">
        <v>3824</v>
      </c>
      <c r="P194" s="612">
        <v>0.02</v>
      </c>
      <c r="Q194" s="224" t="s">
        <v>4394</v>
      </c>
      <c r="R194" s="613"/>
      <c r="S194" s="522" t="str">
        <f>IF(BC194&lt;=0,"",IF(BC194&lt;=1000000,"Não Qualificado",IF(AND(BC194&gt;1000000,BC194&lt;=10000000),"Qualificado","Profissional")))</f>
        <v>Não Qualificado</v>
      </c>
      <c r="T194" s="522" t="s">
        <v>369</v>
      </c>
      <c r="U194" s="522" t="s">
        <v>2675</v>
      </c>
      <c r="V194" s="522" t="s">
        <v>29</v>
      </c>
      <c r="W194" s="614"/>
      <c r="X194" s="614"/>
      <c r="Y194" s="614"/>
      <c r="Z194" s="614"/>
      <c r="AA194" s="614"/>
      <c r="AB194" s="614"/>
      <c r="AC194" s="614"/>
      <c r="AD194" s="614"/>
      <c r="AE194" s="614"/>
      <c r="AF194" s="614"/>
      <c r="AG194" s="614"/>
      <c r="AH194" s="614"/>
      <c r="AI194" s="614"/>
      <c r="AJ194" s="614"/>
      <c r="AK194" s="450"/>
      <c r="AL194" s="450"/>
      <c r="AM194" s="450">
        <v>236336.84</v>
      </c>
      <c r="AN194" s="450">
        <v>236905.27</v>
      </c>
      <c r="AO194" s="450">
        <v>249218.39</v>
      </c>
      <c r="AP194" s="450">
        <v>251379.17</v>
      </c>
      <c r="AQ194" s="450">
        <v>249803.6</v>
      </c>
      <c r="AR194" s="450">
        <v>257602.19</v>
      </c>
      <c r="AS194" s="450">
        <v>314624.05</v>
      </c>
      <c r="AT194" s="450">
        <v>304616.61</v>
      </c>
      <c r="AU194" s="450">
        <v>300770.15</v>
      </c>
      <c r="AV194" s="450">
        <v>291859.89</v>
      </c>
      <c r="AW194" s="450">
        <v>277326.61</v>
      </c>
      <c r="AX194" s="450"/>
      <c r="AY194" s="450"/>
      <c r="AZ194" s="450"/>
      <c r="BA194" s="450">
        <v>0.0</v>
      </c>
      <c r="BB194" s="450">
        <v>0.0</v>
      </c>
      <c r="BC194" s="450">
        <v>646.81</v>
      </c>
      <c r="BD194" s="450" t="s">
        <v>2566</v>
      </c>
      <c r="BE194" s="450" t="s">
        <v>2566</v>
      </c>
      <c r="BF194" s="450">
        <v>0.0</v>
      </c>
      <c r="BG194" s="450">
        <v>0.0</v>
      </c>
      <c r="BH194" s="450">
        <v>0.0</v>
      </c>
      <c r="BI194" s="450">
        <v>0.0</v>
      </c>
      <c r="BJ194" s="450">
        <v>0.0</v>
      </c>
      <c r="BK194" s="450">
        <v>0.0</v>
      </c>
      <c r="BL194" s="450">
        <v>0.0</v>
      </c>
      <c r="BM194" s="450">
        <v>0.0</v>
      </c>
      <c r="BN194" s="450">
        <v>0.0</v>
      </c>
      <c r="BO194" s="450">
        <v>0.0</v>
      </c>
      <c r="BP194" s="450">
        <v>0.0</v>
      </c>
      <c r="BQ194" s="450">
        <v>0.0</v>
      </c>
      <c r="BR194" s="450">
        <v>0.0</v>
      </c>
      <c r="BS194" s="615" t="str">
        <f t="array" ref="BS194">XLOOKUP(D194,'PL TOTAL XP'!A:A,'PL TOTAL XP'!C:C,"0")</f>
        <v>0</v>
      </c>
      <c r="BT194" s="616"/>
    </row>
    <row r="195" ht="15.75" customHeight="1">
      <c r="A195" s="183" t="s">
        <v>3820</v>
      </c>
      <c r="B195" s="78" t="s">
        <v>4395</v>
      </c>
      <c r="C195" s="617" t="s">
        <v>4396</v>
      </c>
      <c r="D195" s="658">
        <v>6480547.0</v>
      </c>
      <c r="E195" s="522" t="s">
        <v>18</v>
      </c>
      <c r="F195" s="522" t="s">
        <v>19</v>
      </c>
      <c r="G195" s="522" t="s">
        <v>256</v>
      </c>
      <c r="H195" s="522" t="str">
        <f>IFERROR(VLOOKUP(G195,'Cadastro de assessores'!A:B,2,FALSE),"Não Cadastrado")</f>
        <v>18009</v>
      </c>
      <c r="I195" s="522"/>
      <c r="J195" s="51" t="s">
        <v>186</v>
      </c>
      <c r="K195" s="522" t="s">
        <v>147</v>
      </c>
      <c r="L195" s="522" t="s">
        <v>2600</v>
      </c>
      <c r="M195" s="619">
        <v>44824.0</v>
      </c>
      <c r="N195" s="567">
        <v>44886.0</v>
      </c>
      <c r="O195" s="566" t="s">
        <v>3834</v>
      </c>
      <c r="P195" s="612">
        <v>0.01</v>
      </c>
      <c r="Q195" s="224" t="s">
        <v>4397</v>
      </c>
      <c r="R195" s="613"/>
      <c r="S195" s="522"/>
      <c r="T195" s="566"/>
      <c r="U195" s="566"/>
      <c r="V195" s="566" t="s">
        <v>2600</v>
      </c>
      <c r="W195" s="468"/>
      <c r="X195" s="468"/>
      <c r="Y195" s="468"/>
      <c r="Z195" s="468"/>
      <c r="AA195" s="468"/>
      <c r="AB195" s="468"/>
      <c r="AC195" s="468"/>
      <c r="AD195" s="468"/>
      <c r="AE195" s="468"/>
      <c r="AF195" s="468"/>
      <c r="AG195" s="468"/>
      <c r="AH195" s="468"/>
      <c r="AI195" s="614"/>
      <c r="AJ195" s="450"/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68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>
        <v>0.0</v>
      </c>
      <c r="BH195" s="450">
        <v>977701.31</v>
      </c>
      <c r="BI195" s="450">
        <v>628331.76</v>
      </c>
      <c r="BJ195" s="450">
        <v>0.0</v>
      </c>
      <c r="BK195" s="450">
        <v>0.0</v>
      </c>
      <c r="BL195" s="450">
        <v>0.0</v>
      </c>
      <c r="BM195" s="450">
        <v>0.0</v>
      </c>
      <c r="BN195" s="450">
        <v>0.0</v>
      </c>
      <c r="BO195" s="450">
        <v>0.0</v>
      </c>
      <c r="BP195" s="450">
        <v>0.0</v>
      </c>
      <c r="BQ195" s="450">
        <v>0.0</v>
      </c>
      <c r="BR195" s="450">
        <v>0.0</v>
      </c>
      <c r="BS195" s="615" t="str">
        <f t="array" ref="BS195">XLOOKUP(D195,'PL TOTAL XP'!A:A,'PL TOTAL XP'!C:C,"0")</f>
        <v>0</v>
      </c>
      <c r="BT195" s="616"/>
    </row>
    <row r="196" ht="15.75" customHeight="1">
      <c r="A196" s="183" t="s">
        <v>3820</v>
      </c>
      <c r="B196" s="78" t="s">
        <v>4395</v>
      </c>
      <c r="C196" s="617" t="s">
        <v>4396</v>
      </c>
      <c r="D196" s="658">
        <v>9206177.0</v>
      </c>
      <c r="E196" s="522" t="s">
        <v>18</v>
      </c>
      <c r="F196" s="522" t="s">
        <v>19</v>
      </c>
      <c r="G196" s="522" t="s">
        <v>256</v>
      </c>
      <c r="H196" s="522" t="str">
        <f>IFERROR(VLOOKUP(G196,'Cadastro de assessores'!A:B,2,FALSE),"Não Cadastrado")</f>
        <v>18009</v>
      </c>
      <c r="I196" s="522"/>
      <c r="J196" s="51" t="s">
        <v>186</v>
      </c>
      <c r="K196" s="522" t="s">
        <v>107</v>
      </c>
      <c r="L196" s="522" t="s">
        <v>2600</v>
      </c>
      <c r="M196" s="619">
        <v>44839.0</v>
      </c>
      <c r="N196" s="567">
        <v>44886.0</v>
      </c>
      <c r="O196" s="566" t="s">
        <v>3840</v>
      </c>
      <c r="P196" s="612">
        <v>0.025</v>
      </c>
      <c r="Q196" s="224" t="s">
        <v>4398</v>
      </c>
      <c r="R196" s="613"/>
      <c r="S196" s="522"/>
      <c r="T196" s="566"/>
      <c r="U196" s="566"/>
      <c r="V196" s="566" t="s">
        <v>2600</v>
      </c>
      <c r="W196" s="468"/>
      <c r="X196" s="468"/>
      <c r="Y196" s="468"/>
      <c r="Z196" s="468"/>
      <c r="AA196" s="468"/>
      <c r="AB196" s="468"/>
      <c r="AC196" s="468"/>
      <c r="AD196" s="468"/>
      <c r="AE196" s="468"/>
      <c r="AF196" s="468"/>
      <c r="AG196" s="468"/>
      <c r="AH196" s="468"/>
      <c r="AI196" s="614"/>
      <c r="AJ196" s="450"/>
      <c r="AK196" s="450"/>
      <c r="AL196" s="450"/>
      <c r="AM196" s="450"/>
      <c r="AN196" s="450"/>
      <c r="AO196" s="450"/>
      <c r="AP196" s="450"/>
      <c r="AQ196" s="450"/>
      <c r="AR196" s="450"/>
      <c r="AS196" s="450"/>
      <c r="AT196" s="450"/>
      <c r="AU196" s="468"/>
      <c r="AV196" s="450"/>
      <c r="AW196" s="450"/>
      <c r="AX196" s="450"/>
      <c r="AY196" s="450"/>
      <c r="AZ196" s="450"/>
      <c r="BA196" s="450"/>
      <c r="BB196" s="450"/>
      <c r="BC196" s="450"/>
      <c r="BD196" s="450"/>
      <c r="BE196" s="450"/>
      <c r="BF196" s="450"/>
      <c r="BG196" s="450">
        <v>0.0</v>
      </c>
      <c r="BH196" s="450">
        <v>0.0</v>
      </c>
      <c r="BI196" s="450">
        <v>115560.46</v>
      </c>
      <c r="BJ196" s="450">
        <v>118947.18</v>
      </c>
      <c r="BK196" s="450">
        <v>0.0</v>
      </c>
      <c r="BL196" s="450">
        <v>0.0</v>
      </c>
      <c r="BM196" s="450">
        <v>0.0</v>
      </c>
      <c r="BN196" s="450">
        <v>0.0</v>
      </c>
      <c r="BO196" s="450">
        <v>0.0</v>
      </c>
      <c r="BP196" s="450">
        <v>0.0</v>
      </c>
      <c r="BQ196" s="450">
        <v>0.0</v>
      </c>
      <c r="BR196" s="450">
        <v>0.0</v>
      </c>
      <c r="BS196" s="615" t="str">
        <f t="array" ref="BS196">XLOOKUP(D196,'PL TOTAL XP'!A:A,'PL TOTAL XP'!C:C,"0")</f>
        <v>0</v>
      </c>
      <c r="BT196" s="616"/>
    </row>
    <row r="197" ht="15.75" customHeight="1">
      <c r="A197" s="183" t="s">
        <v>3820</v>
      </c>
      <c r="B197" s="78" t="s">
        <v>4399</v>
      </c>
      <c r="C197" s="659" t="s">
        <v>4400</v>
      </c>
      <c r="D197" s="522">
        <v>3373338.0</v>
      </c>
      <c r="E197" s="522" t="s">
        <v>18</v>
      </c>
      <c r="F197" s="522" t="s">
        <v>19</v>
      </c>
      <c r="G197" s="522" t="s">
        <v>4152</v>
      </c>
      <c r="H197" s="522" t="str">
        <f>IFERROR(VLOOKUP(G197,'Cadastro de assessores'!A:B,2,FALSE),"Não Cadastrado")</f>
        <v>14294</v>
      </c>
      <c r="I197" s="522"/>
      <c r="J197" s="51" t="s">
        <v>186</v>
      </c>
      <c r="K197" s="522" t="s">
        <v>2563</v>
      </c>
      <c r="L197" s="619">
        <v>44454.0</v>
      </c>
      <c r="M197" s="619">
        <v>44454.0</v>
      </c>
      <c r="N197" s="567">
        <v>44684.0</v>
      </c>
      <c r="O197" s="566" t="s">
        <v>3834</v>
      </c>
      <c r="P197" s="612">
        <v>0.007</v>
      </c>
      <c r="Q197" s="224" t="s">
        <v>4401</v>
      </c>
      <c r="R197" s="613"/>
      <c r="S197" s="522" t="str">
        <f t="shared" ref="S197:S199" si="19">IF(BC197&lt;=0,"",IF(BC197&lt;=1000000,"Não Qualificado",IF(AND(BC197&gt;1000000,BC197&lt;=10000000),"Qualificado","Profissional")))</f>
        <v>Não Qualificado</v>
      </c>
      <c r="T197" s="566" t="s">
        <v>369</v>
      </c>
      <c r="U197" s="566" t="s">
        <v>4402</v>
      </c>
      <c r="V197" s="566" t="s">
        <v>34</v>
      </c>
      <c r="W197" s="468"/>
      <c r="X197" s="468"/>
      <c r="Y197" s="468"/>
      <c r="Z197" s="468"/>
      <c r="AA197" s="468"/>
      <c r="AB197" s="468"/>
      <c r="AC197" s="468"/>
      <c r="AD197" s="468"/>
      <c r="AE197" s="468"/>
      <c r="AF197" s="468"/>
      <c r="AG197" s="468"/>
      <c r="AH197" s="468"/>
      <c r="AI197" s="614"/>
      <c r="AJ197" s="450"/>
      <c r="AK197" s="450"/>
      <c r="AL197" s="450"/>
      <c r="AM197" s="450"/>
      <c r="AN197" s="450"/>
      <c r="AO197" s="450"/>
      <c r="AP197" s="450"/>
      <c r="AQ197" s="450"/>
      <c r="AR197" s="450"/>
      <c r="AS197" s="450"/>
      <c r="AT197" s="450"/>
      <c r="AU197" s="468"/>
      <c r="AV197" s="450"/>
      <c r="AW197" s="450">
        <v>377805.56</v>
      </c>
      <c r="AX197" s="450">
        <v>378551.04</v>
      </c>
      <c r="AY197" s="450">
        <v>382000.44</v>
      </c>
      <c r="AZ197" s="450">
        <v>388011.12</v>
      </c>
      <c r="BA197" s="450">
        <v>391268.68</v>
      </c>
      <c r="BB197" s="450">
        <v>398645.96</v>
      </c>
      <c r="BC197" s="450">
        <v>65.52</v>
      </c>
      <c r="BD197" s="450" t="s">
        <v>2566</v>
      </c>
      <c r="BE197" s="450" t="s">
        <v>2566</v>
      </c>
      <c r="BF197" s="450">
        <v>0.0</v>
      </c>
      <c r="BG197" s="450">
        <v>0.0</v>
      </c>
      <c r="BH197" s="450">
        <v>0.0</v>
      </c>
      <c r="BI197" s="450">
        <v>0.0</v>
      </c>
      <c r="BJ197" s="450">
        <v>0.0</v>
      </c>
      <c r="BK197" s="450">
        <v>0.0</v>
      </c>
      <c r="BL197" s="450">
        <v>0.0</v>
      </c>
      <c r="BM197" s="450">
        <v>0.0</v>
      </c>
      <c r="BN197" s="450">
        <v>0.0</v>
      </c>
      <c r="BO197" s="450">
        <v>0.0</v>
      </c>
      <c r="BP197" s="450">
        <v>0.0</v>
      </c>
      <c r="BQ197" s="450">
        <v>0.0</v>
      </c>
      <c r="BR197" s="450">
        <v>0.0</v>
      </c>
      <c r="BS197" s="615" t="str">
        <f t="array" ref="BS197">XLOOKUP(D197,'PL TOTAL XP'!A:A,'PL TOTAL XP'!C:C,"0")</f>
        <v>0</v>
      </c>
      <c r="BT197" s="616"/>
    </row>
    <row r="198" ht="15.75" customHeight="1">
      <c r="A198" s="183" t="s">
        <v>3820</v>
      </c>
      <c r="B198" s="78" t="s">
        <v>4403</v>
      </c>
      <c r="C198" s="617" t="s">
        <v>4404</v>
      </c>
      <c r="D198" s="522">
        <v>4769682.0</v>
      </c>
      <c r="E198" s="522" t="s">
        <v>105</v>
      </c>
      <c r="F198" s="522" t="s">
        <v>29</v>
      </c>
      <c r="G198" s="522" t="s">
        <v>3660</v>
      </c>
      <c r="H198" s="522" t="str">
        <f>IFERROR(VLOOKUP(G198,'Cadastro de assessores'!A:B,2,FALSE),"Não Cadastrado")</f>
        <v>14574</v>
      </c>
      <c r="I198" s="522"/>
      <c r="J198" s="51" t="s">
        <v>186</v>
      </c>
      <c r="K198" s="522" t="s">
        <v>2563</v>
      </c>
      <c r="L198" s="619">
        <v>44238.0</v>
      </c>
      <c r="M198" s="619">
        <v>44238.0</v>
      </c>
      <c r="N198" s="567">
        <v>44477.0</v>
      </c>
      <c r="O198" s="566" t="s">
        <v>3824</v>
      </c>
      <c r="P198" s="612">
        <v>0.02</v>
      </c>
      <c r="Q198" s="224" t="s">
        <v>4405</v>
      </c>
      <c r="R198" s="613"/>
      <c r="S198" s="522" t="str">
        <f t="shared" si="19"/>
        <v>Não Qualificado</v>
      </c>
      <c r="T198" s="522" t="s">
        <v>108</v>
      </c>
      <c r="U198" s="522" t="s">
        <v>2602</v>
      </c>
      <c r="V198" s="522" t="s">
        <v>29</v>
      </c>
      <c r="W198" s="614"/>
      <c r="X198" s="614"/>
      <c r="Y198" s="614"/>
      <c r="Z198" s="614"/>
      <c r="AA198" s="614"/>
      <c r="AB198" s="614"/>
      <c r="AC198" s="614"/>
      <c r="AD198" s="614"/>
      <c r="AE198" s="614"/>
      <c r="AF198" s="614"/>
      <c r="AG198" s="614"/>
      <c r="AH198" s="614"/>
      <c r="AI198" s="614"/>
      <c r="AJ198" s="614"/>
      <c r="AK198" s="450"/>
      <c r="AL198" s="450"/>
      <c r="AM198" s="450">
        <v>281594.1</v>
      </c>
      <c r="AN198" s="450">
        <v>282468.22</v>
      </c>
      <c r="AO198" s="450">
        <v>296051.87</v>
      </c>
      <c r="AP198" s="450">
        <v>298507.31</v>
      </c>
      <c r="AQ198" s="450">
        <v>296614.76</v>
      </c>
      <c r="AR198" s="450">
        <v>305986.31</v>
      </c>
      <c r="AS198" s="450">
        <v>303012.43</v>
      </c>
      <c r="AT198" s="450">
        <v>293560.4</v>
      </c>
      <c r="AU198" s="450">
        <v>5486.75</v>
      </c>
      <c r="AV198" s="450">
        <v>4862.39</v>
      </c>
      <c r="AW198" s="450"/>
      <c r="AX198" s="450"/>
      <c r="AY198" s="450"/>
      <c r="AZ198" s="450"/>
      <c r="BA198" s="450">
        <v>0.0</v>
      </c>
      <c r="BB198" s="450">
        <v>0.0</v>
      </c>
      <c r="BC198" s="450">
        <v>42615.82</v>
      </c>
      <c r="BD198" s="450" t="s">
        <v>2566</v>
      </c>
      <c r="BE198" s="450" t="s">
        <v>2566</v>
      </c>
      <c r="BF198" s="450">
        <v>0.0</v>
      </c>
      <c r="BG198" s="450">
        <v>0.0</v>
      </c>
      <c r="BH198" s="450">
        <v>0.0</v>
      </c>
      <c r="BI198" s="450">
        <v>0.0</v>
      </c>
      <c r="BJ198" s="450">
        <v>0.0</v>
      </c>
      <c r="BK198" s="450">
        <v>0.0</v>
      </c>
      <c r="BL198" s="450">
        <v>0.0</v>
      </c>
      <c r="BM198" s="450">
        <v>0.0</v>
      </c>
      <c r="BN198" s="450">
        <v>0.0</v>
      </c>
      <c r="BO198" s="450">
        <v>0.0</v>
      </c>
      <c r="BP198" s="450">
        <v>0.0</v>
      </c>
      <c r="BQ198" s="450">
        <v>0.0</v>
      </c>
      <c r="BR198" s="450">
        <v>0.0</v>
      </c>
      <c r="BS198" s="615" t="str">
        <f t="array" ref="BS198">XLOOKUP(D198,'PL TOTAL XP'!A:A,'PL TOTAL XP'!C:C,"0")</f>
        <v>0</v>
      </c>
      <c r="BT198" s="616"/>
    </row>
    <row r="199" ht="15.75" customHeight="1">
      <c r="A199" s="183" t="s">
        <v>3820</v>
      </c>
      <c r="B199" s="78" t="s">
        <v>4403</v>
      </c>
      <c r="C199" s="617" t="s">
        <v>4404</v>
      </c>
      <c r="D199" s="522">
        <v>4756217.0</v>
      </c>
      <c r="E199" s="522" t="s">
        <v>105</v>
      </c>
      <c r="F199" s="522" t="s">
        <v>29</v>
      </c>
      <c r="G199" s="522" t="s">
        <v>3660</v>
      </c>
      <c r="H199" s="522" t="str">
        <f>IFERROR(VLOOKUP(G199,'Cadastro de assessores'!A:B,2,FALSE),"Não Cadastrado")</f>
        <v>14574</v>
      </c>
      <c r="I199" s="522"/>
      <c r="J199" s="51" t="s">
        <v>186</v>
      </c>
      <c r="K199" s="522" t="s">
        <v>2563</v>
      </c>
      <c r="L199" s="619">
        <v>44228.0</v>
      </c>
      <c r="M199" s="619">
        <v>44228.0</v>
      </c>
      <c r="N199" s="567">
        <v>44721.0</v>
      </c>
      <c r="O199" s="566" t="s">
        <v>3824</v>
      </c>
      <c r="P199" s="612">
        <v>0.02</v>
      </c>
      <c r="Q199" s="620" t="s">
        <v>4406</v>
      </c>
      <c r="R199" s="613"/>
      <c r="S199" s="522" t="str">
        <f t="shared" si="19"/>
        <v>Não Qualificado</v>
      </c>
      <c r="T199" s="522" t="s">
        <v>108</v>
      </c>
      <c r="U199" s="522" t="s">
        <v>2602</v>
      </c>
      <c r="V199" s="522" t="s">
        <v>29</v>
      </c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  <c r="AI199" s="614"/>
      <c r="AJ199" s="614"/>
      <c r="AK199" s="450"/>
      <c r="AL199" s="450"/>
      <c r="AM199" s="450">
        <v>95274.52</v>
      </c>
      <c r="AN199" s="450">
        <v>127513.22</v>
      </c>
      <c r="AO199" s="450">
        <v>134212.3</v>
      </c>
      <c r="AP199" s="450">
        <v>135351.28</v>
      </c>
      <c r="AQ199" s="450">
        <v>134466.76</v>
      </c>
      <c r="AR199" s="450">
        <v>138530.65</v>
      </c>
      <c r="AS199" s="450">
        <v>136207.56</v>
      </c>
      <c r="AT199" s="450">
        <v>131748.95</v>
      </c>
      <c r="AU199" s="450">
        <v>130374.85</v>
      </c>
      <c r="AV199" s="450">
        <v>127122.1</v>
      </c>
      <c r="AW199" s="450">
        <v>119849.03</v>
      </c>
      <c r="AX199" s="450">
        <v>119100.88</v>
      </c>
      <c r="AY199" s="450">
        <v>120772.3</v>
      </c>
      <c r="AZ199" s="450">
        <v>125471.33</v>
      </c>
      <c r="BA199" s="450">
        <v>126273.57</v>
      </c>
      <c r="BB199" s="450">
        <v>132613.85</v>
      </c>
      <c r="BC199" s="450">
        <v>126269.88</v>
      </c>
      <c r="BD199" s="450">
        <v>130189.05</v>
      </c>
      <c r="BE199" s="450" t="s">
        <v>2566</v>
      </c>
      <c r="BF199" s="450">
        <v>0.0</v>
      </c>
      <c r="BG199" s="450">
        <v>0.0</v>
      </c>
      <c r="BH199" s="450">
        <v>0.0</v>
      </c>
      <c r="BI199" s="450">
        <v>0.0</v>
      </c>
      <c r="BJ199" s="450">
        <v>0.0</v>
      </c>
      <c r="BK199" s="450">
        <v>0.0</v>
      </c>
      <c r="BL199" s="450">
        <v>0.0</v>
      </c>
      <c r="BM199" s="450">
        <v>0.0</v>
      </c>
      <c r="BN199" s="450">
        <v>0.0</v>
      </c>
      <c r="BO199" s="450">
        <v>0.0</v>
      </c>
      <c r="BP199" s="450">
        <v>0.0</v>
      </c>
      <c r="BQ199" s="450">
        <v>0.0</v>
      </c>
      <c r="BR199" s="450">
        <v>0.0</v>
      </c>
      <c r="BS199" s="615" t="str">
        <f t="array" ref="BS199">XLOOKUP(D199,'PL TOTAL XP'!A:A,'PL TOTAL XP'!C:C,"0")</f>
        <v>0</v>
      </c>
      <c r="BT199" s="616"/>
    </row>
    <row r="200" ht="15.75" customHeight="1">
      <c r="A200" s="183" t="s">
        <v>3820</v>
      </c>
      <c r="B200" s="78" t="s">
        <v>4407</v>
      </c>
      <c r="C200" s="645" t="s">
        <v>4408</v>
      </c>
      <c r="D200" s="566">
        <v>2476582.0</v>
      </c>
      <c r="E200" s="512" t="s">
        <v>18</v>
      </c>
      <c r="F200" s="512" t="s">
        <v>19</v>
      </c>
      <c r="G200" s="512" t="s">
        <v>20</v>
      </c>
      <c r="H200" s="522">
        <f>IFERROR(VLOOKUP(G200,'Cadastro de assessores'!A:B,2,FALSE),"Não Cadastrado")</f>
        <v>12331</v>
      </c>
      <c r="I200" s="522"/>
      <c r="J200" s="51" t="s">
        <v>3823</v>
      </c>
      <c r="K200" s="512" t="s">
        <v>107</v>
      </c>
      <c r="L200" s="611">
        <v>44683.0</v>
      </c>
      <c r="M200" s="611">
        <v>44697.0</v>
      </c>
      <c r="N200" s="566"/>
      <c r="O200" s="566" t="s">
        <v>3836</v>
      </c>
      <c r="P200" s="568">
        <v>0.012</v>
      </c>
      <c r="Q200" s="620" t="s">
        <v>4409</v>
      </c>
      <c r="R200" s="613"/>
      <c r="S200" s="522"/>
      <c r="T200" s="522" t="s">
        <v>108</v>
      </c>
      <c r="U200" s="522"/>
      <c r="V200" s="522" t="s">
        <v>19</v>
      </c>
      <c r="W200" s="468"/>
      <c r="X200" s="468"/>
      <c r="Y200" s="468"/>
      <c r="Z200" s="468"/>
      <c r="AA200" s="468"/>
      <c r="AB200" s="468"/>
      <c r="AC200" s="468"/>
      <c r="AD200" s="468"/>
      <c r="AE200" s="468"/>
      <c r="AF200" s="468"/>
      <c r="AG200" s="614"/>
      <c r="AH200" s="614"/>
      <c r="AI200" s="614"/>
      <c r="AJ200" s="450"/>
      <c r="AK200" s="450"/>
      <c r="AL200" s="450"/>
      <c r="AM200" s="450"/>
      <c r="AN200" s="450"/>
      <c r="AO200" s="450"/>
      <c r="AP200" s="450"/>
      <c r="AQ200" s="450"/>
      <c r="AR200" s="450"/>
      <c r="AS200" s="450"/>
      <c r="AT200" s="450"/>
      <c r="AU200" s="450"/>
      <c r="AV200" s="450"/>
      <c r="AW200" s="468"/>
      <c r="AX200" s="449"/>
      <c r="AY200" s="449"/>
      <c r="AZ200" s="450"/>
      <c r="BA200" s="450"/>
      <c r="BB200" s="450"/>
      <c r="BC200" s="450"/>
      <c r="BD200" s="450"/>
      <c r="BE200" s="450"/>
      <c r="BF200" s="450">
        <v>0.0</v>
      </c>
      <c r="BG200" s="450">
        <v>806147.9742</v>
      </c>
      <c r="BH200" s="450">
        <v>761524.12</v>
      </c>
      <c r="BI200" s="450">
        <v>867290.36</v>
      </c>
      <c r="BJ200" s="450">
        <v>871979.81</v>
      </c>
      <c r="BK200" s="450">
        <v>878528.3</v>
      </c>
      <c r="BL200" s="450">
        <v>887642.62</v>
      </c>
      <c r="BM200" s="450">
        <v>905151.86</v>
      </c>
      <c r="BN200" s="450">
        <v>899235.19</v>
      </c>
      <c r="BO200" s="450">
        <v>0.0</v>
      </c>
      <c r="BP200" s="450">
        <v>0.0</v>
      </c>
      <c r="BQ200" s="450">
        <v>0.0</v>
      </c>
      <c r="BR200" s="450">
        <v>0.0</v>
      </c>
      <c r="BS200" s="615">
        <f t="array" ref="BS200">XLOOKUP(D200,'PL TOTAL XP'!A:A,'PL TOTAL XP'!C:C,"0")</f>
        <v>0</v>
      </c>
      <c r="BT200" s="616"/>
    </row>
    <row r="201" ht="15.75" customHeight="1">
      <c r="A201" s="183" t="s">
        <v>3820</v>
      </c>
      <c r="B201" s="78" t="s">
        <v>1100</v>
      </c>
      <c r="C201" s="645" t="s">
        <v>1098</v>
      </c>
      <c r="D201" s="566">
        <v>3353688.0</v>
      </c>
      <c r="E201" s="512" t="s">
        <v>18</v>
      </c>
      <c r="F201" s="512" t="s">
        <v>29</v>
      </c>
      <c r="G201" s="512" t="s">
        <v>294</v>
      </c>
      <c r="H201" s="522">
        <f>IFERROR(VLOOKUP(G201,'Cadastro de assessores'!A:B,2,FALSE),"Não Cadastrado")</f>
        <v>12359</v>
      </c>
      <c r="I201" s="522"/>
      <c r="J201" s="51" t="s">
        <v>3823</v>
      </c>
      <c r="K201" s="512" t="s">
        <v>107</v>
      </c>
      <c r="L201" s="611">
        <v>44778.0</v>
      </c>
      <c r="M201" s="611">
        <v>44778.0</v>
      </c>
      <c r="N201" s="566"/>
      <c r="O201" s="566" t="s">
        <v>3834</v>
      </c>
      <c r="P201" s="568">
        <v>0.007</v>
      </c>
      <c r="Q201" s="653" t="s">
        <v>4410</v>
      </c>
      <c r="R201" s="613"/>
      <c r="S201" s="522"/>
      <c r="T201" s="522" t="s">
        <v>369</v>
      </c>
      <c r="U201" s="522"/>
      <c r="V201" s="522" t="s">
        <v>152</v>
      </c>
      <c r="W201" s="468"/>
      <c r="X201" s="468"/>
      <c r="Y201" s="468"/>
      <c r="Z201" s="468"/>
      <c r="AA201" s="468"/>
      <c r="AB201" s="468"/>
      <c r="AC201" s="468"/>
      <c r="AD201" s="468"/>
      <c r="AE201" s="468"/>
      <c r="AF201" s="468"/>
      <c r="AG201" s="614"/>
      <c r="AH201" s="614"/>
      <c r="AI201" s="614"/>
      <c r="AJ201" s="450"/>
      <c r="AK201" s="450"/>
      <c r="AL201" s="450"/>
      <c r="AM201" s="450"/>
      <c r="AN201" s="450"/>
      <c r="AO201" s="450"/>
      <c r="AP201" s="450"/>
      <c r="AQ201" s="450"/>
      <c r="AR201" s="450"/>
      <c r="AS201" s="450"/>
      <c r="AT201" s="450"/>
      <c r="AU201" s="450"/>
      <c r="AV201" s="450"/>
      <c r="AW201" s="468"/>
      <c r="AX201" s="449"/>
      <c r="AY201" s="449"/>
      <c r="AZ201" s="450"/>
      <c r="BA201" s="450"/>
      <c r="BB201" s="450"/>
      <c r="BC201" s="450"/>
      <c r="BD201" s="450"/>
      <c r="BE201" s="450"/>
      <c r="BF201" s="450">
        <v>0.0</v>
      </c>
      <c r="BG201" s="450">
        <v>83061.28857</v>
      </c>
      <c r="BH201" s="450">
        <v>83692.32</v>
      </c>
      <c r="BI201" s="450">
        <v>84345.09</v>
      </c>
      <c r="BJ201" s="450">
        <v>84959.85</v>
      </c>
      <c r="BK201" s="450">
        <v>85594.45</v>
      </c>
      <c r="BL201" s="450">
        <v>13127.32</v>
      </c>
      <c r="BM201" s="450">
        <v>313.98</v>
      </c>
      <c r="BN201" s="450">
        <v>0.0</v>
      </c>
      <c r="BO201" s="450">
        <v>0.0</v>
      </c>
      <c r="BP201" s="450">
        <v>0.0</v>
      </c>
      <c r="BQ201" s="450">
        <v>0.0</v>
      </c>
      <c r="BR201" s="450">
        <v>0.0</v>
      </c>
      <c r="BS201" s="615">
        <f t="array" ref="BS201">XLOOKUP(D201,'PL TOTAL XP'!A:A,'PL TOTAL XP'!C:C,"0")</f>
        <v>0</v>
      </c>
      <c r="BT201" s="616"/>
    </row>
    <row r="202" ht="15.75" customHeight="1">
      <c r="A202" s="183" t="s">
        <v>3820</v>
      </c>
      <c r="B202" s="78" t="s">
        <v>4411</v>
      </c>
      <c r="C202" s="645" t="s">
        <v>4412</v>
      </c>
      <c r="D202" s="566">
        <v>7082227.0</v>
      </c>
      <c r="E202" s="512" t="s">
        <v>18</v>
      </c>
      <c r="F202" s="512" t="s">
        <v>19</v>
      </c>
      <c r="G202" s="512" t="s">
        <v>256</v>
      </c>
      <c r="H202" s="512" t="str">
        <f>IFERROR(VLOOKUP(G202,'Cadastro de assessores'!A:B,2,FALSE),"Não Cadastrado")</f>
        <v>18009</v>
      </c>
      <c r="I202" s="512"/>
      <c r="J202" s="51" t="s">
        <v>3823</v>
      </c>
      <c r="K202" s="512" t="s">
        <v>107</v>
      </c>
      <c r="L202" s="611">
        <v>44509.0</v>
      </c>
      <c r="M202" s="611">
        <v>44511.0</v>
      </c>
      <c r="N202" s="566"/>
      <c r="O202" s="566" t="s">
        <v>3828</v>
      </c>
      <c r="P202" s="568">
        <v>0.015</v>
      </c>
      <c r="Q202" s="620" t="s">
        <v>4413</v>
      </c>
      <c r="R202" s="613"/>
      <c r="S202" s="522" t="str">
        <f t="shared" ref="S202:S210" si="20">IF(BC202&lt;=0,"",IF(BC202&lt;=1000000,"Não Qualificado",IF(AND(BC202&gt;1000000,BC202&lt;=10000000),"Qualificado","Profissional")))</f>
        <v>Qualificado</v>
      </c>
      <c r="T202" s="522" t="s">
        <v>108</v>
      </c>
      <c r="U202" s="522" t="s">
        <v>2842</v>
      </c>
      <c r="V202" s="522" t="s">
        <v>19</v>
      </c>
      <c r="W202" s="468"/>
      <c r="X202" s="468"/>
      <c r="Y202" s="468"/>
      <c r="Z202" s="468"/>
      <c r="AA202" s="468"/>
      <c r="AB202" s="468"/>
      <c r="AC202" s="468"/>
      <c r="AD202" s="468"/>
      <c r="AE202" s="468"/>
      <c r="AF202" s="468"/>
      <c r="AG202" s="614"/>
      <c r="AH202" s="614"/>
      <c r="AI202" s="614"/>
      <c r="AJ202" s="450"/>
      <c r="AK202" s="450"/>
      <c r="AL202" s="450"/>
      <c r="AM202" s="450"/>
      <c r="AN202" s="450"/>
      <c r="AO202" s="450"/>
      <c r="AP202" s="450"/>
      <c r="AQ202" s="450"/>
      <c r="AR202" s="450"/>
      <c r="AS202" s="450"/>
      <c r="AT202" s="450"/>
      <c r="AU202" s="450"/>
      <c r="AV202" s="450"/>
      <c r="AW202" s="468"/>
      <c r="AX202" s="449"/>
      <c r="AY202" s="449">
        <v>442798.46</v>
      </c>
      <c r="AZ202" s="450">
        <v>574043.36</v>
      </c>
      <c r="BA202" s="450">
        <v>578707.67</v>
      </c>
      <c r="BB202" s="450">
        <v>643782.61</v>
      </c>
      <c r="BC202" s="450">
        <v>1234641.72</v>
      </c>
      <c r="BD202" s="450">
        <v>791677.5</v>
      </c>
      <c r="BE202" s="450">
        <v>792372.02</v>
      </c>
      <c r="BF202" s="450">
        <v>803435.78</v>
      </c>
      <c r="BG202" s="450">
        <v>809460.131</v>
      </c>
      <c r="BH202" s="450">
        <v>812381.95</v>
      </c>
      <c r="BI202" s="450">
        <v>833860.43</v>
      </c>
      <c r="BJ202" s="450">
        <v>833075.28</v>
      </c>
      <c r="BK202" s="450">
        <v>552167.78</v>
      </c>
      <c r="BL202" s="450">
        <v>492363.13</v>
      </c>
      <c r="BM202" s="450">
        <v>495693.17</v>
      </c>
      <c r="BN202" s="450">
        <v>0.0</v>
      </c>
      <c r="BO202" s="450">
        <v>0.0</v>
      </c>
      <c r="BP202" s="450">
        <v>0.0</v>
      </c>
      <c r="BQ202" s="450">
        <v>0.0</v>
      </c>
      <c r="BR202" s="450">
        <v>0.0</v>
      </c>
      <c r="BS202" s="615" t="str">
        <f t="array" ref="BS202">XLOOKUP(D202,'PL TOTAL XP'!A:A,'PL TOTAL XP'!C:C,"0")</f>
        <v>0</v>
      </c>
      <c r="BT202" s="616"/>
    </row>
    <row r="203" ht="15.75" customHeight="1">
      <c r="A203" s="183" t="s">
        <v>3820</v>
      </c>
      <c r="B203" s="78" t="s">
        <v>4414</v>
      </c>
      <c r="C203" s="621" t="s">
        <v>4415</v>
      </c>
      <c r="D203" s="522">
        <v>7998405.0</v>
      </c>
      <c r="E203" s="512" t="s">
        <v>18</v>
      </c>
      <c r="F203" s="512" t="s">
        <v>29</v>
      </c>
      <c r="G203" s="512" t="s">
        <v>60</v>
      </c>
      <c r="H203" s="512">
        <f>IFERROR(VLOOKUP(G203,'Cadastro de assessores'!A:B,2,FALSE),"Não Cadastrado")</f>
        <v>12332</v>
      </c>
      <c r="I203" s="512"/>
      <c r="J203" s="51" t="s">
        <v>3823</v>
      </c>
      <c r="K203" s="512" t="s">
        <v>107</v>
      </c>
      <c r="L203" s="624">
        <v>44613.0</v>
      </c>
      <c r="M203" s="624">
        <v>44615.0</v>
      </c>
      <c r="N203" s="522"/>
      <c r="O203" s="522" t="s">
        <v>3834</v>
      </c>
      <c r="P203" s="612">
        <v>0.007</v>
      </c>
      <c r="Q203" s="620"/>
      <c r="R203" s="613"/>
      <c r="S203" s="522" t="str">
        <f t="shared" si="20"/>
        <v>Não Qualificado</v>
      </c>
      <c r="T203" s="522" t="s">
        <v>108</v>
      </c>
      <c r="U203" s="522" t="s">
        <v>2580</v>
      </c>
      <c r="V203" s="522" t="s">
        <v>29</v>
      </c>
      <c r="W203" s="614"/>
      <c r="X203" s="614"/>
      <c r="Y203" s="614"/>
      <c r="Z203" s="614"/>
      <c r="AA203" s="614"/>
      <c r="AB203" s="614"/>
      <c r="AC203" s="614"/>
      <c r="AD203" s="614"/>
      <c r="AE203" s="614"/>
      <c r="AF203" s="614"/>
      <c r="AG203" s="614"/>
      <c r="AH203" s="614"/>
      <c r="AI203" s="614"/>
      <c r="AJ203" s="614"/>
      <c r="AK203" s="450"/>
      <c r="AL203" s="450"/>
      <c r="AM203" s="450"/>
      <c r="AN203" s="450"/>
      <c r="AO203" s="450"/>
      <c r="AP203" s="450"/>
      <c r="AQ203" s="450"/>
      <c r="AR203" s="450"/>
      <c r="AS203" s="450"/>
      <c r="AT203" s="450"/>
      <c r="AU203" s="450"/>
      <c r="AV203" s="450"/>
      <c r="AW203" s="450"/>
      <c r="AX203" s="450"/>
      <c r="AY203" s="450"/>
      <c r="AZ203" s="450"/>
      <c r="BA203" s="450">
        <v>37321.76</v>
      </c>
      <c r="BB203" s="450">
        <v>37812.26</v>
      </c>
      <c r="BC203" s="450">
        <v>395304.9</v>
      </c>
      <c r="BD203" s="450">
        <v>38760.46</v>
      </c>
      <c r="BE203" s="450">
        <v>39133.85</v>
      </c>
      <c r="BF203" s="450">
        <v>30.0</v>
      </c>
      <c r="BG203" s="450">
        <v>14.72</v>
      </c>
      <c r="BH203" s="450">
        <v>14.72</v>
      </c>
      <c r="BI203" s="450">
        <v>14.72</v>
      </c>
      <c r="BJ203" s="450">
        <v>14.72</v>
      </c>
      <c r="BK203" s="450">
        <v>14.72</v>
      </c>
      <c r="BL203" s="450">
        <v>14.72</v>
      </c>
      <c r="BM203" s="450">
        <v>14.72</v>
      </c>
      <c r="BN203" s="450">
        <v>14.72</v>
      </c>
      <c r="BO203" s="450">
        <v>14.72</v>
      </c>
      <c r="BP203" s="450">
        <v>14.72</v>
      </c>
      <c r="BQ203" s="450">
        <v>14.72</v>
      </c>
      <c r="BR203" s="450">
        <v>14.72</v>
      </c>
      <c r="BS203" s="615">
        <f t="array" ref="BS203">XLOOKUP(D203,'PL TOTAL XP'!A:A,'PL TOTAL XP'!C:C,"0")</f>
        <v>0</v>
      </c>
      <c r="BT203" s="616"/>
    </row>
    <row r="204" ht="15.75" customHeight="1">
      <c r="A204" s="183" t="s">
        <v>3820</v>
      </c>
      <c r="B204" s="78" t="s">
        <v>2970</v>
      </c>
      <c r="C204" s="621" t="s">
        <v>2967</v>
      </c>
      <c r="D204" s="522">
        <v>4798641.0</v>
      </c>
      <c r="E204" s="512" t="s">
        <v>18</v>
      </c>
      <c r="F204" s="512" t="s">
        <v>29</v>
      </c>
      <c r="G204" s="512" t="s">
        <v>2213</v>
      </c>
      <c r="H204" s="512" t="str">
        <f>IFERROR(VLOOKUP(G204,'Cadastro de assessores'!A:B,2,FALSE),"Não Cadastrado")</f>
        <v>18256</v>
      </c>
      <c r="I204" s="512"/>
      <c r="J204" s="51" t="s">
        <v>3823</v>
      </c>
      <c r="K204" s="512" t="s">
        <v>107</v>
      </c>
      <c r="L204" s="610">
        <v>44293.0</v>
      </c>
      <c r="M204" s="610">
        <v>44291.0</v>
      </c>
      <c r="N204" s="522"/>
      <c r="O204" s="522" t="s">
        <v>3828</v>
      </c>
      <c r="P204" s="612">
        <v>0.01</v>
      </c>
      <c r="Q204" s="620" t="s">
        <v>3903</v>
      </c>
      <c r="R204" s="613"/>
      <c r="S204" s="522" t="str">
        <f t="shared" si="20"/>
        <v>Não Qualificado</v>
      </c>
      <c r="T204" s="522" t="s">
        <v>108</v>
      </c>
      <c r="U204" s="522" t="s">
        <v>2942</v>
      </c>
      <c r="V204" s="522" t="s">
        <v>29</v>
      </c>
      <c r="W204" s="614"/>
      <c r="X204" s="614"/>
      <c r="Y204" s="614"/>
      <c r="Z204" s="614"/>
      <c r="AA204" s="614"/>
      <c r="AB204" s="614"/>
      <c r="AC204" s="614"/>
      <c r="AD204" s="614"/>
      <c r="AE204" s="614"/>
      <c r="AF204" s="614"/>
      <c r="AG204" s="614"/>
      <c r="AH204" s="614"/>
      <c r="AI204" s="614"/>
      <c r="AJ204" s="614"/>
      <c r="AK204" s="450"/>
      <c r="AL204" s="450"/>
      <c r="AM204" s="450" t="s">
        <v>2600</v>
      </c>
      <c r="AN204" s="450" t="s">
        <v>2600</v>
      </c>
      <c r="AO204" s="450"/>
      <c r="AP204" s="450">
        <v>147844.5</v>
      </c>
      <c r="AQ204" s="450">
        <v>146615.69</v>
      </c>
      <c r="AR204" s="450">
        <v>150175.82</v>
      </c>
      <c r="AS204" s="450">
        <v>140323.62</v>
      </c>
      <c r="AT204" s="450">
        <v>131011.12</v>
      </c>
      <c r="AU204" s="450">
        <v>119476.87</v>
      </c>
      <c r="AV204" s="450">
        <v>101839.01</v>
      </c>
      <c r="AW204" s="450">
        <v>27700.19</v>
      </c>
      <c r="AX204" s="450">
        <v>21560.98</v>
      </c>
      <c r="AY204" s="450">
        <v>21979.74</v>
      </c>
      <c r="AZ204" s="450">
        <v>23037.37</v>
      </c>
      <c r="BA204" s="450">
        <v>23369.02</v>
      </c>
      <c r="BB204" s="450">
        <v>24874.33</v>
      </c>
      <c r="BC204" s="450">
        <v>232128.88</v>
      </c>
      <c r="BD204" s="450">
        <v>23308.92</v>
      </c>
      <c r="BE204" s="450">
        <v>17940.33</v>
      </c>
      <c r="BF204" s="450">
        <v>17058.46</v>
      </c>
      <c r="BG204" s="450">
        <v>5053.7</v>
      </c>
      <c r="BH204" s="450">
        <v>5085.08</v>
      </c>
      <c r="BI204" s="450">
        <v>5127.96</v>
      </c>
      <c r="BJ204" s="450">
        <v>5173.25</v>
      </c>
      <c r="BK204" s="450">
        <v>5214.21</v>
      </c>
      <c r="BL204" s="450">
        <v>5354.48</v>
      </c>
      <c r="BM204" s="450">
        <v>5400.8</v>
      </c>
      <c r="BN204" s="450">
        <v>0.0</v>
      </c>
      <c r="BO204" s="450">
        <v>0.0</v>
      </c>
      <c r="BP204" s="450">
        <v>0.0</v>
      </c>
      <c r="BQ204" s="450">
        <v>0.0</v>
      </c>
      <c r="BR204" s="450">
        <v>0.0</v>
      </c>
      <c r="BS204" s="615">
        <f t="array" ref="BS204">XLOOKUP(D204,'PL TOTAL XP'!A:A,'PL TOTAL XP'!C:C,"0")</f>
        <v>0</v>
      </c>
      <c r="BT204" s="616"/>
    </row>
    <row r="205" ht="15.75" customHeight="1">
      <c r="A205" s="183" t="s">
        <v>3820</v>
      </c>
      <c r="B205" s="78" t="s">
        <v>4416</v>
      </c>
      <c r="C205" s="617" t="s">
        <v>4417</v>
      </c>
      <c r="D205" s="522">
        <v>4833105.0</v>
      </c>
      <c r="E205" s="522" t="s">
        <v>18</v>
      </c>
      <c r="F205" s="522" t="s">
        <v>29</v>
      </c>
      <c r="G205" s="522" t="s">
        <v>3827</v>
      </c>
      <c r="H205" s="522" t="str">
        <f>IFERROR(VLOOKUP(G205,'Cadastro de assessores'!A:B,2,FALSE),"Não Cadastrado")</f>
        <v>17679</v>
      </c>
      <c r="I205" s="522"/>
      <c r="J205" s="51" t="s">
        <v>186</v>
      </c>
      <c r="K205" s="522" t="s">
        <v>2563</v>
      </c>
      <c r="L205" s="619">
        <v>44231.0</v>
      </c>
      <c r="M205" s="619">
        <v>44231.0</v>
      </c>
      <c r="N205" s="618">
        <v>44518.0</v>
      </c>
      <c r="O205" s="522" t="s">
        <v>3836</v>
      </c>
      <c r="P205" s="612">
        <v>0.012</v>
      </c>
      <c r="Q205" s="224" t="s">
        <v>4418</v>
      </c>
      <c r="R205" s="613"/>
      <c r="S205" s="522" t="str">
        <f t="shared" si="20"/>
        <v>Não Qualificado</v>
      </c>
      <c r="T205" s="522" t="s">
        <v>108</v>
      </c>
      <c r="U205" s="522" t="s">
        <v>2614</v>
      </c>
      <c r="V205" s="522" t="s">
        <v>29</v>
      </c>
      <c r="W205" s="614"/>
      <c r="X205" s="614"/>
      <c r="Y205" s="614"/>
      <c r="Z205" s="614"/>
      <c r="AA205" s="614"/>
      <c r="AB205" s="614"/>
      <c r="AC205" s="614"/>
      <c r="AD205" s="614"/>
      <c r="AE205" s="614"/>
      <c r="AF205" s="614"/>
      <c r="AG205" s="614"/>
      <c r="AH205" s="614"/>
      <c r="AI205" s="614"/>
      <c r="AJ205" s="614"/>
      <c r="AK205" s="450"/>
      <c r="AL205" s="450"/>
      <c r="AM205" s="450">
        <v>79826.06</v>
      </c>
      <c r="AN205" s="450">
        <v>79999.74</v>
      </c>
      <c r="AO205" s="450">
        <v>121185.4</v>
      </c>
      <c r="AP205" s="450">
        <v>121764.11</v>
      </c>
      <c r="AQ205" s="450">
        <v>121441.11</v>
      </c>
      <c r="AR205" s="450">
        <v>123063.35</v>
      </c>
      <c r="AS205" s="450">
        <v>122760.49</v>
      </c>
      <c r="AT205" s="450">
        <v>121077.59</v>
      </c>
      <c r="AU205" s="450">
        <v>120231.67</v>
      </c>
      <c r="AV205" s="450">
        <v>121750.05</v>
      </c>
      <c r="AW205" s="450">
        <v>114163.92</v>
      </c>
      <c r="AX205" s="450"/>
      <c r="AY205" s="450"/>
      <c r="AZ205" s="450"/>
      <c r="BA205" s="450">
        <v>0.0</v>
      </c>
      <c r="BB205" s="450">
        <v>0.0</v>
      </c>
      <c r="BC205" s="450">
        <v>90391.89</v>
      </c>
      <c r="BD205" s="450" t="s">
        <v>2566</v>
      </c>
      <c r="BE205" s="450" t="s">
        <v>2566</v>
      </c>
      <c r="BF205" s="450">
        <v>0.0</v>
      </c>
      <c r="BG205" s="450">
        <v>0.0</v>
      </c>
      <c r="BH205" s="450">
        <v>0.0</v>
      </c>
      <c r="BI205" s="450">
        <v>0.0</v>
      </c>
      <c r="BJ205" s="450">
        <v>0.0</v>
      </c>
      <c r="BK205" s="450">
        <v>0.0</v>
      </c>
      <c r="BL205" s="450">
        <v>0.0</v>
      </c>
      <c r="BM205" s="450">
        <v>0.0</v>
      </c>
      <c r="BN205" s="450">
        <v>0.0</v>
      </c>
      <c r="BO205" s="450">
        <v>0.0</v>
      </c>
      <c r="BP205" s="450">
        <v>0.0</v>
      </c>
      <c r="BQ205" s="450">
        <v>0.0</v>
      </c>
      <c r="BR205" s="450">
        <v>0.0</v>
      </c>
      <c r="BS205" s="615" t="str">
        <f t="array" ref="BS205">XLOOKUP(D205,'PL TOTAL XP'!A:A,'PL TOTAL XP'!C:C,"0")</f>
        <v>0</v>
      </c>
      <c r="BT205" s="616"/>
    </row>
    <row r="206" ht="15.75" customHeight="1">
      <c r="A206" s="183" t="s">
        <v>3820</v>
      </c>
      <c r="B206" s="78" t="s">
        <v>4419</v>
      </c>
      <c r="C206" s="564" t="s">
        <v>4420</v>
      </c>
      <c r="D206" s="566">
        <v>8118134.0</v>
      </c>
      <c r="E206" s="512" t="s">
        <v>105</v>
      </c>
      <c r="F206" s="512" t="s">
        <v>29</v>
      </c>
      <c r="G206" s="512" t="s">
        <v>3901</v>
      </c>
      <c r="H206" s="566">
        <f>IFERROR(VLOOKUP(G206,'Cadastro de assessores'!A:B,2,FALSE),"Não Cadastrado")</f>
        <v>12356</v>
      </c>
      <c r="I206" s="566"/>
      <c r="J206" s="51" t="s">
        <v>3823</v>
      </c>
      <c r="K206" s="512" t="s">
        <v>107</v>
      </c>
      <c r="L206" s="610">
        <v>44686.0</v>
      </c>
      <c r="M206" s="610">
        <v>44685.0</v>
      </c>
      <c r="N206" s="566"/>
      <c r="O206" s="566" t="s">
        <v>4421</v>
      </c>
      <c r="P206" s="612">
        <v>0.015</v>
      </c>
      <c r="Q206" s="224" t="s">
        <v>4422</v>
      </c>
      <c r="R206" s="613"/>
      <c r="S206" s="522" t="str">
        <f t="shared" si="20"/>
        <v/>
      </c>
      <c r="T206" s="522" t="s">
        <v>108</v>
      </c>
      <c r="U206" s="566" t="s">
        <v>2591</v>
      </c>
      <c r="V206" s="566" t="s">
        <v>29</v>
      </c>
      <c r="W206" s="468"/>
      <c r="X206" s="468"/>
      <c r="Y206" s="468"/>
      <c r="Z206" s="468"/>
      <c r="AA206" s="468"/>
      <c r="AB206" s="468"/>
      <c r="AC206" s="468"/>
      <c r="AD206" s="468"/>
      <c r="AE206" s="468"/>
      <c r="AF206" s="468"/>
      <c r="AG206" s="468"/>
      <c r="AH206" s="614"/>
      <c r="AI206" s="614"/>
      <c r="AJ206" s="450"/>
      <c r="AK206" s="450"/>
      <c r="AL206" s="450"/>
      <c r="AM206" s="450"/>
      <c r="AN206" s="450"/>
      <c r="AO206" s="450"/>
      <c r="AP206" s="450"/>
      <c r="AQ206" s="450"/>
      <c r="AR206" s="450"/>
      <c r="AS206" s="468"/>
      <c r="AT206" s="449"/>
      <c r="AU206" s="449"/>
      <c r="AV206" s="450"/>
      <c r="AW206" s="450"/>
      <c r="AX206" s="450"/>
      <c r="AY206" s="450"/>
      <c r="AZ206" s="450"/>
      <c r="BA206" s="450"/>
      <c r="BB206" s="450"/>
      <c r="BC206" s="450"/>
      <c r="BD206" s="450">
        <v>821332.71</v>
      </c>
      <c r="BE206" s="450">
        <v>828064.8</v>
      </c>
      <c r="BF206" s="450">
        <v>834802.06</v>
      </c>
      <c r="BG206" s="450">
        <v>848360.4121</v>
      </c>
      <c r="BH206" s="450">
        <v>850503.23</v>
      </c>
      <c r="BI206" s="450">
        <v>857335.17</v>
      </c>
      <c r="BJ206" s="450">
        <v>850002.23</v>
      </c>
      <c r="BK206" s="450">
        <v>852684.53</v>
      </c>
      <c r="BL206" s="450">
        <v>859574.4</v>
      </c>
      <c r="BM206" s="450">
        <v>339811.73</v>
      </c>
      <c r="BN206" s="450">
        <v>342552.68</v>
      </c>
      <c r="BO206" s="450">
        <v>249.0</v>
      </c>
      <c r="BP206" s="450">
        <v>249.0</v>
      </c>
      <c r="BQ206" s="450">
        <v>249.0</v>
      </c>
      <c r="BR206" s="450">
        <v>249.0</v>
      </c>
      <c r="BS206" s="615">
        <f t="array" ref="BS206">XLOOKUP(D206,'PL TOTAL XP'!A:A,'PL TOTAL XP'!C:C,"0")</f>
        <v>0</v>
      </c>
      <c r="BT206" s="616"/>
    </row>
    <row r="207" ht="15.75" customHeight="1">
      <c r="A207" s="183" t="s">
        <v>3820</v>
      </c>
      <c r="B207" s="78" t="s">
        <v>4423</v>
      </c>
      <c r="C207" s="506" t="s">
        <v>4424</v>
      </c>
      <c r="D207" s="478">
        <v>5998094.0</v>
      </c>
      <c r="E207" s="522" t="s">
        <v>18</v>
      </c>
      <c r="F207" s="511" t="s">
        <v>19</v>
      </c>
      <c r="G207" s="522" t="s">
        <v>256</v>
      </c>
      <c r="H207" s="522" t="str">
        <f>IFERROR(VLOOKUP(G207,'Cadastro de assessores'!A:B,2,FALSE),"Não Cadastrado")</f>
        <v>18009</v>
      </c>
      <c r="I207" s="522"/>
      <c r="J207" s="51" t="s">
        <v>186</v>
      </c>
      <c r="K207" s="522" t="s">
        <v>2563</v>
      </c>
      <c r="L207" s="619">
        <v>44462.0</v>
      </c>
      <c r="M207" s="619">
        <v>44462.0</v>
      </c>
      <c r="N207" s="619">
        <v>44676.0</v>
      </c>
      <c r="O207" s="522" t="s">
        <v>3828</v>
      </c>
      <c r="P207" s="568">
        <v>0.015</v>
      </c>
      <c r="Q207" s="482" t="s">
        <v>4425</v>
      </c>
      <c r="R207" s="613"/>
      <c r="S207" s="522" t="str">
        <f t="shared" si="20"/>
        <v>Não Qualificado</v>
      </c>
      <c r="T207" s="522" t="s">
        <v>108</v>
      </c>
      <c r="U207" s="566" t="s">
        <v>2596</v>
      </c>
      <c r="V207" s="522" t="s">
        <v>3908</v>
      </c>
      <c r="W207" s="468"/>
      <c r="X207" s="468"/>
      <c r="Y207" s="468"/>
      <c r="Z207" s="468"/>
      <c r="AA207" s="468"/>
      <c r="AB207" s="468"/>
      <c r="AC207" s="468"/>
      <c r="AD207" s="468"/>
      <c r="AE207" s="468"/>
      <c r="AF207" s="468"/>
      <c r="AG207" s="468"/>
      <c r="AH207" s="468"/>
      <c r="AI207" s="468"/>
      <c r="AJ207" s="450"/>
      <c r="AK207" s="450"/>
      <c r="AL207" s="450"/>
      <c r="AM207" s="450"/>
      <c r="AN207" s="450"/>
      <c r="AO207" s="450"/>
      <c r="AP207" s="450"/>
      <c r="AQ207" s="468"/>
      <c r="AR207" s="450"/>
      <c r="AS207" s="450"/>
      <c r="AT207" s="449"/>
      <c r="AU207" s="449"/>
      <c r="AV207" s="450">
        <v>111123.17</v>
      </c>
      <c r="AW207" s="450">
        <v>107505.0</v>
      </c>
      <c r="AX207" s="450">
        <v>106646.14</v>
      </c>
      <c r="AY207" s="450">
        <v>107581.1</v>
      </c>
      <c r="AZ207" s="450">
        <v>111241.24</v>
      </c>
      <c r="BA207" s="450">
        <v>112103.75</v>
      </c>
      <c r="BB207" s="450">
        <v>116050.26</v>
      </c>
      <c r="BC207" s="450">
        <v>2317.88</v>
      </c>
      <c r="BD207" s="450" t="s">
        <v>2566</v>
      </c>
      <c r="BE207" s="450" t="s">
        <v>2566</v>
      </c>
      <c r="BF207" s="450">
        <v>0.0</v>
      </c>
      <c r="BG207" s="450">
        <v>0.0</v>
      </c>
      <c r="BH207" s="450">
        <v>0.0</v>
      </c>
      <c r="BI207" s="450">
        <v>0.0</v>
      </c>
      <c r="BJ207" s="450">
        <v>0.0</v>
      </c>
      <c r="BK207" s="450">
        <v>0.0</v>
      </c>
      <c r="BL207" s="450">
        <v>0.0</v>
      </c>
      <c r="BM207" s="450">
        <v>0.0</v>
      </c>
      <c r="BN207" s="450">
        <v>0.0</v>
      </c>
      <c r="BO207" s="450">
        <v>0.0</v>
      </c>
      <c r="BP207" s="450">
        <v>0.0</v>
      </c>
      <c r="BQ207" s="450">
        <v>0.0</v>
      </c>
      <c r="BR207" s="450">
        <v>0.0</v>
      </c>
      <c r="BS207" s="615" t="str">
        <f t="array" ref="BS207">XLOOKUP(D207,'PL TOTAL XP'!A:A,'PL TOTAL XP'!C:C,"0")</f>
        <v>0</v>
      </c>
      <c r="BT207" s="616"/>
    </row>
    <row r="208" ht="15.75" customHeight="1">
      <c r="A208" s="183" t="s">
        <v>3820</v>
      </c>
      <c r="B208" s="78" t="s">
        <v>4426</v>
      </c>
      <c r="C208" s="564" t="s">
        <v>4427</v>
      </c>
      <c r="D208" s="566">
        <v>3712007.0</v>
      </c>
      <c r="E208" s="522" t="s">
        <v>18</v>
      </c>
      <c r="F208" s="511" t="s">
        <v>19</v>
      </c>
      <c r="G208" s="511" t="s">
        <v>256</v>
      </c>
      <c r="H208" s="511" t="str">
        <f>IFERROR(VLOOKUP(G208,'Cadastro de assessores'!A:B,2,FALSE),"Não Cadastrado")</f>
        <v>18009</v>
      </c>
      <c r="I208" s="511"/>
      <c r="J208" s="51" t="s">
        <v>186</v>
      </c>
      <c r="K208" s="522" t="s">
        <v>2563</v>
      </c>
      <c r="L208" s="522" t="s">
        <v>2600</v>
      </c>
      <c r="M208" s="522" t="s">
        <v>2600</v>
      </c>
      <c r="N208" s="567">
        <v>44404.0</v>
      </c>
      <c r="O208" s="566" t="s">
        <v>3828</v>
      </c>
      <c r="P208" s="568">
        <v>0.015</v>
      </c>
      <c r="Q208" s="224" t="s">
        <v>4428</v>
      </c>
      <c r="R208" s="613"/>
      <c r="S208" s="522" t="str">
        <f t="shared" si="20"/>
        <v>Não Qualificado</v>
      </c>
      <c r="T208" s="522" t="s">
        <v>108</v>
      </c>
      <c r="U208" s="566" t="s">
        <v>2619</v>
      </c>
      <c r="V208" s="566" t="s">
        <v>152</v>
      </c>
      <c r="W208" s="468"/>
      <c r="X208" s="468"/>
      <c r="Y208" s="468"/>
      <c r="Z208" s="468"/>
      <c r="AA208" s="468"/>
      <c r="AB208" s="468"/>
      <c r="AC208" s="468"/>
      <c r="AD208" s="468"/>
      <c r="AE208" s="468"/>
      <c r="AF208" s="468"/>
      <c r="AG208" s="468"/>
      <c r="AH208" s="468"/>
      <c r="AI208" s="468"/>
      <c r="AJ208" s="468"/>
      <c r="AK208" s="450"/>
      <c r="AL208" s="450"/>
      <c r="AM208" s="450"/>
      <c r="AN208" s="450"/>
      <c r="AO208" s="450"/>
      <c r="AP208" s="450"/>
      <c r="AQ208" s="450"/>
      <c r="AR208" s="468"/>
      <c r="AS208" s="450">
        <v>11549.13</v>
      </c>
      <c r="AT208" s="450">
        <v>11100.7</v>
      </c>
      <c r="AU208" s="450"/>
      <c r="AV208" s="450"/>
      <c r="AW208" s="450"/>
      <c r="AX208" s="450"/>
      <c r="AY208" s="450"/>
      <c r="AZ208" s="450"/>
      <c r="BA208" s="450">
        <v>0.0</v>
      </c>
      <c r="BB208" s="450">
        <v>0.0</v>
      </c>
      <c r="BC208" s="450">
        <v>723.98</v>
      </c>
      <c r="BD208" s="450" t="s">
        <v>2566</v>
      </c>
      <c r="BE208" s="450" t="s">
        <v>2566</v>
      </c>
      <c r="BF208" s="450">
        <v>0.0</v>
      </c>
      <c r="BG208" s="450">
        <v>0.0</v>
      </c>
      <c r="BH208" s="450">
        <v>0.0</v>
      </c>
      <c r="BI208" s="450">
        <v>0.0</v>
      </c>
      <c r="BJ208" s="450">
        <v>0.0</v>
      </c>
      <c r="BK208" s="450">
        <v>0.0</v>
      </c>
      <c r="BL208" s="450">
        <v>0.0</v>
      </c>
      <c r="BM208" s="450">
        <v>0.0</v>
      </c>
      <c r="BN208" s="450">
        <v>0.0</v>
      </c>
      <c r="BO208" s="450">
        <v>0.0</v>
      </c>
      <c r="BP208" s="450">
        <v>0.0</v>
      </c>
      <c r="BQ208" s="450">
        <v>0.0</v>
      </c>
      <c r="BR208" s="450">
        <v>0.0</v>
      </c>
      <c r="BS208" s="615" t="str">
        <f t="array" ref="BS208">XLOOKUP(D208,'PL TOTAL XP'!A:A,'PL TOTAL XP'!C:C,"0")</f>
        <v>0</v>
      </c>
      <c r="BT208" s="616"/>
    </row>
    <row r="209" ht="15.75" customHeight="1">
      <c r="A209" s="183" t="s">
        <v>3820</v>
      </c>
      <c r="B209" s="78" t="s">
        <v>4429</v>
      </c>
      <c r="C209" s="564" t="s">
        <v>4430</v>
      </c>
      <c r="D209" s="566">
        <v>3919372.0</v>
      </c>
      <c r="E209" s="522" t="s">
        <v>18</v>
      </c>
      <c r="F209" s="511" t="s">
        <v>19</v>
      </c>
      <c r="G209" s="522" t="s">
        <v>256</v>
      </c>
      <c r="H209" s="566" t="str">
        <f>IFERROR(VLOOKUP(G209,'Cadastro de assessores'!A:B,2,FALSE),"Não Cadastrado")</f>
        <v>18009</v>
      </c>
      <c r="I209" s="566"/>
      <c r="J209" s="51" t="s">
        <v>186</v>
      </c>
      <c r="K209" s="522" t="s">
        <v>2563</v>
      </c>
      <c r="L209" s="619">
        <v>44413.0</v>
      </c>
      <c r="M209" s="619">
        <v>44413.0</v>
      </c>
      <c r="N209" s="566"/>
      <c r="O209" s="566" t="s">
        <v>3840</v>
      </c>
      <c r="P209" s="612">
        <v>0.025</v>
      </c>
      <c r="Q209" s="224" t="s">
        <v>4431</v>
      </c>
      <c r="R209" s="613"/>
      <c r="S209" s="522" t="str">
        <f t="shared" si="20"/>
        <v>Não Qualificado</v>
      </c>
      <c r="T209" s="522" t="s">
        <v>108</v>
      </c>
      <c r="U209" s="566" t="s">
        <v>2619</v>
      </c>
      <c r="V209" s="566" t="s">
        <v>152</v>
      </c>
      <c r="W209" s="468"/>
      <c r="X209" s="468"/>
      <c r="Y209" s="468"/>
      <c r="Z209" s="468"/>
      <c r="AA209" s="468"/>
      <c r="AB209" s="468"/>
      <c r="AC209" s="468"/>
      <c r="AD209" s="468"/>
      <c r="AE209" s="468"/>
      <c r="AF209" s="468"/>
      <c r="AG209" s="468"/>
      <c r="AH209" s="614"/>
      <c r="AI209" s="614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68"/>
      <c r="AT209" s="449">
        <v>77768.14</v>
      </c>
      <c r="AU209" s="449">
        <v>76647.51</v>
      </c>
      <c r="AV209" s="450">
        <v>74347.05</v>
      </c>
      <c r="AW209" s="450">
        <v>70583.24</v>
      </c>
      <c r="AX209" s="450">
        <v>16682.18</v>
      </c>
      <c r="AY209" s="450">
        <v>17103.67</v>
      </c>
      <c r="AZ209" s="450">
        <v>719.6</v>
      </c>
      <c r="BA209" s="450">
        <v>721.33</v>
      </c>
      <c r="BB209" s="450">
        <v>722.77</v>
      </c>
      <c r="BC209" s="450">
        <v>198.79</v>
      </c>
      <c r="BD209" s="450" t="s">
        <v>2566</v>
      </c>
      <c r="BE209" s="450" t="s">
        <v>2566</v>
      </c>
      <c r="BF209" s="450">
        <v>0.0</v>
      </c>
      <c r="BG209" s="450">
        <v>0.0</v>
      </c>
      <c r="BH209" s="450">
        <v>0.0</v>
      </c>
      <c r="BI209" s="450">
        <v>0.0</v>
      </c>
      <c r="BJ209" s="450">
        <v>0.0</v>
      </c>
      <c r="BK209" s="450">
        <v>0.0</v>
      </c>
      <c r="BL209" s="450">
        <v>0.0</v>
      </c>
      <c r="BM209" s="450">
        <v>0.0</v>
      </c>
      <c r="BN209" s="450">
        <v>0.0</v>
      </c>
      <c r="BO209" s="450">
        <v>0.0</v>
      </c>
      <c r="BP209" s="450">
        <v>0.0</v>
      </c>
      <c r="BQ209" s="450">
        <v>0.0</v>
      </c>
      <c r="BR209" s="450">
        <v>0.0</v>
      </c>
      <c r="BS209" s="615" t="str">
        <f t="array" ref="BS209">XLOOKUP(D209,'PL TOTAL XP'!A:A,'PL TOTAL XP'!C:C,"0")</f>
        <v>0</v>
      </c>
      <c r="BT209" s="616"/>
    </row>
    <row r="210" ht="15.75" customHeight="1">
      <c r="A210" s="183" t="s">
        <v>3820</v>
      </c>
      <c r="B210" s="78" t="s">
        <v>4432</v>
      </c>
      <c r="C210" s="617" t="s">
        <v>4433</v>
      </c>
      <c r="D210" s="522">
        <v>2466854.0</v>
      </c>
      <c r="E210" s="522" t="s">
        <v>2550</v>
      </c>
      <c r="F210" s="522" t="s">
        <v>29</v>
      </c>
      <c r="G210" s="522" t="s">
        <v>2550</v>
      </c>
      <c r="H210" s="522" t="str">
        <f>IFERROR(VLOOKUP(G210,'Cadastro de assessores'!A:B,2,FALSE),"Não Cadastrado")</f>
        <v>18986</v>
      </c>
      <c r="I210" s="522"/>
      <c r="J210" s="51" t="s">
        <v>186</v>
      </c>
      <c r="K210" s="522" t="s">
        <v>2563</v>
      </c>
      <c r="L210" s="619">
        <v>43696.0</v>
      </c>
      <c r="M210" s="619">
        <v>43696.0</v>
      </c>
      <c r="N210" s="619">
        <v>44091.0</v>
      </c>
      <c r="O210" s="522" t="s">
        <v>3828</v>
      </c>
      <c r="P210" s="612">
        <v>0.01</v>
      </c>
      <c r="Q210" s="620" t="s">
        <v>4434</v>
      </c>
      <c r="R210" s="613"/>
      <c r="S210" s="522" t="str">
        <f t="shared" si="20"/>
        <v/>
      </c>
      <c r="T210" s="522" t="s">
        <v>108</v>
      </c>
      <c r="U210" s="522" t="s">
        <v>2602</v>
      </c>
      <c r="V210" s="522" t="s">
        <v>29</v>
      </c>
      <c r="W210" s="614" t="s">
        <v>4435</v>
      </c>
      <c r="X210" s="614"/>
      <c r="Y210" s="614" t="s">
        <v>4436</v>
      </c>
      <c r="Z210" s="614" t="s">
        <v>4437</v>
      </c>
      <c r="AA210" s="614" t="s">
        <v>4438</v>
      </c>
      <c r="AB210" s="614" t="s">
        <v>4439</v>
      </c>
      <c r="AC210" s="614" t="s">
        <v>4440</v>
      </c>
      <c r="AD210" s="614" t="s">
        <v>4441</v>
      </c>
      <c r="AE210" s="614" t="s">
        <v>4442</v>
      </c>
      <c r="AF210" s="614" t="s">
        <v>4443</v>
      </c>
      <c r="AG210" s="614" t="s">
        <v>4444</v>
      </c>
      <c r="AH210" s="614"/>
      <c r="AI210" s="614" t="s">
        <v>4445</v>
      </c>
      <c r="AJ210" s="614"/>
      <c r="AK210" s="450"/>
      <c r="AL210" s="450">
        <v>214.15</v>
      </c>
      <c r="AM210" s="450" t="s">
        <v>2600</v>
      </c>
      <c r="AN210" s="450"/>
      <c r="AO210" s="450"/>
      <c r="AP210" s="450"/>
      <c r="AQ210" s="450"/>
      <c r="AR210" s="450"/>
      <c r="AS210" s="450"/>
      <c r="AT210" s="450"/>
      <c r="AU210" s="450"/>
      <c r="AV210" s="450"/>
      <c r="AW210" s="450"/>
      <c r="AX210" s="450"/>
      <c r="AY210" s="450"/>
      <c r="AZ210" s="450"/>
      <c r="BA210" s="450">
        <v>0.0</v>
      </c>
      <c r="BB210" s="450">
        <v>0.0</v>
      </c>
      <c r="BC210" s="450"/>
      <c r="BD210" s="450" t="s">
        <v>2566</v>
      </c>
      <c r="BE210" s="450" t="s">
        <v>2566</v>
      </c>
      <c r="BF210" s="450">
        <v>0.0</v>
      </c>
      <c r="BG210" s="450">
        <v>0.0</v>
      </c>
      <c r="BH210" s="450">
        <v>0.0</v>
      </c>
      <c r="BI210" s="450">
        <v>0.0</v>
      </c>
      <c r="BJ210" s="450">
        <v>0.0</v>
      </c>
      <c r="BK210" s="450">
        <v>0.0</v>
      </c>
      <c r="BL210" s="450">
        <v>0.0</v>
      </c>
      <c r="BM210" s="450">
        <v>0.0</v>
      </c>
      <c r="BN210" s="450">
        <v>0.0</v>
      </c>
      <c r="BO210" s="450">
        <v>0.0</v>
      </c>
      <c r="BP210" s="450">
        <v>0.0</v>
      </c>
      <c r="BQ210" s="450">
        <v>0.0</v>
      </c>
      <c r="BR210" s="450">
        <v>0.0</v>
      </c>
      <c r="BS210" s="615" t="str">
        <f t="array" ref="BS210">XLOOKUP(D210,'PL TOTAL XP'!A:A,'PL TOTAL XP'!C:C,"0")</f>
        <v>0</v>
      </c>
      <c r="BT210" s="616"/>
    </row>
    <row r="211" ht="15.75" customHeight="1">
      <c r="A211" s="183" t="s">
        <v>3820</v>
      </c>
      <c r="B211" s="78" t="s">
        <v>575</v>
      </c>
      <c r="C211" s="617" t="s">
        <v>574</v>
      </c>
      <c r="D211" s="522">
        <v>2172585.0</v>
      </c>
      <c r="E211" s="512" t="s">
        <v>18</v>
      </c>
      <c r="F211" s="512" t="s">
        <v>29</v>
      </c>
      <c r="G211" s="512" t="s">
        <v>574</v>
      </c>
      <c r="H211" s="512"/>
      <c r="I211" s="512"/>
      <c r="J211" s="51" t="s">
        <v>3823</v>
      </c>
      <c r="K211" s="522"/>
      <c r="L211" s="522"/>
      <c r="M211" s="522"/>
      <c r="N211" s="522"/>
      <c r="O211" s="522" t="s">
        <v>3828</v>
      </c>
      <c r="P211" s="629">
        <v>0.012</v>
      </c>
      <c r="Q211" s="620" t="s">
        <v>3903</v>
      </c>
      <c r="R211" s="613"/>
      <c r="S211" s="522"/>
      <c r="T211" s="522"/>
      <c r="U211" s="522"/>
      <c r="V211" s="522" t="s">
        <v>29</v>
      </c>
      <c r="W211" s="614"/>
      <c r="X211" s="614"/>
      <c r="Y211" s="614"/>
      <c r="Z211" s="614"/>
      <c r="AA211" s="614"/>
      <c r="AB211" s="614"/>
      <c r="AC211" s="614"/>
      <c r="AD211" s="614"/>
      <c r="AE211" s="614"/>
      <c r="AF211" s="614"/>
      <c r="AG211" s="614"/>
      <c r="AH211" s="614"/>
      <c r="AI211" s="614"/>
      <c r="AJ211" s="614"/>
      <c r="AK211" s="450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450"/>
      <c r="BD211" s="450"/>
      <c r="BE211" s="450"/>
      <c r="BF211" s="450"/>
      <c r="BG211" s="450"/>
      <c r="BH211" s="450"/>
      <c r="BI211" s="450"/>
      <c r="BJ211" s="450"/>
      <c r="BK211" s="450"/>
      <c r="BL211" s="450">
        <v>0.0</v>
      </c>
      <c r="BM211" s="450">
        <v>0.0</v>
      </c>
      <c r="BN211" s="450">
        <v>0.0</v>
      </c>
      <c r="BO211" s="450">
        <v>0.0</v>
      </c>
      <c r="BP211" s="450">
        <v>0.0</v>
      </c>
      <c r="BQ211" s="450">
        <v>0.0</v>
      </c>
      <c r="BR211" s="450">
        <v>0.0</v>
      </c>
      <c r="BS211" s="615" t="str">
        <f t="array" ref="BS211">XLOOKUP(D211,'PL TOTAL XP'!A:A,'PL TOTAL XP'!C:C,"0")</f>
        <v>0</v>
      </c>
      <c r="BT211" s="616"/>
    </row>
    <row r="212" ht="15.75" customHeight="1">
      <c r="A212" s="183" t="s">
        <v>3820</v>
      </c>
      <c r="B212" s="78" t="s">
        <v>4446</v>
      </c>
      <c r="C212" s="617" t="s">
        <v>4447</v>
      </c>
      <c r="D212" s="522">
        <v>2566765.0</v>
      </c>
      <c r="E212" s="512" t="s">
        <v>18</v>
      </c>
      <c r="F212" s="512" t="s">
        <v>29</v>
      </c>
      <c r="G212" s="512" t="s">
        <v>2213</v>
      </c>
      <c r="H212" s="512" t="str">
        <f>IFERROR(VLOOKUP(G212,'Cadastro de assessores'!A:B,2,FALSE),"Não Cadastrado")</f>
        <v>18256</v>
      </c>
      <c r="I212" s="512"/>
      <c r="J212" s="51" t="s">
        <v>3823</v>
      </c>
      <c r="K212" s="522" t="s">
        <v>147</v>
      </c>
      <c r="L212" s="522" t="s">
        <v>2600</v>
      </c>
      <c r="M212" s="640" t="s">
        <v>2599</v>
      </c>
      <c r="N212" s="522"/>
      <c r="O212" s="522" t="s">
        <v>3840</v>
      </c>
      <c r="P212" s="629">
        <v>1.0E-4</v>
      </c>
      <c r="Q212" s="620"/>
      <c r="R212" s="613"/>
      <c r="S212" s="522" t="str">
        <f t="shared" ref="S212:S214" si="21">IF(BC212&lt;=0,"",IF(BC212&lt;=1000000,"Não Qualificado",IF(AND(BC212&gt;1000000,BC212&lt;=10000000),"Qualificado","Profissional")))</f>
        <v>Não Qualificado</v>
      </c>
      <c r="T212" s="522" t="s">
        <v>108</v>
      </c>
      <c r="U212" s="522" t="s">
        <v>2623</v>
      </c>
      <c r="V212" s="522" t="s">
        <v>29</v>
      </c>
      <c r="W212" s="614" t="s">
        <v>4448</v>
      </c>
      <c r="X212" s="614"/>
      <c r="Y212" s="614" t="s">
        <v>4449</v>
      </c>
      <c r="Z212" s="614" t="s">
        <v>4450</v>
      </c>
      <c r="AA212" s="614" t="s">
        <v>4451</v>
      </c>
      <c r="AB212" s="614" t="s">
        <v>4452</v>
      </c>
      <c r="AC212" s="614" t="s">
        <v>4453</v>
      </c>
      <c r="AD212" s="614" t="s">
        <v>4452</v>
      </c>
      <c r="AE212" s="614" t="s">
        <v>4452</v>
      </c>
      <c r="AF212" s="614" t="s">
        <v>4452</v>
      </c>
      <c r="AG212" s="614" t="s">
        <v>4454</v>
      </c>
      <c r="AH212" s="614" t="s">
        <v>4454</v>
      </c>
      <c r="AI212" s="614" t="s">
        <v>4455</v>
      </c>
      <c r="AJ212" s="614" t="s">
        <v>4455</v>
      </c>
      <c r="AK212" s="450">
        <v>260.3</v>
      </c>
      <c r="AL212" s="450">
        <v>123.59</v>
      </c>
      <c r="AM212" s="450">
        <v>123.59</v>
      </c>
      <c r="AN212" s="450">
        <v>123.59</v>
      </c>
      <c r="AO212" s="450">
        <v>198.79</v>
      </c>
      <c r="AP212" s="450">
        <v>198.79</v>
      </c>
      <c r="AQ212" s="450">
        <v>198.79</v>
      </c>
      <c r="AR212" s="450">
        <v>198.79</v>
      </c>
      <c r="AS212" s="450">
        <v>198.79</v>
      </c>
      <c r="AT212" s="450">
        <v>198.79</v>
      </c>
      <c r="AU212" s="450">
        <v>198.79</v>
      </c>
      <c r="AV212" s="450">
        <v>123.59</v>
      </c>
      <c r="AW212" s="450">
        <v>198.79</v>
      </c>
      <c r="AX212" s="450">
        <v>198.79</v>
      </c>
      <c r="AY212" s="450">
        <v>198.79</v>
      </c>
      <c r="AZ212" s="450">
        <v>198.79</v>
      </c>
      <c r="BA212" s="450">
        <v>198.79</v>
      </c>
      <c r="BB212" s="450">
        <v>198.79</v>
      </c>
      <c r="BC212" s="450">
        <v>88355.15</v>
      </c>
      <c r="BD212" s="450">
        <v>123.59</v>
      </c>
      <c r="BE212" s="450" t="s">
        <v>2566</v>
      </c>
      <c r="BF212" s="450">
        <v>123.59</v>
      </c>
      <c r="BG212" s="450">
        <v>123.59</v>
      </c>
      <c r="BH212" s="450">
        <v>123.59</v>
      </c>
      <c r="BI212" s="450">
        <v>123.59</v>
      </c>
      <c r="BJ212" s="450">
        <v>123.59</v>
      </c>
      <c r="BK212" s="450">
        <v>123.59</v>
      </c>
      <c r="BL212" s="450">
        <v>0.0</v>
      </c>
      <c r="BM212" s="450">
        <v>0.0</v>
      </c>
      <c r="BN212" s="450">
        <v>0.0</v>
      </c>
      <c r="BO212" s="450">
        <v>0.0</v>
      </c>
      <c r="BP212" s="450">
        <v>0.0</v>
      </c>
      <c r="BQ212" s="450">
        <v>0.0</v>
      </c>
      <c r="BR212" s="450">
        <v>0.0</v>
      </c>
      <c r="BS212" s="615">
        <f t="array" ref="BS212">XLOOKUP(D212,'PL TOTAL XP'!A:A,'PL TOTAL XP'!C:C,"0")</f>
        <v>0</v>
      </c>
      <c r="BT212" s="616"/>
    </row>
    <row r="213" ht="15.75" customHeight="1">
      <c r="A213" s="183" t="s">
        <v>3820</v>
      </c>
      <c r="B213" s="78" t="s">
        <v>4456</v>
      </c>
      <c r="C213" s="660" t="s">
        <v>4457</v>
      </c>
      <c r="D213" s="566">
        <v>5092169.0</v>
      </c>
      <c r="E213" s="522" t="s">
        <v>18</v>
      </c>
      <c r="F213" s="511" t="s">
        <v>19</v>
      </c>
      <c r="G213" s="522" t="s">
        <v>256</v>
      </c>
      <c r="H213" s="511" t="str">
        <f>IFERROR(VLOOKUP(G213,'Cadastro de assessores'!A:B,2,FALSE),"Não Cadastrado")</f>
        <v>18009</v>
      </c>
      <c r="I213" s="511"/>
      <c r="J213" s="51" t="s">
        <v>186</v>
      </c>
      <c r="K213" s="522" t="s">
        <v>2563</v>
      </c>
      <c r="L213" s="619">
        <v>44287.0</v>
      </c>
      <c r="M213" s="619">
        <v>44287.0</v>
      </c>
      <c r="N213" s="619">
        <v>44805.0</v>
      </c>
      <c r="O213" s="522" t="s">
        <v>3828</v>
      </c>
      <c r="P213" s="568">
        <v>0.015</v>
      </c>
      <c r="Q213" s="224"/>
      <c r="R213" s="613"/>
      <c r="S213" s="522" t="str">
        <f t="shared" si="21"/>
        <v/>
      </c>
      <c r="T213" s="522" t="s">
        <v>108</v>
      </c>
      <c r="U213" s="566" t="s">
        <v>4240</v>
      </c>
      <c r="V213" s="566" t="s">
        <v>3672</v>
      </c>
      <c r="W213" s="468"/>
      <c r="X213" s="468"/>
      <c r="Y213" s="468"/>
      <c r="Z213" s="468"/>
      <c r="AA213" s="468"/>
      <c r="AB213" s="468"/>
      <c r="AC213" s="468"/>
      <c r="AD213" s="468"/>
      <c r="AE213" s="468"/>
      <c r="AF213" s="468"/>
      <c r="AG213" s="468"/>
      <c r="AH213" s="468"/>
      <c r="AI213" s="468"/>
      <c r="AJ213" s="468"/>
      <c r="AK213" s="661"/>
      <c r="AL213" s="450"/>
      <c r="AM213" s="450"/>
      <c r="AN213" s="450"/>
      <c r="AO213" s="450"/>
      <c r="AP213" s="450">
        <v>130609.87</v>
      </c>
      <c r="AQ213" s="450">
        <v>130051.55</v>
      </c>
      <c r="AR213" s="450">
        <v>130223.2</v>
      </c>
      <c r="AS213" s="450">
        <v>129100.56</v>
      </c>
      <c r="AT213" s="450">
        <v>150883.89</v>
      </c>
      <c r="AU213" s="450">
        <v>149799.45</v>
      </c>
      <c r="AV213" s="450">
        <v>150114.6</v>
      </c>
      <c r="AW213" s="450">
        <v>145546.43</v>
      </c>
      <c r="AX213" s="450">
        <v>124683.99</v>
      </c>
      <c r="AY213" s="450">
        <v>126361.37</v>
      </c>
      <c r="AZ213" s="450">
        <v>130383.69</v>
      </c>
      <c r="BA213" s="450">
        <v>131494.49</v>
      </c>
      <c r="BB213" s="450">
        <v>128695.0</v>
      </c>
      <c r="BC213" s="450"/>
      <c r="BD213" s="450">
        <v>126550.34</v>
      </c>
      <c r="BE213" s="450">
        <v>125646.62</v>
      </c>
      <c r="BF213" s="450">
        <v>127751.05</v>
      </c>
      <c r="BG213" s="450">
        <v>128114.4536</v>
      </c>
      <c r="BH213" s="450">
        <v>0.0</v>
      </c>
      <c r="BI213" s="450">
        <v>0.0</v>
      </c>
      <c r="BJ213" s="450">
        <v>0.0</v>
      </c>
      <c r="BK213" s="450">
        <v>0.0</v>
      </c>
      <c r="BL213" s="450">
        <v>0.0</v>
      </c>
      <c r="BM213" s="450">
        <v>0.0</v>
      </c>
      <c r="BN213" s="450">
        <v>0.0</v>
      </c>
      <c r="BO213" s="450">
        <v>0.0</v>
      </c>
      <c r="BP213" s="450">
        <v>0.0</v>
      </c>
      <c r="BQ213" s="450">
        <v>0.0</v>
      </c>
      <c r="BR213" s="450">
        <v>0.0</v>
      </c>
      <c r="BS213" s="615" t="str">
        <f t="array" ref="BS213">XLOOKUP(D213,'PL TOTAL XP'!A:A,'PL TOTAL XP'!C:C,"0")</f>
        <v>0</v>
      </c>
      <c r="BT213" s="616"/>
    </row>
    <row r="214" ht="15.75" customHeight="1">
      <c r="A214" s="183" t="s">
        <v>3820</v>
      </c>
      <c r="B214" s="78" t="s">
        <v>4458</v>
      </c>
      <c r="C214" s="564" t="s">
        <v>4459</v>
      </c>
      <c r="D214" s="566">
        <v>5599106.0</v>
      </c>
      <c r="E214" s="522" t="s">
        <v>105</v>
      </c>
      <c r="F214" s="511" t="s">
        <v>29</v>
      </c>
      <c r="G214" s="511" t="s">
        <v>4122</v>
      </c>
      <c r="H214" s="511" t="str">
        <f>IFERROR(VLOOKUP(G214,'Cadastro de assessores'!A:B,2,FALSE),"Não Cadastrado")</f>
        <v>19157</v>
      </c>
      <c r="I214" s="511"/>
      <c r="J214" s="51" t="s">
        <v>186</v>
      </c>
      <c r="K214" s="522" t="s">
        <v>2563</v>
      </c>
      <c r="L214" s="619">
        <v>44368.0</v>
      </c>
      <c r="M214" s="619">
        <v>44368.0</v>
      </c>
      <c r="N214" s="654">
        <v>44494.0</v>
      </c>
      <c r="O214" s="566" t="s">
        <v>3840</v>
      </c>
      <c r="P214" s="612">
        <v>0.025</v>
      </c>
      <c r="Q214" s="620" t="s">
        <v>4460</v>
      </c>
      <c r="R214" s="613"/>
      <c r="S214" s="522" t="str">
        <f t="shared" si="21"/>
        <v>Não Qualificado</v>
      </c>
      <c r="T214" s="522" t="s">
        <v>108</v>
      </c>
      <c r="U214" s="566" t="s">
        <v>4461</v>
      </c>
      <c r="V214" s="566" t="s">
        <v>19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8"/>
      <c r="AJ214" s="450"/>
      <c r="AK214" s="450"/>
      <c r="AL214" s="450"/>
      <c r="AM214" s="450"/>
      <c r="AN214" s="450"/>
      <c r="AO214" s="450"/>
      <c r="AP214" s="450"/>
      <c r="AQ214" s="450"/>
      <c r="AR214" s="468"/>
      <c r="AS214" s="450">
        <v>971353.75</v>
      </c>
      <c r="AT214" s="450">
        <v>921515.75</v>
      </c>
      <c r="AU214" s="450">
        <v>890302.12</v>
      </c>
      <c r="AV214" s="450">
        <v>833975.2</v>
      </c>
      <c r="AW214" s="450">
        <v>1984.9</v>
      </c>
      <c r="AX214" s="450"/>
      <c r="AY214" s="450"/>
      <c r="AZ214" s="450"/>
      <c r="BA214" s="450">
        <v>0.0</v>
      </c>
      <c r="BB214" s="450">
        <v>0.0</v>
      </c>
      <c r="BC214" s="450">
        <v>80031.9</v>
      </c>
      <c r="BD214" s="450" t="s">
        <v>2566</v>
      </c>
      <c r="BE214" s="450" t="s">
        <v>2566</v>
      </c>
      <c r="BF214" s="450">
        <v>0.0</v>
      </c>
      <c r="BG214" s="450">
        <v>0.0</v>
      </c>
      <c r="BH214" s="450">
        <v>0.0</v>
      </c>
      <c r="BI214" s="450">
        <v>0.0</v>
      </c>
      <c r="BJ214" s="450">
        <v>0.0</v>
      </c>
      <c r="BK214" s="450">
        <v>0.0</v>
      </c>
      <c r="BL214" s="450">
        <v>0.0</v>
      </c>
      <c r="BM214" s="450">
        <v>0.0</v>
      </c>
      <c r="BN214" s="450">
        <v>0.0</v>
      </c>
      <c r="BO214" s="450">
        <v>0.0</v>
      </c>
      <c r="BP214" s="450">
        <v>0.0</v>
      </c>
      <c r="BQ214" s="450">
        <v>0.0</v>
      </c>
      <c r="BR214" s="450">
        <v>0.0</v>
      </c>
      <c r="BS214" s="615" t="str">
        <f t="array" ref="BS214">XLOOKUP(D214,'PL TOTAL XP'!A:A,'PL TOTAL XP'!C:C,"0")</f>
        <v>0</v>
      </c>
      <c r="BT214" s="616"/>
    </row>
    <row r="215" ht="15.75" customHeight="1">
      <c r="A215" s="183" t="s">
        <v>3820</v>
      </c>
      <c r="B215" s="78" t="s">
        <v>1155</v>
      </c>
      <c r="C215" s="617" t="s">
        <v>1152</v>
      </c>
      <c r="D215" s="522">
        <v>3714924.0</v>
      </c>
      <c r="E215" s="522" t="s">
        <v>18</v>
      </c>
      <c r="F215" s="522" t="s">
        <v>29</v>
      </c>
      <c r="G215" s="522" t="s">
        <v>168</v>
      </c>
      <c r="H215" s="522"/>
      <c r="I215" s="522"/>
      <c r="J215" s="51" t="s">
        <v>3823</v>
      </c>
      <c r="K215" s="522"/>
      <c r="L215" s="619"/>
      <c r="M215" s="522" t="s">
        <v>3174</v>
      </c>
      <c r="N215" s="619"/>
      <c r="O215" s="522" t="s">
        <v>3834</v>
      </c>
      <c r="P215" s="612">
        <v>0.0</v>
      </c>
      <c r="Q215" s="620" t="s">
        <v>4462</v>
      </c>
      <c r="R215" s="613"/>
      <c r="S215" s="522"/>
      <c r="T215" s="522"/>
      <c r="U215" s="522"/>
      <c r="V215" s="522" t="s">
        <v>29</v>
      </c>
      <c r="W215" s="614"/>
      <c r="X215" s="614"/>
      <c r="Y215" s="614"/>
      <c r="Z215" s="614"/>
      <c r="AA215" s="614"/>
      <c r="AB215" s="614"/>
      <c r="AC215" s="614"/>
      <c r="AD215" s="614"/>
      <c r="AE215" s="614"/>
      <c r="AF215" s="614"/>
      <c r="AG215" s="614"/>
      <c r="AH215" s="614"/>
      <c r="AI215" s="614"/>
      <c r="AJ215" s="614"/>
      <c r="AK215" s="450"/>
      <c r="AL215" s="450"/>
      <c r="AM215" s="450"/>
      <c r="AN215" s="450"/>
      <c r="AO215" s="450"/>
      <c r="AP215" s="450"/>
      <c r="AQ215" s="450"/>
      <c r="AR215" s="450"/>
      <c r="AS215" s="450"/>
      <c r="AT215" s="450"/>
      <c r="AU215" s="450"/>
      <c r="AV215" s="450"/>
      <c r="AW215" s="450"/>
      <c r="AX215" s="450"/>
      <c r="AY215" s="450"/>
      <c r="AZ215" s="450"/>
      <c r="BA215" s="450"/>
      <c r="BB215" s="450"/>
      <c r="BC215" s="450"/>
      <c r="BD215" s="450"/>
      <c r="BE215" s="450"/>
      <c r="BF215" s="450"/>
      <c r="BG215" s="450"/>
      <c r="BH215" s="450"/>
      <c r="BI215" s="450"/>
      <c r="BJ215" s="450"/>
      <c r="BK215" s="450"/>
      <c r="BL215" s="450">
        <v>124101.59</v>
      </c>
      <c r="BM215" s="450">
        <v>54772.11</v>
      </c>
      <c r="BN215" s="450">
        <v>0.0</v>
      </c>
      <c r="BO215" s="450">
        <v>0.0</v>
      </c>
      <c r="BP215" s="450">
        <v>0.0</v>
      </c>
      <c r="BQ215" s="450">
        <v>0.0</v>
      </c>
      <c r="BR215" s="450">
        <v>0.0</v>
      </c>
      <c r="BS215" s="615" t="str">
        <f t="array" ref="BS215">XLOOKUP(D215,'PL TOTAL XP'!A:A,'PL TOTAL XP'!C:C,"0")</f>
        <v>0</v>
      </c>
      <c r="BT215" s="616"/>
    </row>
    <row r="216" ht="15.75" customHeight="1">
      <c r="A216" s="183" t="s">
        <v>3820</v>
      </c>
      <c r="B216" s="78" t="s">
        <v>4463</v>
      </c>
      <c r="C216" s="617" t="s">
        <v>4464</v>
      </c>
      <c r="D216" s="522">
        <v>4760280.0</v>
      </c>
      <c r="E216" s="522" t="s">
        <v>105</v>
      </c>
      <c r="F216" s="522" t="s">
        <v>29</v>
      </c>
      <c r="G216" s="522" t="s">
        <v>4465</v>
      </c>
      <c r="H216" s="522" t="str">
        <f>IFERROR(VLOOKUP(G216,'Cadastro de assessores'!A:B,2,FALSE),"Não Cadastrado")</f>
        <v>14091</v>
      </c>
      <c r="I216" s="522"/>
      <c r="J216" s="51" t="s">
        <v>186</v>
      </c>
      <c r="K216" s="522" t="s">
        <v>2563</v>
      </c>
      <c r="L216" s="619">
        <v>44211.0</v>
      </c>
      <c r="M216" s="619">
        <v>44211.0</v>
      </c>
      <c r="N216" s="619">
        <v>44781.0</v>
      </c>
      <c r="O216" s="522" t="s">
        <v>3840</v>
      </c>
      <c r="P216" s="612">
        <v>0.025</v>
      </c>
      <c r="Q216" s="620" t="s">
        <v>4466</v>
      </c>
      <c r="R216" s="613"/>
      <c r="S216" s="522" t="str">
        <f t="shared" ref="S216:S231" si="22">IF(BC216&lt;=0,"",IF(BC216&lt;=1000000,"Não Qualificado",IF(AND(BC216&gt;1000000,BC216&lt;=10000000),"Qualificado","Profissional")))</f>
        <v>Não Qualificado</v>
      </c>
      <c r="T216" s="522" t="s">
        <v>108</v>
      </c>
      <c r="U216" s="522" t="s">
        <v>2591</v>
      </c>
      <c r="V216" s="522" t="s">
        <v>29</v>
      </c>
      <c r="W216" s="614"/>
      <c r="X216" s="614"/>
      <c r="Y216" s="614"/>
      <c r="Z216" s="614"/>
      <c r="AA216" s="614"/>
      <c r="AB216" s="614"/>
      <c r="AC216" s="614"/>
      <c r="AD216" s="614"/>
      <c r="AE216" s="614"/>
      <c r="AF216" s="614"/>
      <c r="AG216" s="614"/>
      <c r="AH216" s="614"/>
      <c r="AI216" s="614"/>
      <c r="AJ216" s="614"/>
      <c r="AK216" s="450"/>
      <c r="AL216" s="450">
        <v>95372.38</v>
      </c>
      <c r="AM216" s="450">
        <v>88373.64</v>
      </c>
      <c r="AN216" s="450">
        <v>88838.78</v>
      </c>
      <c r="AO216" s="450">
        <v>95949.07</v>
      </c>
      <c r="AP216" s="450">
        <v>97177.03</v>
      </c>
      <c r="AQ216" s="450">
        <v>96138.36</v>
      </c>
      <c r="AR216" s="450">
        <v>101680.08</v>
      </c>
      <c r="AS216" s="450">
        <v>99320.92</v>
      </c>
      <c r="AT216" s="450">
        <v>94029.76</v>
      </c>
      <c r="AU216" s="450">
        <v>92038.67</v>
      </c>
      <c r="AV216" s="450">
        <v>86616.21</v>
      </c>
      <c r="AW216" s="450">
        <v>80164.3</v>
      </c>
      <c r="AX216" s="450">
        <v>79319.78</v>
      </c>
      <c r="AY216" s="450">
        <v>80547.0</v>
      </c>
      <c r="AZ216" s="450">
        <v>86373.78</v>
      </c>
      <c r="BA216" s="450">
        <v>87136.2</v>
      </c>
      <c r="BB216" s="450">
        <v>92766.93</v>
      </c>
      <c r="BC216" s="450">
        <v>888283.64</v>
      </c>
      <c r="BD216" s="450">
        <v>87330.14</v>
      </c>
      <c r="BE216" s="450">
        <v>83397.19</v>
      </c>
      <c r="BF216" s="450">
        <v>87953.53</v>
      </c>
      <c r="BG216" s="450">
        <v>0.0</v>
      </c>
      <c r="BH216" s="450">
        <v>0.0</v>
      </c>
      <c r="BI216" s="450">
        <v>0.0</v>
      </c>
      <c r="BJ216" s="450">
        <v>0.0</v>
      </c>
      <c r="BK216" s="450">
        <v>0.0</v>
      </c>
      <c r="BL216" s="450">
        <v>0.0</v>
      </c>
      <c r="BM216" s="450">
        <v>0.0</v>
      </c>
      <c r="BN216" s="450">
        <v>0.0</v>
      </c>
      <c r="BO216" s="450">
        <v>0.0</v>
      </c>
      <c r="BP216" s="450">
        <v>0.0</v>
      </c>
      <c r="BQ216" s="450">
        <v>0.0</v>
      </c>
      <c r="BR216" s="450">
        <v>0.0</v>
      </c>
      <c r="BS216" s="615" t="str">
        <f t="array" ref="BS216">XLOOKUP(D216,'PL TOTAL XP'!A:A,'PL TOTAL XP'!C:C,"0")</f>
        <v>0</v>
      </c>
      <c r="BT216" s="616"/>
    </row>
    <row r="217" ht="15.75" customHeight="1">
      <c r="A217" s="183" t="s">
        <v>3820</v>
      </c>
      <c r="B217" s="78" t="s">
        <v>4467</v>
      </c>
      <c r="C217" s="564" t="s">
        <v>4468</v>
      </c>
      <c r="D217" s="566">
        <v>2673476.0</v>
      </c>
      <c r="E217" s="512" t="s">
        <v>18</v>
      </c>
      <c r="F217" s="609" t="s">
        <v>19</v>
      </c>
      <c r="G217" s="512" t="s">
        <v>256</v>
      </c>
      <c r="H217" s="566" t="str">
        <f>IFERROR(VLOOKUP(G217,'Cadastro de assessores'!A:B,2,FALSE),"Não Cadastrado")</f>
        <v>18009</v>
      </c>
      <c r="I217" s="566"/>
      <c r="J217" s="46" t="s">
        <v>107</v>
      </c>
      <c r="K217" s="512" t="s">
        <v>107</v>
      </c>
      <c r="L217" s="610">
        <v>44405.0</v>
      </c>
      <c r="M217" s="610">
        <v>44405.0</v>
      </c>
      <c r="N217" s="566"/>
      <c r="O217" s="566" t="s">
        <v>3824</v>
      </c>
      <c r="P217" s="629">
        <v>0.02</v>
      </c>
      <c r="Q217" s="224"/>
      <c r="R217" s="613"/>
      <c r="S217" s="522" t="str">
        <f t="shared" si="22"/>
        <v/>
      </c>
      <c r="T217" s="522" t="s">
        <v>108</v>
      </c>
      <c r="U217" s="566" t="s">
        <v>2619</v>
      </c>
      <c r="V217" s="566" t="s">
        <v>152</v>
      </c>
      <c r="W217" s="468"/>
      <c r="X217" s="468"/>
      <c r="Y217" s="468"/>
      <c r="Z217" s="468"/>
      <c r="AA217" s="468"/>
      <c r="AB217" s="468"/>
      <c r="AC217" s="468"/>
      <c r="AD217" s="468"/>
      <c r="AE217" s="468"/>
      <c r="AF217" s="468"/>
      <c r="AG217" s="468"/>
      <c r="AH217" s="614"/>
      <c r="AI217" s="614"/>
      <c r="AJ217" s="450"/>
      <c r="AK217" s="450"/>
      <c r="AL217" s="450"/>
      <c r="AM217" s="450"/>
      <c r="AN217" s="450"/>
      <c r="AO217" s="450"/>
      <c r="AP217" s="450"/>
      <c r="AQ217" s="450"/>
      <c r="AR217" s="450"/>
      <c r="AS217" s="468"/>
      <c r="AT217" s="449">
        <v>68843.72</v>
      </c>
      <c r="AU217" s="449">
        <v>67777.63</v>
      </c>
      <c r="AV217" s="450">
        <v>65837.92</v>
      </c>
      <c r="AW217" s="450">
        <v>62693.95</v>
      </c>
      <c r="AX217" s="450">
        <v>62494.99</v>
      </c>
      <c r="AY217" s="450">
        <v>63374.15</v>
      </c>
      <c r="AZ217" s="450">
        <v>46932.16</v>
      </c>
      <c r="BA217" s="450">
        <v>39632.13</v>
      </c>
      <c r="BB217" s="450">
        <v>42370.12</v>
      </c>
      <c r="BC217" s="450"/>
      <c r="BD217" s="450">
        <v>6383.08</v>
      </c>
      <c r="BE217" s="450">
        <v>6368.57</v>
      </c>
      <c r="BF217" s="450">
        <v>6267.46</v>
      </c>
      <c r="BG217" s="450">
        <v>6288.0</v>
      </c>
      <c r="BH217" s="450">
        <v>6300.8</v>
      </c>
      <c r="BI217" s="450">
        <v>6356.05</v>
      </c>
      <c r="BJ217" s="450">
        <v>6309.78</v>
      </c>
      <c r="BK217" s="450">
        <v>6353.18</v>
      </c>
      <c r="BL217" s="450">
        <v>6443.26</v>
      </c>
      <c r="BM217" s="450">
        <v>6527.81</v>
      </c>
      <c r="BN217" s="450">
        <v>6633.61</v>
      </c>
      <c r="BO217" s="450">
        <v>6704.72</v>
      </c>
      <c r="BP217" s="450">
        <v>6785.24</v>
      </c>
      <c r="BQ217" s="450">
        <v>6830.01</v>
      </c>
      <c r="BR217" s="450">
        <v>6895.4</v>
      </c>
      <c r="BS217" s="615">
        <f t="array" ref="BS217">XLOOKUP(D217,'PL TOTAL XP'!A:A,'PL TOTAL XP'!C:C,"0")</f>
        <v>0.14</v>
      </c>
      <c r="BT217" s="616"/>
    </row>
    <row r="218" ht="15.75" customHeight="1">
      <c r="A218" s="183" t="s">
        <v>3820</v>
      </c>
      <c r="B218" s="78" t="s">
        <v>4469</v>
      </c>
      <c r="C218" s="617" t="s">
        <v>4470</v>
      </c>
      <c r="D218" s="522">
        <v>4398585.0</v>
      </c>
      <c r="E218" s="512" t="s">
        <v>105</v>
      </c>
      <c r="F218" s="512" t="s">
        <v>29</v>
      </c>
      <c r="G218" s="512" t="s">
        <v>71</v>
      </c>
      <c r="H218" s="512" t="str">
        <f>IFERROR(VLOOKUP(G218,'Cadastro de assessores'!A:B,2,FALSE),"Não Cadastrado")</f>
        <v>17896</v>
      </c>
      <c r="I218" s="512"/>
      <c r="J218" s="51" t="s">
        <v>3823</v>
      </c>
      <c r="K218" s="512" t="s">
        <v>107</v>
      </c>
      <c r="L218" s="610">
        <v>44098.0</v>
      </c>
      <c r="M218" s="610">
        <v>44102.0</v>
      </c>
      <c r="N218" s="522"/>
      <c r="O218" s="522" t="s">
        <v>4347</v>
      </c>
      <c r="P218" s="612">
        <v>0.002</v>
      </c>
      <c r="Q218" s="620" t="s">
        <v>4471</v>
      </c>
      <c r="R218" s="613"/>
      <c r="S218" s="522" t="str">
        <f t="shared" si="22"/>
        <v/>
      </c>
      <c r="T218" s="522" t="s">
        <v>369</v>
      </c>
      <c r="U218" s="522" t="s">
        <v>2602</v>
      </c>
      <c r="V218" s="522" t="s">
        <v>29</v>
      </c>
      <c r="W218" s="614" t="s">
        <v>3830</v>
      </c>
      <c r="X218" s="614" t="s">
        <v>3830</v>
      </c>
      <c r="Y218" s="614" t="s">
        <v>3830</v>
      </c>
      <c r="Z218" s="614" t="s">
        <v>3830</v>
      </c>
      <c r="AA218" s="614" t="s">
        <v>3830</v>
      </c>
      <c r="AB218" s="614" t="s">
        <v>3830</v>
      </c>
      <c r="AC218" s="614" t="s">
        <v>3830</v>
      </c>
      <c r="AD218" s="614" t="s">
        <v>3830</v>
      </c>
      <c r="AE218" s="614" t="s">
        <v>3830</v>
      </c>
      <c r="AF218" s="614" t="s">
        <v>3830</v>
      </c>
      <c r="AG218" s="614" t="s">
        <v>3830</v>
      </c>
      <c r="AH218" s="614" t="s">
        <v>4472</v>
      </c>
      <c r="AI218" s="614" t="s">
        <v>4473</v>
      </c>
      <c r="AJ218" s="614" t="s">
        <v>4474</v>
      </c>
      <c r="AK218" s="450">
        <v>501984.78</v>
      </c>
      <c r="AL218" s="450">
        <v>502893.89</v>
      </c>
      <c r="AM218" s="450">
        <v>503159.25</v>
      </c>
      <c r="AN218" s="450">
        <v>503388.5</v>
      </c>
      <c r="AO218" s="450">
        <v>503428.76</v>
      </c>
      <c r="AP218" s="450">
        <v>504078.94</v>
      </c>
      <c r="AQ218" s="450">
        <v>504270.26</v>
      </c>
      <c r="AR218" s="450">
        <v>504274.77</v>
      </c>
      <c r="AS218" s="450">
        <v>505173.28</v>
      </c>
      <c r="AT218" s="450">
        <v>397381.14</v>
      </c>
      <c r="AU218" s="450">
        <v>399128.61</v>
      </c>
      <c r="AV218" s="450">
        <v>401084.2</v>
      </c>
      <c r="AW218" s="450">
        <v>402562.99</v>
      </c>
      <c r="AX218" s="450">
        <v>404669.49</v>
      </c>
      <c r="AY218" s="450">
        <v>405258.59</v>
      </c>
      <c r="AZ218" s="450">
        <v>407215.69</v>
      </c>
      <c r="BA218" s="450">
        <v>409275.19</v>
      </c>
      <c r="BB218" s="450">
        <v>415565.04</v>
      </c>
      <c r="BC218" s="450"/>
      <c r="BD218" s="450">
        <v>1022860.99</v>
      </c>
      <c r="BE218" s="450">
        <v>1032466.86</v>
      </c>
      <c r="BF218" s="450">
        <v>1040831.63</v>
      </c>
      <c r="BG218" s="450">
        <v>1045235.932</v>
      </c>
      <c r="BH218" s="450">
        <v>1050281.72</v>
      </c>
      <c r="BI218" s="450">
        <v>1055595.56</v>
      </c>
      <c r="BJ218" s="450">
        <v>1064766.06</v>
      </c>
      <c r="BK218" s="450">
        <v>1073785.44</v>
      </c>
      <c r="BL218" s="450">
        <v>1096168.41</v>
      </c>
      <c r="BM218" s="450">
        <v>1093410.12</v>
      </c>
      <c r="BN218" s="450">
        <v>1106990.71</v>
      </c>
      <c r="BO218" s="450">
        <v>1122727.18</v>
      </c>
      <c r="BP218" s="450">
        <v>1122583.56</v>
      </c>
      <c r="BQ218" s="450">
        <v>0.0</v>
      </c>
      <c r="BR218" s="450">
        <v>0.0</v>
      </c>
      <c r="BS218" s="615">
        <f t="array" ref="BS218">XLOOKUP(D218,'PL TOTAL XP'!A:A,'PL TOTAL XP'!C:C,"0")</f>
        <v>0</v>
      </c>
      <c r="BT218" s="616"/>
    </row>
    <row r="219" ht="15.75" customHeight="1">
      <c r="A219" s="183" t="s">
        <v>3820</v>
      </c>
      <c r="B219" s="78" t="s">
        <v>4475</v>
      </c>
      <c r="C219" s="564" t="s">
        <v>4476</v>
      </c>
      <c r="D219" s="566">
        <v>5975647.0</v>
      </c>
      <c r="E219" s="512" t="s">
        <v>18</v>
      </c>
      <c r="F219" s="609" t="s">
        <v>19</v>
      </c>
      <c r="G219" s="512" t="s">
        <v>256</v>
      </c>
      <c r="H219" s="566" t="str">
        <f>IFERROR(VLOOKUP(G219,'Cadastro de assessores'!A:B,2,FALSE),"Não Cadastrado")</f>
        <v>18009</v>
      </c>
      <c r="I219" s="566"/>
      <c r="J219" s="51" t="s">
        <v>3823</v>
      </c>
      <c r="K219" s="522" t="s">
        <v>107</v>
      </c>
      <c r="L219" s="610">
        <v>44403.0</v>
      </c>
      <c r="M219" s="610">
        <v>44405.0</v>
      </c>
      <c r="N219" s="522"/>
      <c r="O219" s="522" t="s">
        <v>3828</v>
      </c>
      <c r="P219" s="568">
        <v>0.015</v>
      </c>
      <c r="Q219" s="224"/>
      <c r="R219" s="613"/>
      <c r="S219" s="522" t="str">
        <f t="shared" si="22"/>
        <v>Não Qualificado</v>
      </c>
      <c r="T219" s="566" t="s">
        <v>108</v>
      </c>
      <c r="U219" s="566" t="s">
        <v>2619</v>
      </c>
      <c r="V219" s="566" t="s">
        <v>152</v>
      </c>
      <c r="W219" s="468"/>
      <c r="X219" s="468"/>
      <c r="Y219" s="468"/>
      <c r="Z219" s="468"/>
      <c r="AA219" s="468"/>
      <c r="AB219" s="468"/>
      <c r="AC219" s="468"/>
      <c r="AD219" s="468"/>
      <c r="AE219" s="468"/>
      <c r="AF219" s="468"/>
      <c r="AG219" s="468"/>
      <c r="AH219" s="614"/>
      <c r="AI219" s="614"/>
      <c r="AJ219" s="450"/>
      <c r="AK219" s="450"/>
      <c r="AL219" s="450"/>
      <c r="AM219" s="450"/>
      <c r="AN219" s="450"/>
      <c r="AO219" s="450"/>
      <c r="AP219" s="450"/>
      <c r="AQ219" s="450"/>
      <c r="AR219" s="450"/>
      <c r="AS219" s="468"/>
      <c r="AT219" s="449">
        <v>10808.74</v>
      </c>
      <c r="AU219" s="449">
        <v>10709.3</v>
      </c>
      <c r="AV219" s="450">
        <v>50014.2</v>
      </c>
      <c r="AW219" s="450">
        <v>48481.75</v>
      </c>
      <c r="AX219" s="450">
        <v>48462.98</v>
      </c>
      <c r="AY219" s="450">
        <v>12717.95</v>
      </c>
      <c r="AZ219" s="450">
        <v>157.33</v>
      </c>
      <c r="BA219" s="450">
        <v>158.13</v>
      </c>
      <c r="BB219" s="450">
        <v>159.01</v>
      </c>
      <c r="BC219" s="450">
        <v>193521.19</v>
      </c>
      <c r="BD219" s="450">
        <v>173.78</v>
      </c>
      <c r="BE219" s="450">
        <v>175.7</v>
      </c>
      <c r="BF219" s="450">
        <v>176.68</v>
      </c>
      <c r="BG219" s="450">
        <v>177.87</v>
      </c>
      <c r="BH219" s="450">
        <v>178.92</v>
      </c>
      <c r="BI219" s="450">
        <v>180.04</v>
      </c>
      <c r="BJ219" s="450">
        <v>181.5</v>
      </c>
      <c r="BK219" s="450">
        <v>182.54</v>
      </c>
      <c r="BL219" s="450">
        <v>183.88</v>
      </c>
      <c r="BM219" s="450">
        <v>184.9</v>
      </c>
      <c r="BN219" s="450">
        <v>185.32</v>
      </c>
      <c r="BO219" s="450">
        <v>185.32</v>
      </c>
      <c r="BP219" s="450">
        <v>185.32</v>
      </c>
      <c r="BQ219" s="450">
        <v>185.32</v>
      </c>
      <c r="BR219" s="450">
        <v>185.32</v>
      </c>
      <c r="BS219" s="615">
        <f t="array" ref="BS219">XLOOKUP(D219,'PL TOTAL XP'!A:A,'PL TOTAL XP'!C:C,"0")</f>
        <v>0</v>
      </c>
      <c r="BT219" s="616"/>
    </row>
    <row r="220" ht="15.75" customHeight="1">
      <c r="A220" s="183" t="s">
        <v>3820</v>
      </c>
      <c r="B220" s="78" t="s">
        <v>4477</v>
      </c>
      <c r="C220" s="135" t="s">
        <v>4478</v>
      </c>
      <c r="D220" s="45">
        <v>7000733.0</v>
      </c>
      <c r="E220" s="319" t="s">
        <v>18</v>
      </c>
      <c r="F220" s="93" t="s">
        <v>19</v>
      </c>
      <c r="G220" s="319" t="s">
        <v>256</v>
      </c>
      <c r="H220" s="45" t="str">
        <f>IFERROR(VLOOKUP(G220,'Cadastro de assessores'!A:B,2,FALSE),"Não Cadastrado")</f>
        <v>18009</v>
      </c>
      <c r="I220" s="45"/>
      <c r="J220" s="51" t="s">
        <v>3823</v>
      </c>
      <c r="K220" s="275" t="s">
        <v>107</v>
      </c>
      <c r="L220" s="662">
        <v>44712.0</v>
      </c>
      <c r="M220" s="320">
        <v>44712.0</v>
      </c>
      <c r="N220" s="95"/>
      <c r="O220" s="95" t="s">
        <v>4479</v>
      </c>
      <c r="P220" s="117">
        <v>0.012</v>
      </c>
      <c r="Q220" s="663" t="s">
        <v>4480</v>
      </c>
      <c r="R220" s="372"/>
      <c r="S220" s="95" t="str">
        <f t="shared" si="22"/>
        <v/>
      </c>
      <c r="T220" s="95" t="s">
        <v>369</v>
      </c>
      <c r="U220" s="45" t="s">
        <v>4481</v>
      </c>
      <c r="V220" s="45" t="s">
        <v>19</v>
      </c>
      <c r="W220" s="664"/>
      <c r="X220" s="664"/>
      <c r="Y220" s="664"/>
      <c r="Z220" s="664"/>
      <c r="AA220" s="664"/>
      <c r="AB220" s="664"/>
      <c r="AC220" s="664"/>
      <c r="AD220" s="664"/>
      <c r="AE220" s="664"/>
      <c r="AF220" s="664"/>
      <c r="AG220" s="664"/>
      <c r="AH220" s="665"/>
      <c r="AI220" s="665"/>
      <c r="AJ220" s="171"/>
      <c r="AK220" s="171"/>
      <c r="AL220" s="171"/>
      <c r="AM220" s="171"/>
      <c r="AN220" s="171"/>
      <c r="AO220" s="171"/>
      <c r="AP220" s="171"/>
      <c r="AQ220" s="171"/>
      <c r="AR220" s="171"/>
      <c r="AS220" s="664"/>
      <c r="AT220" s="201"/>
      <c r="AU220" s="201"/>
      <c r="AV220" s="171"/>
      <c r="AW220" s="171"/>
      <c r="AX220" s="171"/>
      <c r="AY220" s="171"/>
      <c r="AZ220" s="171"/>
      <c r="BA220" s="171"/>
      <c r="BB220" s="171"/>
      <c r="BC220" s="171"/>
      <c r="BD220" s="171">
        <v>1.555056761E7</v>
      </c>
      <c r="BE220" s="171">
        <v>1.591301109E7</v>
      </c>
      <c r="BF220" s="450">
        <v>1.600420345E7</v>
      </c>
      <c r="BG220" s="450">
        <v>1.616385496E7</v>
      </c>
      <c r="BH220" s="450">
        <v>1.624995404E7</v>
      </c>
      <c r="BI220" s="450">
        <v>1.542487706E7</v>
      </c>
      <c r="BJ220" s="450">
        <v>1.549449778E7</v>
      </c>
      <c r="BK220" s="450">
        <v>1.563129224E7</v>
      </c>
      <c r="BL220" s="450">
        <v>1.580661131E7</v>
      </c>
      <c r="BM220" s="450">
        <v>1.0</v>
      </c>
      <c r="BN220" s="450">
        <v>1.0</v>
      </c>
      <c r="BO220" s="450">
        <v>1.0</v>
      </c>
      <c r="BP220" s="450">
        <v>1.0</v>
      </c>
      <c r="BQ220" s="450">
        <v>1.0</v>
      </c>
      <c r="BR220" s="450">
        <v>1.0</v>
      </c>
      <c r="BS220" s="615">
        <f t="array" ref="BS220">XLOOKUP(D220,'PL TOTAL XP'!A:A,'PL TOTAL XP'!C:C,"0")</f>
        <v>0</v>
      </c>
      <c r="BT220" s="616"/>
    </row>
    <row r="221" ht="15.75" customHeight="1">
      <c r="A221" s="183" t="s">
        <v>3820</v>
      </c>
      <c r="B221" s="78" t="s">
        <v>4477</v>
      </c>
      <c r="C221" s="564" t="s">
        <v>4482</v>
      </c>
      <c r="D221" s="566">
        <v>9020656.0</v>
      </c>
      <c r="E221" s="512" t="s">
        <v>18</v>
      </c>
      <c r="F221" s="609" t="s">
        <v>19</v>
      </c>
      <c r="G221" s="319" t="s">
        <v>256</v>
      </c>
      <c r="H221" s="512" t="str">
        <f>IFERROR(VLOOKUP(G221,'Cadastro de assessores'!A:B,2,FALSE),"Não Cadastrado")</f>
        <v>18009</v>
      </c>
      <c r="I221" s="512"/>
      <c r="J221" s="51" t="s">
        <v>3823</v>
      </c>
      <c r="K221" s="609" t="s">
        <v>147</v>
      </c>
      <c r="L221" s="666">
        <v>44845.0</v>
      </c>
      <c r="M221" s="666">
        <v>44858.0</v>
      </c>
      <c r="N221" s="627"/>
      <c r="O221" s="627" t="s">
        <v>3836</v>
      </c>
      <c r="P221" s="629">
        <v>0.007</v>
      </c>
      <c r="Q221" s="224" t="s">
        <v>4483</v>
      </c>
      <c r="R221" s="613"/>
      <c r="S221" s="522" t="str">
        <f t="shared" si="22"/>
        <v/>
      </c>
      <c r="T221" s="566" t="s">
        <v>108</v>
      </c>
      <c r="U221" s="522" t="s">
        <v>2652</v>
      </c>
      <c r="V221" s="522" t="s">
        <v>19</v>
      </c>
      <c r="W221" s="468"/>
      <c r="X221" s="468"/>
      <c r="Y221" s="468"/>
      <c r="Z221" s="468"/>
      <c r="AA221" s="468"/>
      <c r="AB221" s="468"/>
      <c r="AC221" s="468"/>
      <c r="AD221" s="468"/>
      <c r="AE221" s="468"/>
      <c r="AF221" s="468"/>
      <c r="AG221" s="468"/>
      <c r="AH221" s="468"/>
      <c r="AI221" s="614"/>
      <c r="AJ221" s="450"/>
      <c r="AK221" s="450"/>
      <c r="AL221" s="450"/>
      <c r="AM221" s="450"/>
      <c r="AN221" s="450"/>
      <c r="AO221" s="450"/>
      <c r="AP221" s="450"/>
      <c r="AQ221" s="450"/>
      <c r="AR221" s="450"/>
      <c r="AS221" s="450"/>
      <c r="AT221" s="450"/>
      <c r="AU221" s="468"/>
      <c r="AV221" s="450"/>
      <c r="AW221" s="450"/>
      <c r="AX221" s="450"/>
      <c r="AY221" s="450"/>
      <c r="AZ221" s="450"/>
      <c r="BA221" s="450"/>
      <c r="BB221" s="450"/>
      <c r="BC221" s="450"/>
      <c r="BD221" s="450">
        <v>815908.61</v>
      </c>
      <c r="BE221" s="450">
        <v>497162.95</v>
      </c>
      <c r="BF221" s="450">
        <v>0.0</v>
      </c>
      <c r="BG221" s="450">
        <v>0.0</v>
      </c>
      <c r="BH221" s="450">
        <v>0.0</v>
      </c>
      <c r="BI221" s="450">
        <v>1101190.97</v>
      </c>
      <c r="BJ221" s="450">
        <v>1112072.12</v>
      </c>
      <c r="BK221" s="450">
        <v>1121908.51</v>
      </c>
      <c r="BL221" s="450">
        <v>1130229.72</v>
      </c>
      <c r="BM221" s="450">
        <v>787.61</v>
      </c>
      <c r="BN221" s="450">
        <v>367.75</v>
      </c>
      <c r="BO221" s="450">
        <v>367.75</v>
      </c>
      <c r="BP221" s="450">
        <v>367.75</v>
      </c>
      <c r="BQ221" s="450">
        <v>367.75</v>
      </c>
      <c r="BR221" s="450">
        <v>367.75</v>
      </c>
      <c r="BS221" s="615">
        <f t="array" ref="BS221">XLOOKUP(D221,'PL TOTAL XP'!A:A,'PL TOTAL XP'!C:C,"0")</f>
        <v>0</v>
      </c>
      <c r="BT221" s="616"/>
    </row>
    <row r="222" ht="15.75" customHeight="1">
      <c r="A222" s="183" t="s">
        <v>3820</v>
      </c>
      <c r="B222" s="78" t="s">
        <v>4484</v>
      </c>
      <c r="C222" s="617" t="s">
        <v>4485</v>
      </c>
      <c r="D222" s="522">
        <v>4550654.0</v>
      </c>
      <c r="E222" s="522" t="s">
        <v>105</v>
      </c>
      <c r="F222" s="522" t="s">
        <v>29</v>
      </c>
      <c r="G222" s="522" t="s">
        <v>4486</v>
      </c>
      <c r="H222" s="522" t="str">
        <f>IFERROR(VLOOKUP(G222,'Cadastro de assessores'!A:B,2,FALSE),"Não Cadastrado")</f>
        <v>14244</v>
      </c>
      <c r="I222" s="522"/>
      <c r="J222" s="51" t="s">
        <v>186</v>
      </c>
      <c r="K222" s="522" t="s">
        <v>2563</v>
      </c>
      <c r="L222" s="618">
        <v>44160.0</v>
      </c>
      <c r="M222" s="618">
        <v>44160.0</v>
      </c>
      <c r="N222" s="619">
        <v>44270.0</v>
      </c>
      <c r="O222" s="522" t="s">
        <v>3824</v>
      </c>
      <c r="P222" s="612">
        <v>0.02</v>
      </c>
      <c r="Q222" s="620" t="s">
        <v>4487</v>
      </c>
      <c r="R222" s="613"/>
      <c r="S222" s="522" t="str">
        <f t="shared" si="22"/>
        <v/>
      </c>
      <c r="T222" s="566" t="s">
        <v>108</v>
      </c>
      <c r="U222" s="522" t="s">
        <v>2602</v>
      </c>
      <c r="V222" s="522" t="s">
        <v>29</v>
      </c>
      <c r="W222" s="614" t="s">
        <v>3830</v>
      </c>
      <c r="X222" s="614" t="s">
        <v>3830</v>
      </c>
      <c r="Y222" s="614" t="s">
        <v>3830</v>
      </c>
      <c r="Z222" s="614" t="s">
        <v>3830</v>
      </c>
      <c r="AA222" s="614" t="s">
        <v>3830</v>
      </c>
      <c r="AB222" s="614" t="s">
        <v>3830</v>
      </c>
      <c r="AC222" s="614" t="s">
        <v>3830</v>
      </c>
      <c r="AD222" s="614" t="s">
        <v>3830</v>
      </c>
      <c r="AE222" s="614" t="s">
        <v>3830</v>
      </c>
      <c r="AF222" s="614" t="s">
        <v>3830</v>
      </c>
      <c r="AG222" s="614" t="s">
        <v>3830</v>
      </c>
      <c r="AH222" s="614" t="s">
        <v>3830</v>
      </c>
      <c r="AI222" s="614" t="s">
        <v>3830</v>
      </c>
      <c r="AJ222" s="614" t="s">
        <v>4488</v>
      </c>
      <c r="AK222" s="450">
        <v>168358.98</v>
      </c>
      <c r="AL222" s="450">
        <v>164314.39</v>
      </c>
      <c r="AM222" s="450">
        <v>154978.04</v>
      </c>
      <c r="AN222" s="450">
        <v>154914.04</v>
      </c>
      <c r="AO222" s="450"/>
      <c r="AP222" s="450"/>
      <c r="AQ222" s="450"/>
      <c r="AR222" s="450"/>
      <c r="AS222" s="450"/>
      <c r="AT222" s="450"/>
      <c r="AU222" s="450"/>
      <c r="AV222" s="450"/>
      <c r="AW222" s="450"/>
      <c r="AX222" s="450"/>
      <c r="AY222" s="450"/>
      <c r="AZ222" s="450"/>
      <c r="BA222" s="450">
        <v>0.0</v>
      </c>
      <c r="BB222" s="450">
        <v>0.0</v>
      </c>
      <c r="BC222" s="450">
        <v>-121.24</v>
      </c>
      <c r="BD222" s="450" t="s">
        <v>2566</v>
      </c>
      <c r="BE222" s="450" t="s">
        <v>2566</v>
      </c>
      <c r="BF222" s="450">
        <v>0.0</v>
      </c>
      <c r="BG222" s="450">
        <v>0.0</v>
      </c>
      <c r="BH222" s="450">
        <v>0.0</v>
      </c>
      <c r="BI222" s="450">
        <v>0.0</v>
      </c>
      <c r="BJ222" s="450">
        <v>0.0</v>
      </c>
      <c r="BK222" s="450">
        <v>0.0</v>
      </c>
      <c r="BL222" s="450">
        <v>0.0</v>
      </c>
      <c r="BM222" s="450">
        <v>0.0</v>
      </c>
      <c r="BN222" s="450">
        <v>0.0</v>
      </c>
      <c r="BO222" s="450">
        <v>0.0</v>
      </c>
      <c r="BP222" s="450">
        <v>0.0</v>
      </c>
      <c r="BQ222" s="450">
        <v>0.0</v>
      </c>
      <c r="BR222" s="450">
        <v>0.0</v>
      </c>
      <c r="BS222" s="615" t="str">
        <f t="array" ref="BS222">XLOOKUP(D222,'PL TOTAL XP'!A:A,'PL TOTAL XP'!C:C,"0")</f>
        <v>0</v>
      </c>
      <c r="BT222" s="616"/>
    </row>
    <row r="223" ht="15.75" customHeight="1">
      <c r="A223" s="183" t="s">
        <v>3820</v>
      </c>
      <c r="B223" s="78" t="s">
        <v>4489</v>
      </c>
      <c r="C223" s="617" t="s">
        <v>4490</v>
      </c>
      <c r="D223" s="522">
        <v>3939462.0</v>
      </c>
      <c r="E223" s="522" t="s">
        <v>2550</v>
      </c>
      <c r="F223" s="522" t="s">
        <v>29</v>
      </c>
      <c r="G223" s="522" t="s">
        <v>2550</v>
      </c>
      <c r="H223" s="522" t="str">
        <f>IFERROR(VLOOKUP(G223,'Cadastro de assessores'!A:B,2,FALSE),"Não Cadastrado")</f>
        <v>18986</v>
      </c>
      <c r="I223" s="522"/>
      <c r="J223" s="51" t="s">
        <v>186</v>
      </c>
      <c r="K223" s="522" t="s">
        <v>2563</v>
      </c>
      <c r="L223" s="619">
        <v>43901.0</v>
      </c>
      <c r="M223" s="619">
        <v>43901.0</v>
      </c>
      <c r="N223" s="618">
        <v>44519.0</v>
      </c>
      <c r="O223" s="522" t="s">
        <v>3824</v>
      </c>
      <c r="P223" s="612">
        <v>0.015</v>
      </c>
      <c r="Q223" s="620" t="s">
        <v>4491</v>
      </c>
      <c r="R223" s="613"/>
      <c r="S223" s="522" t="str">
        <f t="shared" si="22"/>
        <v>Não Qualificado</v>
      </c>
      <c r="T223" s="566" t="s">
        <v>108</v>
      </c>
      <c r="U223" s="522" t="s">
        <v>2623</v>
      </c>
      <c r="V223" s="522" t="s">
        <v>29</v>
      </c>
      <c r="W223" s="614" t="s">
        <v>3830</v>
      </c>
      <c r="X223" s="614" t="s">
        <v>3830</v>
      </c>
      <c r="Y223" s="614" t="s">
        <v>3830</v>
      </c>
      <c r="Z223" s="614" t="s">
        <v>3830</v>
      </c>
      <c r="AA223" s="614" t="s">
        <v>4492</v>
      </c>
      <c r="AB223" s="614" t="s">
        <v>4493</v>
      </c>
      <c r="AC223" s="614" t="s">
        <v>4494</v>
      </c>
      <c r="AD223" s="614" t="s">
        <v>4495</v>
      </c>
      <c r="AE223" s="614" t="s">
        <v>4496</v>
      </c>
      <c r="AF223" s="614" t="s">
        <v>4497</v>
      </c>
      <c r="AG223" s="614" t="s">
        <v>4498</v>
      </c>
      <c r="AH223" s="614" t="s">
        <v>4499</v>
      </c>
      <c r="AI223" s="614" t="s">
        <v>4500</v>
      </c>
      <c r="AJ223" s="614" t="s">
        <v>4501</v>
      </c>
      <c r="AK223" s="450">
        <v>282443.84</v>
      </c>
      <c r="AL223" s="450">
        <v>275687.09</v>
      </c>
      <c r="AM223" s="450">
        <v>259964.45</v>
      </c>
      <c r="AN223" s="450">
        <v>259656.53</v>
      </c>
      <c r="AO223" s="450">
        <v>271214.34</v>
      </c>
      <c r="AP223" s="450">
        <v>273522.9</v>
      </c>
      <c r="AQ223" s="450">
        <v>271871.49</v>
      </c>
      <c r="AR223" s="450">
        <v>281623.45</v>
      </c>
      <c r="AS223" s="450">
        <v>277976.58</v>
      </c>
      <c r="AT223" s="450">
        <v>269629.39</v>
      </c>
      <c r="AU223" s="450">
        <v>266862.26</v>
      </c>
      <c r="AV223" s="450">
        <v>257612.57</v>
      </c>
      <c r="AW223" s="450">
        <v>245574.88</v>
      </c>
      <c r="AX223" s="450"/>
      <c r="AY223" s="450"/>
      <c r="AZ223" s="450"/>
      <c r="BA223" s="450">
        <v>0.0</v>
      </c>
      <c r="BB223" s="450">
        <v>0.0</v>
      </c>
      <c r="BC223" s="450">
        <v>175985.74</v>
      </c>
      <c r="BD223" s="450" t="s">
        <v>2566</v>
      </c>
      <c r="BE223" s="450" t="s">
        <v>2566</v>
      </c>
      <c r="BF223" s="450">
        <v>0.0</v>
      </c>
      <c r="BG223" s="450">
        <v>0.0</v>
      </c>
      <c r="BH223" s="450">
        <v>0.0</v>
      </c>
      <c r="BI223" s="450">
        <v>0.0</v>
      </c>
      <c r="BJ223" s="450">
        <v>0.0</v>
      </c>
      <c r="BK223" s="450">
        <v>0.0</v>
      </c>
      <c r="BL223" s="450">
        <v>0.0</v>
      </c>
      <c r="BM223" s="450">
        <v>0.0</v>
      </c>
      <c r="BN223" s="450">
        <v>0.0</v>
      </c>
      <c r="BO223" s="450">
        <v>0.0</v>
      </c>
      <c r="BP223" s="450">
        <v>0.0</v>
      </c>
      <c r="BQ223" s="450">
        <v>0.0</v>
      </c>
      <c r="BR223" s="450">
        <v>0.0</v>
      </c>
      <c r="BS223" s="615" t="str">
        <f t="array" ref="BS223">XLOOKUP(D223,'PL TOTAL XP'!A:A,'PL TOTAL XP'!C:C,"0")</f>
        <v>0</v>
      </c>
      <c r="BT223" s="616"/>
    </row>
    <row r="224" ht="15.75" customHeight="1">
      <c r="A224" s="183" t="s">
        <v>3820</v>
      </c>
      <c r="B224" s="78" t="s">
        <v>4502</v>
      </c>
      <c r="C224" s="617" t="s">
        <v>4503</v>
      </c>
      <c r="D224" s="522">
        <v>4611223.0</v>
      </c>
      <c r="E224" s="522" t="s">
        <v>18</v>
      </c>
      <c r="F224" s="522" t="s">
        <v>29</v>
      </c>
      <c r="G224" s="522" t="s">
        <v>3827</v>
      </c>
      <c r="H224" s="522" t="str">
        <f>IFERROR(VLOOKUP(G224,'Cadastro de assessores'!A:B,2,FALSE),"Não Cadastrado")</f>
        <v>17679</v>
      </c>
      <c r="I224" s="522"/>
      <c r="J224" s="51" t="s">
        <v>186</v>
      </c>
      <c r="K224" s="522" t="s">
        <v>2563</v>
      </c>
      <c r="L224" s="619">
        <v>44167.0</v>
      </c>
      <c r="M224" s="619">
        <v>44167.0</v>
      </c>
      <c r="N224" s="619">
        <v>44229.0</v>
      </c>
      <c r="O224" s="522" t="s">
        <v>3840</v>
      </c>
      <c r="P224" s="612">
        <v>0.025</v>
      </c>
      <c r="Q224" s="620" t="s">
        <v>4504</v>
      </c>
      <c r="R224" s="613"/>
      <c r="S224" s="522" t="str">
        <f t="shared" si="22"/>
        <v>Não Qualificado</v>
      </c>
      <c r="T224" s="566" t="s">
        <v>108</v>
      </c>
      <c r="U224" s="566" t="s">
        <v>4240</v>
      </c>
      <c r="V224" s="566" t="s">
        <v>3672</v>
      </c>
      <c r="W224" s="614" t="s">
        <v>3830</v>
      </c>
      <c r="X224" s="614" t="s">
        <v>3830</v>
      </c>
      <c r="Y224" s="614" t="s">
        <v>3830</v>
      </c>
      <c r="Z224" s="614" t="s">
        <v>3830</v>
      </c>
      <c r="AA224" s="614" t="s">
        <v>3830</v>
      </c>
      <c r="AB224" s="614" t="s">
        <v>3830</v>
      </c>
      <c r="AC224" s="614" t="s">
        <v>3830</v>
      </c>
      <c r="AD224" s="614" t="s">
        <v>3830</v>
      </c>
      <c r="AE224" s="614" t="s">
        <v>3830</v>
      </c>
      <c r="AF224" s="614" t="s">
        <v>3830</v>
      </c>
      <c r="AG224" s="614" t="s">
        <v>3830</v>
      </c>
      <c r="AH224" s="614" t="s">
        <v>3830</v>
      </c>
      <c r="AI224" s="614" t="s">
        <v>3830</v>
      </c>
      <c r="AJ224" s="614" t="s">
        <v>3830</v>
      </c>
      <c r="AK224" s="450">
        <v>537697.27</v>
      </c>
      <c r="AL224" s="450">
        <v>524891.85</v>
      </c>
      <c r="AM224" s="450">
        <v>2302.75</v>
      </c>
      <c r="AN224" s="450">
        <v>2314.81</v>
      </c>
      <c r="AO224" s="450"/>
      <c r="AP224" s="450"/>
      <c r="AQ224" s="450"/>
      <c r="AR224" s="450"/>
      <c r="AS224" s="450"/>
      <c r="AT224" s="450"/>
      <c r="AU224" s="450"/>
      <c r="AV224" s="450"/>
      <c r="AW224" s="450"/>
      <c r="AX224" s="450"/>
      <c r="AY224" s="450"/>
      <c r="AZ224" s="450"/>
      <c r="BA224" s="450">
        <v>0.0</v>
      </c>
      <c r="BB224" s="450">
        <v>0.0</v>
      </c>
      <c r="BC224" s="450">
        <v>180296.32</v>
      </c>
      <c r="BD224" s="450" t="s">
        <v>2566</v>
      </c>
      <c r="BE224" s="450" t="s">
        <v>2566</v>
      </c>
      <c r="BF224" s="450">
        <v>0.0</v>
      </c>
      <c r="BG224" s="450">
        <v>0.0</v>
      </c>
      <c r="BH224" s="450">
        <v>0.0</v>
      </c>
      <c r="BI224" s="450">
        <v>0.0</v>
      </c>
      <c r="BJ224" s="450">
        <v>0.0</v>
      </c>
      <c r="BK224" s="450">
        <v>0.0</v>
      </c>
      <c r="BL224" s="450">
        <v>0.0</v>
      </c>
      <c r="BM224" s="450">
        <v>0.0</v>
      </c>
      <c r="BN224" s="450">
        <v>0.0</v>
      </c>
      <c r="BO224" s="450">
        <v>0.0</v>
      </c>
      <c r="BP224" s="450">
        <v>0.0</v>
      </c>
      <c r="BQ224" s="450">
        <v>0.0</v>
      </c>
      <c r="BR224" s="450">
        <v>0.0</v>
      </c>
      <c r="BS224" s="615" t="str">
        <f t="array" ref="BS224">XLOOKUP(D224,'PL TOTAL XP'!A:A,'PL TOTAL XP'!C:C,"0")</f>
        <v>0</v>
      </c>
      <c r="BT224" s="616"/>
    </row>
    <row r="225" ht="15.75" customHeight="1">
      <c r="A225" s="183" t="s">
        <v>3820</v>
      </c>
      <c r="B225" s="78" t="s">
        <v>1211</v>
      </c>
      <c r="C225" s="645" t="s">
        <v>4505</v>
      </c>
      <c r="D225" s="623">
        <v>2427806.0</v>
      </c>
      <c r="E225" s="609" t="s">
        <v>18</v>
      </c>
      <c r="F225" s="609" t="s">
        <v>19</v>
      </c>
      <c r="G225" s="512" t="s">
        <v>20</v>
      </c>
      <c r="H225" s="512">
        <f>IFERROR(VLOOKUP(G225,'Cadastro de assessores'!A:B,2,FALSE),"Não Cadastrado")</f>
        <v>12331</v>
      </c>
      <c r="I225" s="512"/>
      <c r="J225" s="46" t="s">
        <v>107</v>
      </c>
      <c r="K225" s="512" t="s">
        <v>107</v>
      </c>
      <c r="L225" s="624">
        <v>44615.0</v>
      </c>
      <c r="M225" s="624">
        <v>44615.0</v>
      </c>
      <c r="N225" s="566"/>
      <c r="O225" s="566" t="s">
        <v>3828</v>
      </c>
      <c r="P225" s="568">
        <v>0.015</v>
      </c>
      <c r="Q225" s="506" t="s">
        <v>4506</v>
      </c>
      <c r="R225" s="613"/>
      <c r="S225" s="522" t="str">
        <f t="shared" si="22"/>
        <v>Não Qualificado</v>
      </c>
      <c r="T225" s="566" t="s">
        <v>108</v>
      </c>
      <c r="U225" s="522" t="s">
        <v>2652</v>
      </c>
      <c r="V225" s="522" t="s">
        <v>19</v>
      </c>
      <c r="W225" s="614"/>
      <c r="X225" s="614"/>
      <c r="Y225" s="614"/>
      <c r="Z225" s="614"/>
      <c r="AA225" s="614"/>
      <c r="AB225" s="614"/>
      <c r="AC225" s="614"/>
      <c r="AD225" s="614"/>
      <c r="AE225" s="614"/>
      <c r="AF225" s="614"/>
      <c r="AG225" s="614"/>
      <c r="AH225" s="614"/>
      <c r="AI225" s="614"/>
      <c r="AJ225" s="614"/>
      <c r="AK225" s="450"/>
      <c r="AL225" s="450"/>
      <c r="AM225" s="450"/>
      <c r="AN225" s="450"/>
      <c r="AO225" s="450"/>
      <c r="AP225" s="450"/>
      <c r="AQ225" s="450"/>
      <c r="AR225" s="450"/>
      <c r="AS225" s="450"/>
      <c r="AT225" s="450"/>
      <c r="AU225" s="450"/>
      <c r="AV225" s="450"/>
      <c r="AW225" s="450"/>
      <c r="AX225" s="450"/>
      <c r="AY225" s="450"/>
      <c r="AZ225" s="450"/>
      <c r="BA225" s="450">
        <v>1368272.15</v>
      </c>
      <c r="BB225" s="450">
        <v>1309535.11</v>
      </c>
      <c r="BC225" s="450">
        <v>58310.35</v>
      </c>
      <c r="BD225" s="450">
        <v>1258621.47</v>
      </c>
      <c r="BE225" s="450">
        <v>1310569.1</v>
      </c>
      <c r="BF225" s="450">
        <v>1329305.78</v>
      </c>
      <c r="BG225" s="450">
        <v>1347425.611</v>
      </c>
      <c r="BH225" s="450">
        <v>1364370.24</v>
      </c>
      <c r="BI225" s="450">
        <v>1391709.54</v>
      </c>
      <c r="BJ225" s="450">
        <v>1402503.38</v>
      </c>
      <c r="BK225" s="450">
        <v>1403768.74</v>
      </c>
      <c r="BL225" s="450">
        <v>1447728.63</v>
      </c>
      <c r="BM225" s="450">
        <v>264349.13</v>
      </c>
      <c r="BN225" s="450">
        <v>161811.78</v>
      </c>
      <c r="BO225" s="450">
        <v>164961.96</v>
      </c>
      <c r="BP225" s="450">
        <v>163909.6</v>
      </c>
      <c r="BQ225" s="450">
        <v>164981.06</v>
      </c>
      <c r="BR225" s="450">
        <v>166976.73</v>
      </c>
      <c r="BS225" s="615">
        <f t="array" ref="BS225">XLOOKUP(D225,'PL TOTAL XP'!A:A,'PL TOTAL XP'!C:C,"0")</f>
        <v>57335.53</v>
      </c>
      <c r="BT225" s="616"/>
    </row>
    <row r="226" ht="15.75" customHeight="1">
      <c r="A226" s="183" t="s">
        <v>3820</v>
      </c>
      <c r="B226" s="78" t="s">
        <v>3734</v>
      </c>
      <c r="C226" s="621" t="s">
        <v>4507</v>
      </c>
      <c r="D226" s="512">
        <v>4847953.0</v>
      </c>
      <c r="E226" s="512" t="s">
        <v>18</v>
      </c>
      <c r="F226" s="512" t="s">
        <v>29</v>
      </c>
      <c r="G226" s="512" t="s">
        <v>2803</v>
      </c>
      <c r="H226" s="512" t="str">
        <f>IFERROR(VLOOKUP(G226,'Cadastro de assessores'!A:B,2,FALSE),"Não Cadastrado")</f>
        <v>18236</v>
      </c>
      <c r="I226" s="512"/>
      <c r="J226" s="46" t="s">
        <v>107</v>
      </c>
      <c r="K226" s="512" t="s">
        <v>107</v>
      </c>
      <c r="L226" s="610">
        <v>44294.0</v>
      </c>
      <c r="M226" s="610">
        <v>44294.0</v>
      </c>
      <c r="N226" s="522"/>
      <c r="O226" s="522" t="s">
        <v>4508</v>
      </c>
      <c r="P226" s="612">
        <v>0.015</v>
      </c>
      <c r="Q226" s="620"/>
      <c r="R226" s="613"/>
      <c r="S226" s="522" t="str">
        <f t="shared" si="22"/>
        <v>Qualificado</v>
      </c>
      <c r="T226" s="522" t="s">
        <v>369</v>
      </c>
      <c r="U226" s="522" t="s">
        <v>2591</v>
      </c>
      <c r="V226" s="522" t="s">
        <v>29</v>
      </c>
      <c r="W226" s="614"/>
      <c r="X226" s="614"/>
      <c r="Y226" s="614"/>
      <c r="Z226" s="614"/>
      <c r="AA226" s="614"/>
      <c r="AB226" s="614"/>
      <c r="AC226" s="614"/>
      <c r="AD226" s="614"/>
      <c r="AE226" s="614"/>
      <c r="AF226" s="614"/>
      <c r="AG226" s="614"/>
      <c r="AH226" s="614"/>
      <c r="AI226" s="614"/>
      <c r="AJ226" s="614"/>
      <c r="AK226" s="450"/>
      <c r="AL226" s="450"/>
      <c r="AM226" s="450"/>
      <c r="AN226" s="450" t="s">
        <v>2600</v>
      </c>
      <c r="AO226" s="450"/>
      <c r="AP226" s="450">
        <v>489673.1</v>
      </c>
      <c r="AQ226" s="450">
        <v>484924.49</v>
      </c>
      <c r="AR226" s="450">
        <v>897104.87</v>
      </c>
      <c r="AS226" s="450">
        <v>886111.6</v>
      </c>
      <c r="AT226" s="450">
        <v>860635.19</v>
      </c>
      <c r="AU226" s="450">
        <v>821667.27</v>
      </c>
      <c r="AV226" s="450">
        <v>797412.36</v>
      </c>
      <c r="AW226" s="450">
        <v>766173.59</v>
      </c>
      <c r="AX226" s="450">
        <v>764728.31</v>
      </c>
      <c r="AY226" s="450">
        <v>732812.88</v>
      </c>
      <c r="AZ226" s="450">
        <v>759391.56</v>
      </c>
      <c r="BA226" s="450">
        <v>766723.56</v>
      </c>
      <c r="BB226" s="450">
        <v>775063.32</v>
      </c>
      <c r="BC226" s="450">
        <v>1824145.67</v>
      </c>
      <c r="BD226" s="450">
        <v>698782.5</v>
      </c>
      <c r="BE226" s="450">
        <v>693179.61</v>
      </c>
      <c r="BF226" s="450">
        <v>710009.63</v>
      </c>
      <c r="BG226" s="450">
        <v>700888.4296</v>
      </c>
      <c r="BH226" s="450">
        <v>690664.78</v>
      </c>
      <c r="BI226" s="450">
        <v>705486.51</v>
      </c>
      <c r="BJ226" s="450">
        <v>687229.21</v>
      </c>
      <c r="BK226" s="450">
        <v>691532.45</v>
      </c>
      <c r="BL226" s="450">
        <v>638426.04</v>
      </c>
      <c r="BM226" s="450">
        <v>333269.51</v>
      </c>
      <c r="BN226" s="450">
        <v>213184.18</v>
      </c>
      <c r="BO226" s="450">
        <v>173647.0</v>
      </c>
      <c r="BP226" s="450">
        <v>160303.66</v>
      </c>
      <c r="BQ226" s="450">
        <v>145963.91</v>
      </c>
      <c r="BR226" s="450">
        <v>12404.26</v>
      </c>
      <c r="BS226" s="615">
        <f t="array" ref="BS226">XLOOKUP(D226,'PL TOTAL XP'!A:A,'PL TOTAL XP'!C:C,"0")</f>
        <v>108148.44</v>
      </c>
      <c r="BT226" s="616"/>
    </row>
    <row r="227" ht="15.75" customHeight="1">
      <c r="A227" s="183" t="s">
        <v>3820</v>
      </c>
      <c r="B227" s="78" t="s">
        <v>4509</v>
      </c>
      <c r="C227" s="645" t="s">
        <v>4510</v>
      </c>
      <c r="D227" s="566">
        <v>3029846.0</v>
      </c>
      <c r="E227" s="512" t="s">
        <v>18</v>
      </c>
      <c r="F227" s="609" t="s">
        <v>19</v>
      </c>
      <c r="G227" s="512" t="s">
        <v>4152</v>
      </c>
      <c r="H227" s="512" t="str">
        <f>IFERROR(VLOOKUP(G227,'Cadastro de assessores'!A:B,2,FALSE),"Não Cadastrado")</f>
        <v>14294</v>
      </c>
      <c r="I227" s="512"/>
      <c r="J227" s="51" t="s">
        <v>147</v>
      </c>
      <c r="K227" s="522" t="s">
        <v>107</v>
      </c>
      <c r="L227" s="610">
        <v>44460.0</v>
      </c>
      <c r="M227" s="610">
        <v>44469.0</v>
      </c>
      <c r="N227" s="566"/>
      <c r="O227" s="566" t="s">
        <v>3824</v>
      </c>
      <c r="P227" s="629">
        <v>0.02</v>
      </c>
      <c r="Q227" s="224" t="s">
        <v>4511</v>
      </c>
      <c r="R227" s="613"/>
      <c r="S227" s="522" t="str">
        <f t="shared" si="22"/>
        <v>Não Qualificado</v>
      </c>
      <c r="T227" s="566" t="s">
        <v>108</v>
      </c>
      <c r="U227" s="566" t="s">
        <v>4512</v>
      </c>
      <c r="V227" s="566" t="s">
        <v>34</v>
      </c>
      <c r="W227" s="468"/>
      <c r="X227" s="468"/>
      <c r="Y227" s="468"/>
      <c r="Z227" s="468"/>
      <c r="AA227" s="468"/>
      <c r="AB227" s="468"/>
      <c r="AC227" s="468"/>
      <c r="AD227" s="468"/>
      <c r="AE227" s="468"/>
      <c r="AF227" s="468"/>
      <c r="AG227" s="614"/>
      <c r="AH227" s="614"/>
      <c r="AI227" s="614"/>
      <c r="AJ227" s="450"/>
      <c r="AK227" s="450"/>
      <c r="AL227" s="450"/>
      <c r="AM227" s="450"/>
      <c r="AN227" s="450"/>
      <c r="AO227" s="450"/>
      <c r="AP227" s="450"/>
      <c r="AQ227" s="450"/>
      <c r="AR227" s="450"/>
      <c r="AS227" s="450"/>
      <c r="AT227" s="450"/>
      <c r="AU227" s="468"/>
      <c r="AV227" s="450"/>
      <c r="AW227" s="450">
        <v>424175.54</v>
      </c>
      <c r="AX227" s="450">
        <v>422659.34</v>
      </c>
      <c r="AY227" s="450">
        <v>428866.15</v>
      </c>
      <c r="AZ227" s="450">
        <v>447627.06</v>
      </c>
      <c r="BA227" s="450">
        <v>451338.04</v>
      </c>
      <c r="BB227" s="450">
        <v>216.63</v>
      </c>
      <c r="BC227" s="450">
        <v>57553.98</v>
      </c>
      <c r="BD227" s="450">
        <v>743.59</v>
      </c>
      <c r="BE227" s="450" t="s">
        <v>2566</v>
      </c>
      <c r="BF227" s="450">
        <v>1081.03</v>
      </c>
      <c r="BG227" s="450">
        <v>1090.76</v>
      </c>
      <c r="BH227" s="450">
        <v>1099.35</v>
      </c>
      <c r="BI227" s="450">
        <v>1108.5</v>
      </c>
      <c r="BJ227" s="450">
        <v>1117.55</v>
      </c>
      <c r="BK227" s="450">
        <v>1127.67</v>
      </c>
      <c r="BL227" s="450">
        <v>1138.64</v>
      </c>
      <c r="BM227" s="450">
        <v>1147.47</v>
      </c>
      <c r="BN227" s="450">
        <v>1150.44</v>
      </c>
      <c r="BO227" s="450">
        <v>1157.06</v>
      </c>
      <c r="BP227" s="450">
        <v>1167.85</v>
      </c>
      <c r="BQ227" s="450">
        <v>1176.15</v>
      </c>
      <c r="BR227" s="450">
        <v>1188.2</v>
      </c>
      <c r="BS227" s="615">
        <f t="array" ref="BS227">XLOOKUP(D227,'PL TOTAL XP'!A:A,'PL TOTAL XP'!C:C,"0")</f>
        <v>1291.66</v>
      </c>
      <c r="BT227" s="616"/>
    </row>
    <row r="228" ht="15.75" customHeight="1">
      <c r="A228" s="183" t="s">
        <v>3820</v>
      </c>
      <c r="B228" s="78" t="s">
        <v>1214</v>
      </c>
      <c r="C228" s="617" t="s">
        <v>1212</v>
      </c>
      <c r="D228" s="522">
        <v>4793812.0</v>
      </c>
      <c r="E228" s="512" t="s">
        <v>18</v>
      </c>
      <c r="F228" s="512" t="s">
        <v>29</v>
      </c>
      <c r="G228" s="512" t="s">
        <v>168</v>
      </c>
      <c r="H228" s="512">
        <f>IFERROR(VLOOKUP(G228,'Cadastro de assessores'!A:B,2,FALSE),"Não Cadastrado")</f>
        <v>12344</v>
      </c>
      <c r="I228" s="512"/>
      <c r="J228" s="51" t="s">
        <v>3823</v>
      </c>
      <c r="K228" s="512" t="s">
        <v>107</v>
      </c>
      <c r="L228" s="610">
        <v>44217.0</v>
      </c>
      <c r="M228" s="610">
        <v>44217.0</v>
      </c>
      <c r="N228" s="522"/>
      <c r="O228" s="522" t="s">
        <v>4347</v>
      </c>
      <c r="P228" s="612">
        <v>0.002</v>
      </c>
      <c r="Q228" s="620" t="s">
        <v>4513</v>
      </c>
      <c r="R228" s="613"/>
      <c r="S228" s="522" t="str">
        <f t="shared" si="22"/>
        <v>Não Qualificado</v>
      </c>
      <c r="T228" s="522" t="s">
        <v>369</v>
      </c>
      <c r="U228" s="522" t="s">
        <v>2591</v>
      </c>
      <c r="V228" s="522" t="s">
        <v>29</v>
      </c>
      <c r="W228" s="614"/>
      <c r="X228" s="614"/>
      <c r="Y228" s="614"/>
      <c r="Z228" s="614"/>
      <c r="AA228" s="614"/>
      <c r="AB228" s="614"/>
      <c r="AC228" s="614"/>
      <c r="AD228" s="614"/>
      <c r="AE228" s="614"/>
      <c r="AF228" s="614"/>
      <c r="AG228" s="614"/>
      <c r="AH228" s="614"/>
      <c r="AI228" s="614"/>
      <c r="AJ228" s="614"/>
      <c r="AK228" s="450"/>
      <c r="AL228" s="450">
        <v>299461.32</v>
      </c>
      <c r="AM228" s="450">
        <v>294981.82</v>
      </c>
      <c r="AN228" s="450">
        <v>295732.35</v>
      </c>
      <c r="AO228" s="450">
        <v>299975.32</v>
      </c>
      <c r="AP228" s="450">
        <v>317078.7</v>
      </c>
      <c r="AQ228" s="450">
        <v>316413.89</v>
      </c>
      <c r="AR228" s="450">
        <v>320412.46</v>
      </c>
      <c r="AS228" s="450">
        <v>319547.97</v>
      </c>
      <c r="AT228" s="450">
        <v>316956.66</v>
      </c>
      <c r="AU228" s="450">
        <v>316644.15</v>
      </c>
      <c r="AV228" s="450">
        <v>314834.02</v>
      </c>
      <c r="AW228" s="450">
        <v>305898.46</v>
      </c>
      <c r="AX228" s="450">
        <v>307558.07</v>
      </c>
      <c r="AY228" s="450">
        <v>155192.07</v>
      </c>
      <c r="AZ228" s="450">
        <v>159219.1</v>
      </c>
      <c r="BA228" s="450">
        <v>551845.16</v>
      </c>
      <c r="BB228" s="450">
        <v>638718.55</v>
      </c>
      <c r="BC228" s="450">
        <v>28495.55</v>
      </c>
      <c r="BD228" s="450">
        <v>612387.43</v>
      </c>
      <c r="BE228" s="450">
        <v>647091.09</v>
      </c>
      <c r="BF228" s="450">
        <v>651956.57</v>
      </c>
      <c r="BG228" s="450">
        <v>654821.2143</v>
      </c>
      <c r="BH228" s="450">
        <v>661131.42</v>
      </c>
      <c r="BI228" s="450">
        <v>665931.75</v>
      </c>
      <c r="BJ228" s="450">
        <v>671387.67</v>
      </c>
      <c r="BK228" s="450">
        <v>542334.02</v>
      </c>
      <c r="BL228" s="450">
        <v>347531.93</v>
      </c>
      <c r="BM228" s="450">
        <v>350382.2</v>
      </c>
      <c r="BN228" s="450">
        <v>353628.45</v>
      </c>
      <c r="BO228" s="450">
        <v>0.0</v>
      </c>
      <c r="BP228" s="450">
        <v>0.0</v>
      </c>
      <c r="BQ228" s="450">
        <v>0.0</v>
      </c>
      <c r="BR228" s="450">
        <v>0.0</v>
      </c>
      <c r="BS228" s="615">
        <f t="array" ref="BS228">XLOOKUP(D228,'PL TOTAL XP'!A:A,'PL TOTAL XP'!C:C,"0")</f>
        <v>0</v>
      </c>
      <c r="BT228" s="616"/>
    </row>
    <row r="229" ht="15.75" customHeight="1">
      <c r="A229" s="183" t="s">
        <v>3820</v>
      </c>
      <c r="B229" s="78" t="s">
        <v>1214</v>
      </c>
      <c r="C229" s="617" t="s">
        <v>1212</v>
      </c>
      <c r="D229" s="522">
        <v>4783402.0</v>
      </c>
      <c r="E229" s="512" t="s">
        <v>18</v>
      </c>
      <c r="F229" s="512" t="s">
        <v>29</v>
      </c>
      <c r="G229" s="512" t="s">
        <v>168</v>
      </c>
      <c r="H229" s="512">
        <f>IFERROR(VLOOKUP(G229,'Cadastro de assessores'!A:B,2,FALSE),"Não Cadastrado")</f>
        <v>12344</v>
      </c>
      <c r="I229" s="512"/>
      <c r="J229" s="51" t="s">
        <v>3823</v>
      </c>
      <c r="K229" s="522" t="s">
        <v>107</v>
      </c>
      <c r="L229" s="610">
        <v>44218.0</v>
      </c>
      <c r="M229" s="610">
        <v>44218.0</v>
      </c>
      <c r="N229" s="522"/>
      <c r="O229" s="522" t="s">
        <v>3828</v>
      </c>
      <c r="P229" s="612">
        <v>0.015</v>
      </c>
      <c r="Q229" s="620"/>
      <c r="R229" s="613"/>
      <c r="S229" s="522" t="str">
        <f t="shared" si="22"/>
        <v/>
      </c>
      <c r="T229" s="522" t="s">
        <v>369</v>
      </c>
      <c r="U229" s="522" t="s">
        <v>2591</v>
      </c>
      <c r="V229" s="522" t="s">
        <v>29</v>
      </c>
      <c r="W229" s="614"/>
      <c r="X229" s="614"/>
      <c r="Y229" s="614"/>
      <c r="Z229" s="614"/>
      <c r="AA229" s="614"/>
      <c r="AB229" s="614"/>
      <c r="AC229" s="614"/>
      <c r="AD229" s="614"/>
      <c r="AE229" s="614"/>
      <c r="AF229" s="614"/>
      <c r="AG229" s="614"/>
      <c r="AH229" s="614"/>
      <c r="AI229" s="614"/>
      <c r="AJ229" s="614"/>
      <c r="AK229" s="450"/>
      <c r="AL229" s="450">
        <v>99631.9</v>
      </c>
      <c r="AM229" s="450">
        <v>96684.29</v>
      </c>
      <c r="AN229" s="450">
        <v>96971.63</v>
      </c>
      <c r="AO229" s="450">
        <v>99955.2</v>
      </c>
      <c r="AP229" s="450">
        <v>84011.65</v>
      </c>
      <c r="AQ229" s="450">
        <v>83555.93</v>
      </c>
      <c r="AR229" s="450">
        <v>85584.44</v>
      </c>
      <c r="AS229" s="450">
        <v>84981.77</v>
      </c>
      <c r="AT229" s="450">
        <v>83234.42</v>
      </c>
      <c r="AU229" s="450">
        <v>82714.85</v>
      </c>
      <c r="AV229" s="450">
        <v>81255.43</v>
      </c>
      <c r="AW229" s="450">
        <v>78731.54</v>
      </c>
      <c r="AX229" s="450">
        <v>78901.18</v>
      </c>
      <c r="AY229" s="450">
        <v>23911.74</v>
      </c>
      <c r="AZ229" s="450">
        <v>25554.34</v>
      </c>
      <c r="BA229" s="450">
        <v>25943.59</v>
      </c>
      <c r="BB229" s="450">
        <v>26117.05</v>
      </c>
      <c r="BC229" s="450"/>
      <c r="BD229" s="450">
        <v>26385.81</v>
      </c>
      <c r="BE229" s="450">
        <v>27.86</v>
      </c>
      <c r="BF229" s="450">
        <v>28.67</v>
      </c>
      <c r="BG229" s="450">
        <v>28.67</v>
      </c>
      <c r="BH229" s="450">
        <v>28.67</v>
      </c>
      <c r="BI229" s="450">
        <v>28.67</v>
      </c>
      <c r="BJ229" s="450">
        <v>28.67</v>
      </c>
      <c r="BK229" s="450">
        <v>28.67</v>
      </c>
      <c r="BL229" s="450">
        <v>0.0</v>
      </c>
      <c r="BM229" s="450">
        <v>0.0</v>
      </c>
      <c r="BN229" s="450">
        <v>0.0</v>
      </c>
      <c r="BO229" s="450">
        <v>0.0</v>
      </c>
      <c r="BP229" s="450">
        <v>0.0</v>
      </c>
      <c r="BQ229" s="450">
        <v>0.0</v>
      </c>
      <c r="BR229" s="450">
        <v>0.0</v>
      </c>
      <c r="BS229" s="615">
        <f t="array" ref="BS229">XLOOKUP(D229,'PL TOTAL XP'!A:A,'PL TOTAL XP'!C:C,"0")</f>
        <v>0</v>
      </c>
      <c r="BT229" s="616"/>
    </row>
    <row r="230" ht="15.75" customHeight="1">
      <c r="A230" s="183" t="s">
        <v>3820</v>
      </c>
      <c r="B230" s="78" t="s">
        <v>1217</v>
      </c>
      <c r="C230" s="564" t="s">
        <v>4514</v>
      </c>
      <c r="D230" s="623">
        <v>8392987.0</v>
      </c>
      <c r="E230" s="512" t="s">
        <v>18</v>
      </c>
      <c r="F230" s="512" t="s">
        <v>29</v>
      </c>
      <c r="G230" s="512" t="s">
        <v>168</v>
      </c>
      <c r="H230" s="609">
        <f>IFERROR(VLOOKUP(G230,'Cadastro de assessores'!A:B,2,FALSE),"Não Cadastrado")</f>
        <v>12344</v>
      </c>
      <c r="I230" s="609"/>
      <c r="J230" s="51" t="s">
        <v>3823</v>
      </c>
      <c r="K230" s="512" t="s">
        <v>107</v>
      </c>
      <c r="L230" s="610">
        <v>44669.0</v>
      </c>
      <c r="M230" s="610">
        <v>44670.0</v>
      </c>
      <c r="N230" s="566"/>
      <c r="O230" s="566" t="s">
        <v>3834</v>
      </c>
      <c r="P230" s="612">
        <v>0.007</v>
      </c>
      <c r="Q230" s="482" t="s">
        <v>4515</v>
      </c>
      <c r="R230" s="613"/>
      <c r="S230" s="522" t="str">
        <f t="shared" si="22"/>
        <v/>
      </c>
      <c r="T230" s="522" t="s">
        <v>108</v>
      </c>
      <c r="U230" s="522" t="s">
        <v>2591</v>
      </c>
      <c r="V230" s="522" t="s">
        <v>29</v>
      </c>
      <c r="W230" s="468"/>
      <c r="X230" s="468"/>
      <c r="Y230" s="468"/>
      <c r="Z230" s="468"/>
      <c r="AA230" s="468"/>
      <c r="AB230" s="468"/>
      <c r="AC230" s="468"/>
      <c r="AD230" s="468"/>
      <c r="AE230" s="468"/>
      <c r="AF230" s="468"/>
      <c r="AG230" s="614"/>
      <c r="AH230" s="614"/>
      <c r="AI230" s="614"/>
      <c r="AJ230" s="450"/>
      <c r="AK230" s="450"/>
      <c r="AL230" s="450"/>
      <c r="AM230" s="450"/>
      <c r="AN230" s="450"/>
      <c r="AO230" s="450"/>
      <c r="AP230" s="450"/>
      <c r="AQ230" s="450"/>
      <c r="AR230" s="450"/>
      <c r="AS230" s="450"/>
      <c r="AT230" s="450"/>
      <c r="AU230" s="450"/>
      <c r="AV230" s="450"/>
      <c r="AW230" s="450"/>
      <c r="AX230" s="450"/>
      <c r="AY230" s="450"/>
      <c r="AZ230" s="450"/>
      <c r="BA230" s="450"/>
      <c r="BB230" s="450"/>
      <c r="BC230" s="450"/>
      <c r="BD230" s="450">
        <v>151863.19</v>
      </c>
      <c r="BE230" s="450">
        <v>152652.64</v>
      </c>
      <c r="BF230" s="450">
        <v>153032.54</v>
      </c>
      <c r="BG230" s="450">
        <v>215473.142</v>
      </c>
      <c r="BH230" s="450">
        <v>217116.57</v>
      </c>
      <c r="BI230" s="450">
        <v>673383.21</v>
      </c>
      <c r="BJ230" s="450">
        <v>678722.84</v>
      </c>
      <c r="BK230" s="450">
        <v>685853.93</v>
      </c>
      <c r="BL230" s="450">
        <v>686090.72</v>
      </c>
      <c r="BM230" s="450">
        <v>5784.11</v>
      </c>
      <c r="BN230" s="450">
        <v>0.16</v>
      </c>
      <c r="BO230" s="450">
        <v>0.16</v>
      </c>
      <c r="BP230" s="450">
        <v>0.16</v>
      </c>
      <c r="BQ230" s="450">
        <v>0.16</v>
      </c>
      <c r="BR230" s="450">
        <v>0.16</v>
      </c>
      <c r="BS230" s="615">
        <f t="array" ref="BS230">XLOOKUP(D230,'PL TOTAL XP'!A:A,'PL TOTAL XP'!C:C,"0")</f>
        <v>0</v>
      </c>
      <c r="BT230" s="616"/>
    </row>
    <row r="231" ht="15.75" customHeight="1">
      <c r="A231" s="183" t="s">
        <v>3820</v>
      </c>
      <c r="B231" s="78" t="s">
        <v>4516</v>
      </c>
      <c r="C231" s="564" t="s">
        <v>4517</v>
      </c>
      <c r="D231" s="609">
        <v>4423520.0</v>
      </c>
      <c r="E231" s="512" t="s">
        <v>18</v>
      </c>
      <c r="F231" s="609" t="s">
        <v>29</v>
      </c>
      <c r="G231" s="609" t="s">
        <v>2931</v>
      </c>
      <c r="H231" s="609" t="str">
        <f>IFERROR(VLOOKUP(G231,'Cadastro de assessores'!A:B,2,FALSE),"Não Cadastrado")</f>
        <v>13444</v>
      </c>
      <c r="I231" s="609"/>
      <c r="J231" s="46" t="s">
        <v>107</v>
      </c>
      <c r="K231" s="512" t="s">
        <v>107</v>
      </c>
      <c r="L231" s="610">
        <v>44372.0</v>
      </c>
      <c r="M231" s="610">
        <v>44372.0</v>
      </c>
      <c r="N231" s="566"/>
      <c r="O231" s="566" t="s">
        <v>4037</v>
      </c>
      <c r="P231" s="612">
        <v>0.02</v>
      </c>
      <c r="Q231" s="482"/>
      <c r="R231" s="613"/>
      <c r="S231" s="522" t="str">
        <f t="shared" si="22"/>
        <v/>
      </c>
      <c r="T231" s="566" t="s">
        <v>369</v>
      </c>
      <c r="U231" s="566" t="s">
        <v>4038</v>
      </c>
      <c r="V231" s="566" t="s">
        <v>34</v>
      </c>
      <c r="W231" s="468"/>
      <c r="X231" s="468"/>
      <c r="Y231" s="468"/>
      <c r="Z231" s="468"/>
      <c r="AA231" s="468"/>
      <c r="AB231" s="468"/>
      <c r="AC231" s="468"/>
      <c r="AD231" s="468"/>
      <c r="AE231" s="468"/>
      <c r="AF231" s="468"/>
      <c r="AG231" s="468"/>
      <c r="AH231" s="468"/>
      <c r="AI231" s="614"/>
      <c r="AJ231" s="450"/>
      <c r="AK231" s="450"/>
      <c r="AL231" s="450"/>
      <c r="AM231" s="450"/>
      <c r="AN231" s="450"/>
      <c r="AO231" s="450"/>
      <c r="AP231" s="450"/>
      <c r="AQ231" s="450"/>
      <c r="AR231" s="468"/>
      <c r="AS231" s="450">
        <v>134497.91</v>
      </c>
      <c r="AT231" s="450">
        <v>125466.92</v>
      </c>
      <c r="AU231" s="450">
        <v>123202.98</v>
      </c>
      <c r="AV231" s="450">
        <v>114790.23</v>
      </c>
      <c r="AW231" s="450">
        <v>102272.86</v>
      </c>
      <c r="AX231" s="450">
        <v>92953.19</v>
      </c>
      <c r="AY231" s="450">
        <v>96606.35</v>
      </c>
      <c r="AZ231" s="450">
        <v>99810.25</v>
      </c>
      <c r="BA231" s="450">
        <v>102636.32</v>
      </c>
      <c r="BB231" s="450">
        <v>107472.64</v>
      </c>
      <c r="BC231" s="450">
        <v>0.0</v>
      </c>
      <c r="BD231" s="450">
        <v>102540.48</v>
      </c>
      <c r="BE231" s="450">
        <v>86702.67</v>
      </c>
      <c r="BF231" s="450">
        <v>71731.12</v>
      </c>
      <c r="BG231" s="450">
        <v>76435.55</v>
      </c>
      <c r="BH231" s="450">
        <v>485.56</v>
      </c>
      <c r="BI231" s="450">
        <v>1048.53</v>
      </c>
      <c r="BJ231" s="450">
        <v>1128.43</v>
      </c>
      <c r="BK231" s="450">
        <v>1196.06</v>
      </c>
      <c r="BL231" s="450">
        <v>1127.11</v>
      </c>
      <c r="BM231" s="450">
        <v>1129.8</v>
      </c>
      <c r="BN231" s="450">
        <v>1130.7</v>
      </c>
      <c r="BO231" s="450">
        <v>1137.32</v>
      </c>
      <c r="BP231" s="450">
        <v>1151.46</v>
      </c>
      <c r="BQ231" s="450">
        <v>1159.76</v>
      </c>
      <c r="BR231" s="450">
        <v>1171.81</v>
      </c>
      <c r="BS231" s="615">
        <f t="array" ref="BS231">XLOOKUP(D231,'PL TOTAL XP'!A:A,'PL TOTAL XP'!C:C,"0")</f>
        <v>1141.22</v>
      </c>
      <c r="BT231" s="616"/>
    </row>
    <row r="232" ht="15.75" customHeight="1">
      <c r="A232" s="183" t="s">
        <v>3820</v>
      </c>
      <c r="B232" s="78" t="s">
        <v>1220</v>
      </c>
      <c r="C232" s="617" t="s">
        <v>1218</v>
      </c>
      <c r="D232" s="522">
        <v>8765907.0</v>
      </c>
      <c r="E232" s="522" t="s">
        <v>18</v>
      </c>
      <c r="F232" s="522" t="s">
        <v>19</v>
      </c>
      <c r="G232" s="522" t="s">
        <v>122</v>
      </c>
      <c r="H232" s="512" t="str">
        <f>IFERROR(VLOOKUP(G232,'Cadastro de assessores'!A:B,2,FALSE),"Não Cadastrado")</f>
        <v>18890</v>
      </c>
      <c r="I232" s="512"/>
      <c r="J232" s="51" t="s">
        <v>3823</v>
      </c>
      <c r="K232" s="522" t="s">
        <v>107</v>
      </c>
      <c r="L232" s="619">
        <v>44721.0</v>
      </c>
      <c r="M232" s="619">
        <v>44727.0</v>
      </c>
      <c r="N232" s="619"/>
      <c r="O232" s="522" t="s">
        <v>3836</v>
      </c>
      <c r="P232" s="612">
        <v>0.012</v>
      </c>
      <c r="Q232" s="620" t="s">
        <v>4518</v>
      </c>
      <c r="R232" s="613"/>
      <c r="S232" s="522"/>
      <c r="T232" s="522" t="s">
        <v>108</v>
      </c>
      <c r="U232" s="522" t="s">
        <v>2652</v>
      </c>
      <c r="V232" s="522" t="s">
        <v>19</v>
      </c>
      <c r="W232" s="468"/>
      <c r="X232" s="468"/>
      <c r="Y232" s="468"/>
      <c r="Z232" s="468"/>
      <c r="AA232" s="468"/>
      <c r="AB232" s="468"/>
      <c r="AC232" s="468"/>
      <c r="AD232" s="468"/>
      <c r="AE232" s="468"/>
      <c r="AF232" s="468"/>
      <c r="AG232" s="614"/>
      <c r="AH232" s="614"/>
      <c r="AI232" s="614"/>
      <c r="AJ232" s="450"/>
      <c r="AK232" s="450"/>
      <c r="AL232" s="450"/>
      <c r="AM232" s="450"/>
      <c r="AN232" s="450"/>
      <c r="AO232" s="450"/>
      <c r="AP232" s="450"/>
      <c r="AQ232" s="450"/>
      <c r="AR232" s="450"/>
      <c r="AS232" s="450"/>
      <c r="AT232" s="450"/>
      <c r="AU232" s="450"/>
      <c r="AV232" s="450"/>
      <c r="AW232" s="450"/>
      <c r="AX232" s="450"/>
      <c r="AY232" s="450"/>
      <c r="AZ232" s="450"/>
      <c r="BA232" s="450"/>
      <c r="BB232" s="450"/>
      <c r="BC232" s="450"/>
      <c r="BD232" s="450"/>
      <c r="BE232" s="450">
        <v>149797.28</v>
      </c>
      <c r="BF232" s="450">
        <v>152447.94</v>
      </c>
      <c r="BG232" s="450">
        <v>153514.2261</v>
      </c>
      <c r="BH232" s="450">
        <v>154591.41</v>
      </c>
      <c r="BI232" s="450">
        <v>173362.21</v>
      </c>
      <c r="BJ232" s="450">
        <v>192856.75</v>
      </c>
      <c r="BK232" s="450">
        <v>194643.3</v>
      </c>
      <c r="BL232" s="450">
        <v>196844.83</v>
      </c>
      <c r="BM232" s="450">
        <v>0.0</v>
      </c>
      <c r="BN232" s="450">
        <v>1.73</v>
      </c>
      <c r="BO232" s="450">
        <v>1.73</v>
      </c>
      <c r="BP232" s="450">
        <v>1.73</v>
      </c>
      <c r="BQ232" s="450">
        <v>1.73</v>
      </c>
      <c r="BR232" s="450">
        <v>1.73</v>
      </c>
      <c r="BS232" s="615">
        <f t="array" ref="BS232">XLOOKUP(D232,'PL TOTAL XP'!A:A,'PL TOTAL XP'!C:C,"0")</f>
        <v>0</v>
      </c>
      <c r="BT232" s="616"/>
    </row>
    <row r="233" ht="15.75" customHeight="1">
      <c r="A233" s="183" t="s">
        <v>3820</v>
      </c>
      <c r="B233" s="78" t="s">
        <v>4519</v>
      </c>
      <c r="C233" s="645" t="s">
        <v>4520</v>
      </c>
      <c r="D233" s="609">
        <v>6519491.0</v>
      </c>
      <c r="E233" s="512" t="s">
        <v>18</v>
      </c>
      <c r="F233" s="609" t="s">
        <v>19</v>
      </c>
      <c r="G233" s="512" t="s">
        <v>256</v>
      </c>
      <c r="H233" s="609" t="str">
        <f>IFERROR(VLOOKUP(G233,'Cadastro de assessores'!A:B,2,FALSE),"Não Cadastrado")</f>
        <v>18009</v>
      </c>
      <c r="I233" s="609"/>
      <c r="J233" s="51" t="s">
        <v>3823</v>
      </c>
      <c r="K233" s="522" t="s">
        <v>2600</v>
      </c>
      <c r="L233" s="522" t="s">
        <v>2600</v>
      </c>
      <c r="M233" s="640" t="s">
        <v>2599</v>
      </c>
      <c r="N233" s="566"/>
      <c r="O233" s="566" t="s">
        <v>3836</v>
      </c>
      <c r="P233" s="612">
        <v>0.012</v>
      </c>
      <c r="Q233" s="224"/>
      <c r="R233" s="613"/>
      <c r="S233" s="522" t="str">
        <f t="shared" ref="S233:S236" si="23">IF(BC233&lt;=0,"",IF(BC233&lt;=1000000,"Não Qualificado",IF(AND(BC233&gt;1000000,BC233&lt;=10000000),"Qualificado","Profissional")))</f>
        <v/>
      </c>
      <c r="T233" s="522" t="s">
        <v>108</v>
      </c>
      <c r="U233" s="522" t="s">
        <v>2842</v>
      </c>
      <c r="V233" s="522" t="s">
        <v>19</v>
      </c>
      <c r="W233" s="468"/>
      <c r="X233" s="468"/>
      <c r="Y233" s="468"/>
      <c r="Z233" s="468"/>
      <c r="AA233" s="468"/>
      <c r="AB233" s="468"/>
      <c r="AC233" s="468"/>
      <c r="AD233" s="468"/>
      <c r="AE233" s="468"/>
      <c r="AF233" s="468"/>
      <c r="AG233" s="614"/>
      <c r="AH233" s="614"/>
      <c r="AI233" s="614"/>
      <c r="AJ233" s="450"/>
      <c r="AK233" s="450"/>
      <c r="AL233" s="450"/>
      <c r="AM233" s="450"/>
      <c r="AN233" s="450"/>
      <c r="AO233" s="450"/>
      <c r="AP233" s="450"/>
      <c r="AQ233" s="450"/>
      <c r="AR233" s="450"/>
      <c r="AS233" s="450"/>
      <c r="AT233" s="450"/>
      <c r="AU233" s="450"/>
      <c r="AV233" s="450"/>
      <c r="AW233" s="450">
        <v>100.0</v>
      </c>
      <c r="AX233" s="450">
        <v>100.0</v>
      </c>
      <c r="AY233" s="450">
        <v>100.0</v>
      </c>
      <c r="AZ233" s="450">
        <v>100.0</v>
      </c>
      <c r="BA233" s="450">
        <v>100.0</v>
      </c>
      <c r="BB233" s="450">
        <v>100.0</v>
      </c>
      <c r="BC233" s="450">
        <v>0.0</v>
      </c>
      <c r="BD233" s="450">
        <v>100.11</v>
      </c>
      <c r="BE233" s="450" t="s">
        <v>2566</v>
      </c>
      <c r="BF233" s="450">
        <v>101.71</v>
      </c>
      <c r="BG233" s="450">
        <v>102.64</v>
      </c>
      <c r="BH233" s="450">
        <v>103.47</v>
      </c>
      <c r="BI233" s="450">
        <v>104.38</v>
      </c>
      <c r="BJ233" s="450">
        <v>105.39</v>
      </c>
      <c r="BK233" s="450">
        <v>106.26</v>
      </c>
      <c r="BL233" s="450">
        <v>107.26</v>
      </c>
      <c r="BM233" s="450">
        <v>108.07</v>
      </c>
      <c r="BN233" s="450">
        <v>108.4</v>
      </c>
      <c r="BO233" s="450">
        <v>108.4</v>
      </c>
      <c r="BP233" s="450">
        <v>108.4</v>
      </c>
      <c r="BQ233" s="450">
        <v>108.4</v>
      </c>
      <c r="BR233" s="450">
        <v>108.4</v>
      </c>
      <c r="BS233" s="615">
        <f t="array" ref="BS233">XLOOKUP(D233,'PL TOTAL XP'!A:A,'PL TOTAL XP'!C:C,"0")</f>
        <v>0</v>
      </c>
      <c r="BT233" s="616"/>
    </row>
    <row r="234" ht="15.75" customHeight="1">
      <c r="A234" s="183" t="s">
        <v>3820</v>
      </c>
      <c r="B234" s="78" t="s">
        <v>4521</v>
      </c>
      <c r="C234" s="564" t="s">
        <v>4522</v>
      </c>
      <c r="D234" s="566">
        <v>3452038.0</v>
      </c>
      <c r="E234" s="512" t="s">
        <v>18</v>
      </c>
      <c r="F234" s="512" t="s">
        <v>19</v>
      </c>
      <c r="G234" s="566" t="s">
        <v>213</v>
      </c>
      <c r="H234" s="512" t="str">
        <f>IFERROR(VLOOKUP(G234,'Cadastro de assessores'!A:B,2,FALSE),"Não Cadastrado")</f>
        <v>17831</v>
      </c>
      <c r="I234" s="512"/>
      <c r="J234" s="51" t="s">
        <v>186</v>
      </c>
      <c r="K234" s="512" t="s">
        <v>107</v>
      </c>
      <c r="L234" s="610">
        <v>44698.0</v>
      </c>
      <c r="M234" s="610">
        <v>44698.0</v>
      </c>
      <c r="N234" s="567">
        <v>44834.0</v>
      </c>
      <c r="O234" s="566" t="s">
        <v>3836</v>
      </c>
      <c r="P234" s="612">
        <v>0.012</v>
      </c>
      <c r="Q234" s="652" t="s">
        <v>4523</v>
      </c>
      <c r="R234" s="613"/>
      <c r="S234" s="522" t="str">
        <f t="shared" si="23"/>
        <v/>
      </c>
      <c r="T234" s="522" t="s">
        <v>108</v>
      </c>
      <c r="U234" s="522" t="s">
        <v>2652</v>
      </c>
      <c r="V234" s="522" t="s">
        <v>19</v>
      </c>
      <c r="W234" s="614"/>
      <c r="X234" s="614"/>
      <c r="Y234" s="614"/>
      <c r="Z234" s="614"/>
      <c r="AA234" s="614"/>
      <c r="AB234" s="614"/>
      <c r="AC234" s="614"/>
      <c r="AD234" s="614"/>
      <c r="AE234" s="614"/>
      <c r="AF234" s="614"/>
      <c r="AG234" s="614"/>
      <c r="AH234" s="614"/>
      <c r="AI234" s="614"/>
      <c r="AJ234" s="614"/>
      <c r="AK234" s="450"/>
      <c r="AL234" s="450"/>
      <c r="AM234" s="450"/>
      <c r="AN234" s="450"/>
      <c r="AO234" s="450"/>
      <c r="AP234" s="450"/>
      <c r="AQ234" s="450"/>
      <c r="AR234" s="450"/>
      <c r="AS234" s="450"/>
      <c r="AT234" s="450"/>
      <c r="AU234" s="450"/>
      <c r="AV234" s="450"/>
      <c r="AW234" s="450"/>
      <c r="AX234" s="450"/>
      <c r="AY234" s="450"/>
      <c r="AZ234" s="450"/>
      <c r="BA234" s="450"/>
      <c r="BB234" s="450"/>
      <c r="BC234" s="450">
        <v>0.0</v>
      </c>
      <c r="BD234" s="450">
        <v>265360.18</v>
      </c>
      <c r="BE234" s="450">
        <v>254108.15</v>
      </c>
      <c r="BF234" s="450">
        <v>256736.54</v>
      </c>
      <c r="BG234" s="450">
        <v>259434.0839</v>
      </c>
      <c r="BH234" s="450">
        <v>53880.75</v>
      </c>
      <c r="BI234" s="450">
        <v>0.0</v>
      </c>
      <c r="BJ234" s="450">
        <v>0.0</v>
      </c>
      <c r="BK234" s="450">
        <v>0.0</v>
      </c>
      <c r="BL234" s="450">
        <v>0.0</v>
      </c>
      <c r="BM234" s="450">
        <v>0.0</v>
      </c>
      <c r="BN234" s="450">
        <v>0.0</v>
      </c>
      <c r="BO234" s="450">
        <v>0.0</v>
      </c>
      <c r="BP234" s="450">
        <v>0.0</v>
      </c>
      <c r="BQ234" s="450">
        <v>0.0</v>
      </c>
      <c r="BR234" s="450">
        <v>0.0</v>
      </c>
      <c r="BS234" s="615" t="str">
        <f t="array" ref="BS234">XLOOKUP(D234,'PL TOTAL XP'!A:A,'PL TOTAL XP'!C:C,"0")</f>
        <v>0</v>
      </c>
      <c r="BT234" s="616"/>
    </row>
    <row r="235" ht="15.75" customHeight="1">
      <c r="A235" s="183" t="s">
        <v>3820</v>
      </c>
      <c r="B235" s="78" t="s">
        <v>1226</v>
      </c>
      <c r="C235" s="617" t="s">
        <v>1224</v>
      </c>
      <c r="D235" s="522">
        <v>4750693.0</v>
      </c>
      <c r="E235" s="512" t="s">
        <v>18</v>
      </c>
      <c r="F235" s="512" t="s">
        <v>29</v>
      </c>
      <c r="G235" s="512" t="s">
        <v>2213</v>
      </c>
      <c r="H235" s="512" t="str">
        <f>IFERROR(VLOOKUP(G235,'Cadastro de assessores'!A:B,2,FALSE),"Não Cadastrado")</f>
        <v>18256</v>
      </c>
      <c r="I235" s="512"/>
      <c r="J235" s="51" t="s">
        <v>3823</v>
      </c>
      <c r="K235" s="512" t="s">
        <v>107</v>
      </c>
      <c r="L235" s="610">
        <v>44228.0</v>
      </c>
      <c r="M235" s="610">
        <v>44166.0</v>
      </c>
      <c r="N235" s="522"/>
      <c r="O235" s="522" t="s">
        <v>4524</v>
      </c>
      <c r="P235" s="612">
        <v>0.012</v>
      </c>
      <c r="Q235" s="620"/>
      <c r="R235" s="613"/>
      <c r="S235" s="522" t="str">
        <f t="shared" si="23"/>
        <v/>
      </c>
      <c r="T235" s="522" t="s">
        <v>108</v>
      </c>
      <c r="U235" s="522" t="s">
        <v>3123</v>
      </c>
      <c r="V235" s="522" t="s">
        <v>29</v>
      </c>
      <c r="W235" s="614"/>
      <c r="X235" s="614"/>
      <c r="Y235" s="614"/>
      <c r="Z235" s="614"/>
      <c r="AA235" s="614"/>
      <c r="AB235" s="614"/>
      <c r="AC235" s="614"/>
      <c r="AD235" s="614"/>
      <c r="AE235" s="614"/>
      <c r="AF235" s="614"/>
      <c r="AG235" s="614"/>
      <c r="AH235" s="614"/>
      <c r="AI235" s="614"/>
      <c r="AJ235" s="614"/>
      <c r="AK235" s="450"/>
      <c r="AL235" s="450"/>
      <c r="AM235" s="450">
        <v>242866.89</v>
      </c>
      <c r="AN235" s="450">
        <v>243368.24</v>
      </c>
      <c r="AO235" s="450">
        <v>249847.3</v>
      </c>
      <c r="AP235" s="450">
        <v>251165.88</v>
      </c>
      <c r="AQ235" s="450">
        <v>250380.19</v>
      </c>
      <c r="AR235" s="450">
        <v>255441.24</v>
      </c>
      <c r="AS235" s="450">
        <v>254000.15</v>
      </c>
      <c r="AT235" s="450">
        <v>249898.5</v>
      </c>
      <c r="AU235" s="450">
        <v>248668.36</v>
      </c>
      <c r="AV235" s="450">
        <v>246150.04</v>
      </c>
      <c r="AW235" s="450">
        <v>238329.61</v>
      </c>
      <c r="AX235" s="450">
        <v>222289.89</v>
      </c>
      <c r="AY235" s="450">
        <v>225324.35</v>
      </c>
      <c r="AZ235" s="450">
        <v>229664.99</v>
      </c>
      <c r="BA235" s="450">
        <v>229409.43</v>
      </c>
      <c r="BB235" s="450">
        <v>235802.84</v>
      </c>
      <c r="BC235" s="450">
        <v>0.0</v>
      </c>
      <c r="BD235" s="450">
        <v>217926.47</v>
      </c>
      <c r="BE235" s="450">
        <v>217584.65</v>
      </c>
      <c r="BF235" s="450">
        <v>221594.55</v>
      </c>
      <c r="BG235" s="450">
        <v>223829.8285</v>
      </c>
      <c r="BH235" s="450">
        <v>224859.66</v>
      </c>
      <c r="BI235" s="450">
        <v>231386.92</v>
      </c>
      <c r="BJ235" s="450">
        <v>230482.05</v>
      </c>
      <c r="BK235" s="450">
        <v>232316.84</v>
      </c>
      <c r="BL235" s="450">
        <v>235037.13</v>
      </c>
      <c r="BM235" s="450">
        <v>236618.28</v>
      </c>
      <c r="BN235" s="450">
        <v>239241.92</v>
      </c>
      <c r="BO235" s="450">
        <v>118915.18</v>
      </c>
      <c r="BP235" s="450">
        <v>120267.53</v>
      </c>
      <c r="BQ235" s="450">
        <v>121266.95</v>
      </c>
      <c r="BR235" s="450">
        <v>146.3</v>
      </c>
      <c r="BS235" s="615">
        <f t="array" ref="BS235">XLOOKUP(D235,'PL TOTAL XP'!A:A,'PL TOTAL XP'!C:C,"0")</f>
        <v>0</v>
      </c>
      <c r="BT235" s="616"/>
    </row>
    <row r="236" ht="15.75" customHeight="1">
      <c r="A236" s="183" t="s">
        <v>3820</v>
      </c>
      <c r="B236" s="78" t="s">
        <v>4525</v>
      </c>
      <c r="C236" s="617" t="s">
        <v>4526</v>
      </c>
      <c r="D236" s="522">
        <v>4744608.0</v>
      </c>
      <c r="E236" s="512" t="s">
        <v>18</v>
      </c>
      <c r="F236" s="512" t="s">
        <v>29</v>
      </c>
      <c r="G236" s="512" t="s">
        <v>294</v>
      </c>
      <c r="H236" s="512">
        <f>IFERROR(VLOOKUP(G236,'Cadastro de assessores'!A:B,2,FALSE),"Não Cadastrado")</f>
        <v>12359</v>
      </c>
      <c r="I236" s="512"/>
      <c r="J236" s="51" t="s">
        <v>186</v>
      </c>
      <c r="K236" s="512" t="s">
        <v>107</v>
      </c>
      <c r="L236" s="610">
        <v>44218.0</v>
      </c>
      <c r="M236" s="610">
        <v>44218.0</v>
      </c>
      <c r="N236" s="618">
        <v>44887.0</v>
      </c>
      <c r="O236" s="522" t="s">
        <v>3824</v>
      </c>
      <c r="P236" s="612">
        <v>0.02</v>
      </c>
      <c r="Q236" s="620" t="s">
        <v>4527</v>
      </c>
      <c r="R236" s="613"/>
      <c r="S236" s="522" t="str">
        <f t="shared" si="23"/>
        <v/>
      </c>
      <c r="T236" s="522" t="s">
        <v>108</v>
      </c>
      <c r="U236" s="522" t="s">
        <v>2591</v>
      </c>
      <c r="V236" s="522" t="s">
        <v>29</v>
      </c>
      <c r="W236" s="614"/>
      <c r="X236" s="614"/>
      <c r="Y236" s="614"/>
      <c r="Z236" s="614"/>
      <c r="AA236" s="614"/>
      <c r="AB236" s="614"/>
      <c r="AC236" s="614"/>
      <c r="AD236" s="614"/>
      <c r="AE236" s="614"/>
      <c r="AF236" s="614"/>
      <c r="AG236" s="614"/>
      <c r="AH236" s="614"/>
      <c r="AI236" s="614"/>
      <c r="AJ236" s="614"/>
      <c r="AK236" s="450"/>
      <c r="AL236" s="450">
        <v>787069.85</v>
      </c>
      <c r="AM236" s="450">
        <v>735410.8</v>
      </c>
      <c r="AN236" s="450">
        <v>733323.65</v>
      </c>
      <c r="AO236" s="450">
        <v>790973.52</v>
      </c>
      <c r="AP236" s="450">
        <v>1003039.96</v>
      </c>
      <c r="AQ236" s="450">
        <v>991901.78</v>
      </c>
      <c r="AR236" s="450">
        <v>1050056.35</v>
      </c>
      <c r="AS236" s="450">
        <v>1025552.12</v>
      </c>
      <c r="AT236" s="450">
        <v>970839.75</v>
      </c>
      <c r="AU236" s="450">
        <v>950596.34</v>
      </c>
      <c r="AV236" s="450">
        <v>899837.95</v>
      </c>
      <c r="AW236" s="450">
        <v>828478.31</v>
      </c>
      <c r="AX236" s="450">
        <v>821044.17</v>
      </c>
      <c r="AY236" s="450">
        <v>835554.63</v>
      </c>
      <c r="AZ236" s="450">
        <v>894531.87</v>
      </c>
      <c r="BA236" s="450">
        <v>901294.41</v>
      </c>
      <c r="BB236" s="450">
        <v>946104.25</v>
      </c>
      <c r="BC236" s="450">
        <v>0.0</v>
      </c>
      <c r="BD236" s="450">
        <v>915534.46</v>
      </c>
      <c r="BE236" s="450">
        <v>893273.88</v>
      </c>
      <c r="BF236" s="450">
        <v>925740.34</v>
      </c>
      <c r="BG236" s="450">
        <v>938957.4851</v>
      </c>
      <c r="BH236" s="450">
        <v>833062.54</v>
      </c>
      <c r="BI236" s="450">
        <v>886930.78</v>
      </c>
      <c r="BJ236" s="450">
        <v>0.0</v>
      </c>
      <c r="BK236" s="450">
        <v>0.0</v>
      </c>
      <c r="BL236" s="450">
        <v>0.0</v>
      </c>
      <c r="BM236" s="450">
        <v>0.0</v>
      </c>
      <c r="BN236" s="450">
        <v>0.0</v>
      </c>
      <c r="BO236" s="450">
        <v>0.0</v>
      </c>
      <c r="BP236" s="450">
        <v>0.0</v>
      </c>
      <c r="BQ236" s="450">
        <v>0.0</v>
      </c>
      <c r="BR236" s="450">
        <v>0.0</v>
      </c>
      <c r="BS236" s="615" t="str">
        <f t="array" ref="BS236">XLOOKUP(D236,'PL TOTAL XP'!A:A,'PL TOTAL XP'!C:C,"0")</f>
        <v>0</v>
      </c>
      <c r="BT236" s="616"/>
    </row>
    <row r="237" ht="15.75" customHeight="1">
      <c r="A237" s="183" t="s">
        <v>3820</v>
      </c>
      <c r="B237" s="78" t="s">
        <v>1234</v>
      </c>
      <c r="C237" s="617" t="s">
        <v>4528</v>
      </c>
      <c r="D237" s="522">
        <v>6164897.0</v>
      </c>
      <c r="E237" s="512" t="s">
        <v>18</v>
      </c>
      <c r="F237" s="512" t="s">
        <v>29</v>
      </c>
      <c r="G237" s="512" t="s">
        <v>294</v>
      </c>
      <c r="H237" s="512">
        <f>IFERROR(VLOOKUP(G237,'Cadastro de assessores'!A:B,2,FALSE),"Não Cadastrado")</f>
        <v>12359</v>
      </c>
      <c r="I237" s="512"/>
      <c r="J237" s="51" t="s">
        <v>3823</v>
      </c>
      <c r="K237" s="512"/>
      <c r="L237" s="610"/>
      <c r="M237" s="610">
        <v>44845.0</v>
      </c>
      <c r="N237" s="522"/>
      <c r="O237" s="522" t="s">
        <v>3834</v>
      </c>
      <c r="P237" s="612">
        <v>0.01</v>
      </c>
      <c r="Q237" s="620"/>
      <c r="R237" s="613"/>
      <c r="S237" s="522"/>
      <c r="T237" s="522"/>
      <c r="U237" s="522"/>
      <c r="V237" s="522" t="s">
        <v>29</v>
      </c>
      <c r="W237" s="614"/>
      <c r="X237" s="614"/>
      <c r="Y237" s="614"/>
      <c r="Z237" s="614"/>
      <c r="AA237" s="614"/>
      <c r="AB237" s="614"/>
      <c r="AC237" s="614"/>
      <c r="AD237" s="614"/>
      <c r="AE237" s="614"/>
      <c r="AF237" s="614"/>
      <c r="AG237" s="614"/>
      <c r="AH237" s="614"/>
      <c r="AI237" s="614"/>
      <c r="AJ237" s="614"/>
      <c r="AK237" s="450"/>
      <c r="AL237" s="450"/>
      <c r="AM237" s="450"/>
      <c r="AN237" s="450"/>
      <c r="AO237" s="450"/>
      <c r="AP237" s="450"/>
      <c r="AQ237" s="450"/>
      <c r="AR237" s="450"/>
      <c r="AS237" s="450"/>
      <c r="AT237" s="450"/>
      <c r="AU237" s="450"/>
      <c r="AV237" s="450"/>
      <c r="AW237" s="450"/>
      <c r="AX237" s="450"/>
      <c r="AY237" s="450"/>
      <c r="AZ237" s="450"/>
      <c r="BA237" s="450"/>
      <c r="BB237" s="450"/>
      <c r="BC237" s="450"/>
      <c r="BD237" s="450"/>
      <c r="BE237" s="450"/>
      <c r="BF237" s="450"/>
      <c r="BG237" s="450"/>
      <c r="BH237" s="450"/>
      <c r="BI237" s="450">
        <v>8549.48</v>
      </c>
      <c r="BJ237" s="450">
        <v>13673.7</v>
      </c>
      <c r="BK237" s="450">
        <v>14327.93</v>
      </c>
      <c r="BL237" s="450">
        <v>14509.69</v>
      </c>
      <c r="BM237" s="450">
        <v>13473.67</v>
      </c>
      <c r="BN237" s="450">
        <v>12952.61</v>
      </c>
      <c r="BO237" s="450">
        <v>2003.05</v>
      </c>
      <c r="BP237" s="450">
        <v>0.0</v>
      </c>
      <c r="BQ237" s="450">
        <v>0.0</v>
      </c>
      <c r="BR237" s="450">
        <v>0.0</v>
      </c>
      <c r="BS237" s="615">
        <f t="array" ref="BS237">XLOOKUP(D237,'PL TOTAL XP'!A:A,'PL TOTAL XP'!C:C,"0")</f>
        <v>20569.89</v>
      </c>
      <c r="BT237" s="616"/>
    </row>
    <row r="238" ht="15.75" customHeight="1">
      <c r="A238" s="183" t="s">
        <v>3820</v>
      </c>
      <c r="B238" s="78" t="s">
        <v>4529</v>
      </c>
      <c r="C238" s="617" t="s">
        <v>4530</v>
      </c>
      <c r="D238" s="522">
        <v>8424056.0</v>
      </c>
      <c r="E238" s="512" t="s">
        <v>105</v>
      </c>
      <c r="F238" s="512" t="s">
        <v>29</v>
      </c>
      <c r="G238" s="512" t="s">
        <v>4170</v>
      </c>
      <c r="H238" s="512">
        <f>IFERROR(VLOOKUP(G238,'Cadastro de assessores'!A:B,2,FALSE),"Não Cadastrado")</f>
        <v>12352</v>
      </c>
      <c r="I238" s="512"/>
      <c r="J238" s="51" t="s">
        <v>3823</v>
      </c>
      <c r="K238" s="512" t="s">
        <v>107</v>
      </c>
      <c r="L238" s="624">
        <v>44665.0</v>
      </c>
      <c r="M238" s="624">
        <v>44673.0</v>
      </c>
      <c r="N238" s="522"/>
      <c r="O238" s="522" t="s">
        <v>3836</v>
      </c>
      <c r="P238" s="612">
        <v>0.007</v>
      </c>
      <c r="Q238" s="524" t="s">
        <v>4531</v>
      </c>
      <c r="R238" s="613"/>
      <c r="S238" s="522" t="str">
        <f t="shared" ref="S238:S240" si="24">IF(BC238&lt;=0,"",IF(BC238&lt;=1000000,"Não Qualificado",IF(AND(BC238&gt;1000000,BC238&lt;=10000000),"Qualificado","Profissional")))</f>
        <v>Qualificado</v>
      </c>
      <c r="T238" s="522" t="s">
        <v>108</v>
      </c>
      <c r="U238" s="522" t="s">
        <v>2942</v>
      </c>
      <c r="V238" s="522" t="s">
        <v>29</v>
      </c>
      <c r="W238" s="614"/>
      <c r="X238" s="614"/>
      <c r="Y238" s="614"/>
      <c r="Z238" s="614"/>
      <c r="AA238" s="614"/>
      <c r="AB238" s="614"/>
      <c r="AC238" s="614"/>
      <c r="AD238" s="614"/>
      <c r="AE238" s="614"/>
      <c r="AF238" s="614"/>
      <c r="AG238" s="614"/>
      <c r="AH238" s="614"/>
      <c r="AI238" s="614"/>
      <c r="AJ238" s="614"/>
      <c r="AK238" s="450"/>
      <c r="AL238" s="450"/>
      <c r="AM238" s="450"/>
      <c r="AN238" s="450"/>
      <c r="AO238" s="450"/>
      <c r="AP238" s="450"/>
      <c r="AQ238" s="450"/>
      <c r="AR238" s="450"/>
      <c r="AS238" s="450"/>
      <c r="AT238" s="450"/>
      <c r="AU238" s="450"/>
      <c r="AV238" s="450"/>
      <c r="AW238" s="450"/>
      <c r="AX238" s="450"/>
      <c r="AY238" s="450"/>
      <c r="AZ238" s="450"/>
      <c r="BA238" s="450"/>
      <c r="BB238" s="450"/>
      <c r="BC238" s="450">
        <v>3683174.27</v>
      </c>
      <c r="BD238" s="450">
        <v>609296.33</v>
      </c>
      <c r="BE238" s="450">
        <v>615456.74</v>
      </c>
      <c r="BF238" s="450">
        <v>620609.48</v>
      </c>
      <c r="BG238" s="450">
        <v>621916.8233</v>
      </c>
      <c r="BH238" s="450">
        <v>626432.42</v>
      </c>
      <c r="BI238" s="450">
        <v>635629.49</v>
      </c>
      <c r="BJ238" s="450">
        <v>639880.36</v>
      </c>
      <c r="BK238" s="450">
        <v>8556.89</v>
      </c>
      <c r="BL238" s="450">
        <v>8505.43</v>
      </c>
      <c r="BM238" s="450">
        <v>-5.2</v>
      </c>
      <c r="BN238" s="450">
        <v>-5.2</v>
      </c>
      <c r="BO238" s="450">
        <v>-5.2</v>
      </c>
      <c r="BP238" s="450">
        <v>-5.2</v>
      </c>
      <c r="BQ238" s="450">
        <v>-5.2</v>
      </c>
      <c r="BR238" s="450">
        <v>-5.2</v>
      </c>
      <c r="BS238" s="615">
        <f t="array" ref="BS238">XLOOKUP(D238,'PL TOTAL XP'!A:A,'PL TOTAL XP'!C:C,"0")</f>
        <v>-5.2</v>
      </c>
      <c r="BT238" s="616"/>
    </row>
    <row r="239" ht="15.75" customHeight="1">
      <c r="A239" s="183" t="s">
        <v>3820</v>
      </c>
      <c r="B239" s="78" t="s">
        <v>4532</v>
      </c>
      <c r="C239" s="617" t="s">
        <v>4533</v>
      </c>
      <c r="D239" s="522">
        <v>2009210.0</v>
      </c>
      <c r="E239" s="512" t="s">
        <v>18</v>
      </c>
      <c r="F239" s="512" t="s">
        <v>29</v>
      </c>
      <c r="G239" s="512" t="s">
        <v>3703</v>
      </c>
      <c r="H239" s="512" t="str">
        <f>IFERROR(VLOOKUP(G239,'Cadastro de assessores'!A:B,2,FALSE),"Não Cadastrado")</f>
        <v>19352</v>
      </c>
      <c r="I239" s="512"/>
      <c r="J239" s="46" t="s">
        <v>107</v>
      </c>
      <c r="K239" s="512" t="s">
        <v>107</v>
      </c>
      <c r="L239" s="610">
        <v>43775.0</v>
      </c>
      <c r="M239" s="610">
        <v>43775.0</v>
      </c>
      <c r="N239" s="522"/>
      <c r="O239" s="522" t="s">
        <v>3840</v>
      </c>
      <c r="P239" s="612">
        <v>0.025</v>
      </c>
      <c r="Q239" s="652"/>
      <c r="R239" s="613"/>
      <c r="S239" s="522" t="str">
        <f t="shared" si="24"/>
        <v>Não Qualificado</v>
      </c>
      <c r="T239" s="522" t="s">
        <v>108</v>
      </c>
      <c r="U239" s="522" t="s">
        <v>2623</v>
      </c>
      <c r="V239" s="522" t="s">
        <v>29</v>
      </c>
      <c r="W239" s="614" t="s">
        <v>4534</v>
      </c>
      <c r="X239" s="614"/>
      <c r="Y239" s="614" t="s">
        <v>4535</v>
      </c>
      <c r="Z239" s="614" t="s">
        <v>4536</v>
      </c>
      <c r="AA239" s="614" t="s">
        <v>4537</v>
      </c>
      <c r="AB239" s="614" t="s">
        <v>4538</v>
      </c>
      <c r="AC239" s="614" t="s">
        <v>4539</v>
      </c>
      <c r="AD239" s="614" t="s">
        <v>4540</v>
      </c>
      <c r="AE239" s="614" t="s">
        <v>4541</v>
      </c>
      <c r="AF239" s="614" t="s">
        <v>4542</v>
      </c>
      <c r="AG239" s="614" t="s">
        <v>4543</v>
      </c>
      <c r="AH239" s="614" t="s">
        <v>4544</v>
      </c>
      <c r="AI239" s="614" t="s">
        <v>4545</v>
      </c>
      <c r="AJ239" s="614" t="s">
        <v>4546</v>
      </c>
      <c r="AK239" s="450">
        <v>91900.46</v>
      </c>
      <c r="AL239" s="450">
        <v>88023.76</v>
      </c>
      <c r="AM239" s="450">
        <v>82521.06</v>
      </c>
      <c r="AN239" s="450">
        <v>82688.71</v>
      </c>
      <c r="AO239" s="450">
        <v>87559.55</v>
      </c>
      <c r="AP239" s="450">
        <v>88687.03</v>
      </c>
      <c r="AQ239" s="450">
        <v>87800.52</v>
      </c>
      <c r="AR239" s="450">
        <v>92625.1</v>
      </c>
      <c r="AS239" s="450">
        <v>90512.86</v>
      </c>
      <c r="AT239" s="450">
        <v>85537.23</v>
      </c>
      <c r="AU239" s="450">
        <v>83576.85</v>
      </c>
      <c r="AV239" s="450">
        <v>78475.85</v>
      </c>
      <c r="AW239" s="450">
        <v>72661.86</v>
      </c>
      <c r="AX239" s="450">
        <v>71908.96</v>
      </c>
      <c r="AY239" s="450">
        <v>73230.32</v>
      </c>
      <c r="AZ239" s="450">
        <v>77669.08</v>
      </c>
      <c r="BA239" s="450">
        <v>78805.57</v>
      </c>
      <c r="BB239" s="450">
        <v>83784.22</v>
      </c>
      <c r="BC239" s="450">
        <v>130421.02</v>
      </c>
      <c r="BD239" s="450">
        <v>79037.83</v>
      </c>
      <c r="BE239" s="450">
        <v>75667.32</v>
      </c>
      <c r="BF239" s="450">
        <v>79662.32</v>
      </c>
      <c r="BG239" s="450">
        <v>80651.77</v>
      </c>
      <c r="BH239" s="450">
        <v>79200.09</v>
      </c>
      <c r="BI239" s="450">
        <v>85810.15</v>
      </c>
      <c r="BJ239" s="450">
        <v>82768.62</v>
      </c>
      <c r="BK239" s="450">
        <v>82384.93</v>
      </c>
      <c r="BL239" s="450">
        <v>84486.07</v>
      </c>
      <c r="BM239" s="450">
        <v>81179.06</v>
      </c>
      <c r="BN239" s="450">
        <v>80354.15</v>
      </c>
      <c r="BO239" s="450">
        <v>79614.29</v>
      </c>
      <c r="BP239" s="450">
        <v>81408.54</v>
      </c>
      <c r="BQ239" s="450">
        <v>86078.44</v>
      </c>
      <c r="BR239" s="450">
        <v>88694.49</v>
      </c>
      <c r="BS239" s="615">
        <f t="array" ref="BS239">XLOOKUP(D239,'PL TOTAL XP'!A:A,'PL TOTAL XP'!C:C,"0")</f>
        <v>189014.06</v>
      </c>
      <c r="BT239" s="616"/>
    </row>
    <row r="240" ht="15.75" customHeight="1">
      <c r="A240" s="183" t="s">
        <v>3820</v>
      </c>
      <c r="B240" s="78" t="s">
        <v>4547</v>
      </c>
      <c r="C240" s="617" t="s">
        <v>4548</v>
      </c>
      <c r="D240" s="522">
        <v>480281.0</v>
      </c>
      <c r="E240" s="522" t="s">
        <v>18</v>
      </c>
      <c r="F240" s="522" t="s">
        <v>29</v>
      </c>
      <c r="G240" s="522" t="s">
        <v>4316</v>
      </c>
      <c r="H240" s="522" t="str">
        <f>IFERROR(VLOOKUP(G240,'Cadastro de assessores'!A:B,2,FALSE),"Não Cadastrado")</f>
        <v>12846</v>
      </c>
      <c r="I240" s="522"/>
      <c r="J240" s="51" t="s">
        <v>186</v>
      </c>
      <c r="K240" s="522" t="s">
        <v>2563</v>
      </c>
      <c r="L240" s="619">
        <v>44166.0</v>
      </c>
      <c r="M240" s="619">
        <v>44166.0</v>
      </c>
      <c r="N240" s="619">
        <v>44378.0</v>
      </c>
      <c r="O240" s="522" t="s">
        <v>3828</v>
      </c>
      <c r="P240" s="612">
        <v>0.005</v>
      </c>
      <c r="Q240" s="620" t="s">
        <v>4317</v>
      </c>
      <c r="R240" s="613"/>
      <c r="S240" s="522" t="str">
        <f t="shared" si="24"/>
        <v/>
      </c>
      <c r="T240" s="522" t="s">
        <v>108</v>
      </c>
      <c r="U240" s="522" t="s">
        <v>2614</v>
      </c>
      <c r="V240" s="522" t="s">
        <v>29</v>
      </c>
      <c r="W240" s="614" t="s">
        <v>3830</v>
      </c>
      <c r="X240" s="614" t="s">
        <v>3830</v>
      </c>
      <c r="Y240" s="614" t="s">
        <v>3830</v>
      </c>
      <c r="Z240" s="614" t="s">
        <v>3830</v>
      </c>
      <c r="AA240" s="614" t="s">
        <v>3830</v>
      </c>
      <c r="AB240" s="614" t="s">
        <v>3830</v>
      </c>
      <c r="AC240" s="614" t="s">
        <v>3830</v>
      </c>
      <c r="AD240" s="614" t="s">
        <v>3830</v>
      </c>
      <c r="AE240" s="614" t="s">
        <v>3830</v>
      </c>
      <c r="AF240" s="614" t="s">
        <v>3830</v>
      </c>
      <c r="AG240" s="614" t="s">
        <v>3830</v>
      </c>
      <c r="AH240" s="614" t="s">
        <v>3830</v>
      </c>
      <c r="AI240" s="614" t="s">
        <v>3830</v>
      </c>
      <c r="AJ240" s="614" t="s">
        <v>3830</v>
      </c>
      <c r="AK240" s="450">
        <v>1261957.93</v>
      </c>
      <c r="AL240" s="450">
        <v>1384715.19</v>
      </c>
      <c r="AM240" s="450">
        <v>1370263.97</v>
      </c>
      <c r="AN240" s="450">
        <v>1365203.55</v>
      </c>
      <c r="AO240" s="450">
        <v>1380040.74</v>
      </c>
      <c r="AP240" s="450">
        <v>1389078.67</v>
      </c>
      <c r="AQ240" s="450">
        <v>1390915.55</v>
      </c>
      <c r="AR240" s="450">
        <v>1444333.17</v>
      </c>
      <c r="AS240" s="450">
        <v>1437067.63</v>
      </c>
      <c r="AT240" s="450"/>
      <c r="AU240" s="450"/>
      <c r="AV240" s="450"/>
      <c r="AW240" s="450"/>
      <c r="AX240" s="450"/>
      <c r="AY240" s="450"/>
      <c r="AZ240" s="450"/>
      <c r="BA240" s="450">
        <v>0.0</v>
      </c>
      <c r="BB240" s="450">
        <v>0.0</v>
      </c>
      <c r="BC240" s="450">
        <v>0.0</v>
      </c>
      <c r="BD240" s="450" t="s">
        <v>2566</v>
      </c>
      <c r="BE240" s="450" t="s">
        <v>2566</v>
      </c>
      <c r="BF240" s="450">
        <v>0.0</v>
      </c>
      <c r="BG240" s="450">
        <v>0.0</v>
      </c>
      <c r="BH240" s="450">
        <v>0.0</v>
      </c>
      <c r="BI240" s="450">
        <v>0.0</v>
      </c>
      <c r="BJ240" s="450">
        <v>0.0</v>
      </c>
      <c r="BK240" s="450">
        <v>0.0</v>
      </c>
      <c r="BL240" s="450">
        <v>0.0</v>
      </c>
      <c r="BM240" s="450">
        <v>0.0</v>
      </c>
      <c r="BN240" s="450">
        <v>0.0</v>
      </c>
      <c r="BO240" s="450">
        <v>0.0</v>
      </c>
      <c r="BP240" s="450">
        <v>0.0</v>
      </c>
      <c r="BQ240" s="450">
        <v>0.0</v>
      </c>
      <c r="BR240" s="450">
        <v>0.0</v>
      </c>
      <c r="BS240" s="615" t="str">
        <f t="array" ref="BS240">XLOOKUP(D240,'PL TOTAL XP'!A:A,'PL TOTAL XP'!C:C,"0")</f>
        <v>0</v>
      </c>
      <c r="BT240" s="616"/>
    </row>
    <row r="241" ht="15.75" customHeight="1">
      <c r="A241" s="183" t="s">
        <v>3820</v>
      </c>
      <c r="B241" s="78" t="s">
        <v>1255</v>
      </c>
      <c r="C241" s="617" t="s">
        <v>4549</v>
      </c>
      <c r="D241" s="667">
        <v>9183025.0</v>
      </c>
      <c r="E241" s="512" t="s">
        <v>18</v>
      </c>
      <c r="F241" s="512" t="s">
        <v>19</v>
      </c>
      <c r="G241" s="512" t="s">
        <v>122</v>
      </c>
      <c r="H241" s="522" t="str">
        <f>IFERROR(VLOOKUP(G241,'Cadastro de assessores'!A:B,2,FALSE),"Não Cadastrado")</f>
        <v>18890</v>
      </c>
      <c r="I241" s="522"/>
      <c r="J241" s="51" t="s">
        <v>3823</v>
      </c>
      <c r="K241" s="668" t="s">
        <v>147</v>
      </c>
      <c r="L241" s="668" t="s">
        <v>2600</v>
      </c>
      <c r="M241" s="669">
        <v>44806.0</v>
      </c>
      <c r="N241" s="522"/>
      <c r="O241" s="522" t="s">
        <v>3836</v>
      </c>
      <c r="P241" s="612">
        <v>0.012</v>
      </c>
      <c r="Q241" s="620" t="s">
        <v>3932</v>
      </c>
      <c r="R241" s="613"/>
      <c r="S241" s="522"/>
      <c r="T241" s="522"/>
      <c r="U241" s="522"/>
      <c r="V241" s="522" t="s">
        <v>19</v>
      </c>
      <c r="W241" s="614"/>
      <c r="X241" s="614"/>
      <c r="Y241" s="614"/>
      <c r="Z241" s="614"/>
      <c r="AA241" s="614"/>
      <c r="AB241" s="614"/>
      <c r="AC241" s="614"/>
      <c r="AD241" s="614"/>
      <c r="AE241" s="614"/>
      <c r="AF241" s="614"/>
      <c r="AG241" s="614"/>
      <c r="AH241" s="614"/>
      <c r="AI241" s="614"/>
      <c r="AJ241" s="614"/>
      <c r="AK241" s="450"/>
      <c r="AL241" s="450"/>
      <c r="AM241" s="450"/>
      <c r="AN241" s="450"/>
      <c r="AO241" s="450"/>
      <c r="AP241" s="450"/>
      <c r="AQ241" s="450"/>
      <c r="AR241" s="450"/>
      <c r="AS241" s="450"/>
      <c r="AT241" s="450"/>
      <c r="AU241" s="450"/>
      <c r="AV241" s="450"/>
      <c r="AW241" s="450"/>
      <c r="AX241" s="450"/>
      <c r="AY241" s="450"/>
      <c r="AZ241" s="450"/>
      <c r="BA241" s="450"/>
      <c r="BB241" s="450"/>
      <c r="BC241" s="450"/>
      <c r="BD241" s="450"/>
      <c r="BE241" s="450"/>
      <c r="BF241" s="450"/>
      <c r="BG241" s="450">
        <v>0.0</v>
      </c>
      <c r="BH241" s="450">
        <v>181337.75</v>
      </c>
      <c r="BI241" s="450">
        <v>184666.11</v>
      </c>
      <c r="BJ241" s="450">
        <v>185719.49</v>
      </c>
      <c r="BK241" s="450">
        <v>187173.89</v>
      </c>
      <c r="BL241" s="450">
        <v>27099.42</v>
      </c>
      <c r="BM241" s="450">
        <v>0.6</v>
      </c>
      <c r="BN241" s="450">
        <v>4.83</v>
      </c>
      <c r="BO241" s="450">
        <v>4.83</v>
      </c>
      <c r="BP241" s="450">
        <v>4.83</v>
      </c>
      <c r="BQ241" s="450">
        <v>4.83</v>
      </c>
      <c r="BR241" s="450">
        <v>4.83</v>
      </c>
      <c r="BS241" s="615">
        <f t="array" ref="BS241">XLOOKUP(D241,'PL TOTAL XP'!A:A,'PL TOTAL XP'!C:C,"0")</f>
        <v>0</v>
      </c>
      <c r="BT241" s="616"/>
    </row>
    <row r="242" ht="15.75" customHeight="1">
      <c r="A242" s="183" t="s">
        <v>3820</v>
      </c>
      <c r="B242" s="78" t="s">
        <v>1262</v>
      </c>
      <c r="C242" s="617" t="s">
        <v>4550</v>
      </c>
      <c r="D242" s="667">
        <v>2278886.0</v>
      </c>
      <c r="E242" s="512" t="s">
        <v>18</v>
      </c>
      <c r="F242" s="512" t="s">
        <v>19</v>
      </c>
      <c r="G242" s="512" t="s">
        <v>1805</v>
      </c>
      <c r="H242" s="512"/>
      <c r="I242" s="512"/>
      <c r="J242" s="51" t="s">
        <v>3823</v>
      </c>
      <c r="K242" s="512"/>
      <c r="L242" s="669"/>
      <c r="M242" s="610">
        <v>44950.0</v>
      </c>
      <c r="N242" s="522"/>
      <c r="O242" s="522" t="s">
        <v>3824</v>
      </c>
      <c r="P242" s="612">
        <v>0.02</v>
      </c>
      <c r="Q242" s="620"/>
      <c r="R242" s="613"/>
      <c r="S242" s="522"/>
      <c r="T242" s="522"/>
      <c r="U242" s="522"/>
      <c r="V242" s="522" t="s">
        <v>1112</v>
      </c>
      <c r="W242" s="614"/>
      <c r="X242" s="614"/>
      <c r="Y242" s="614"/>
      <c r="Z242" s="614"/>
      <c r="AA242" s="614"/>
      <c r="AB242" s="614"/>
      <c r="AC242" s="614"/>
      <c r="AD242" s="614"/>
      <c r="AE242" s="614"/>
      <c r="AF242" s="614"/>
      <c r="AG242" s="614"/>
      <c r="AH242" s="614"/>
      <c r="AI242" s="614"/>
      <c r="AJ242" s="614"/>
      <c r="AK242" s="450"/>
      <c r="AL242" s="450"/>
      <c r="AM242" s="450"/>
      <c r="AN242" s="450"/>
      <c r="AO242" s="450"/>
      <c r="AP242" s="450"/>
      <c r="AQ242" s="450"/>
      <c r="AR242" s="450"/>
      <c r="AS242" s="450"/>
      <c r="AT242" s="450"/>
      <c r="AU242" s="450"/>
      <c r="AV242" s="450"/>
      <c r="AW242" s="450"/>
      <c r="AX242" s="450"/>
      <c r="AY242" s="450"/>
      <c r="AZ242" s="450"/>
      <c r="BA242" s="450"/>
      <c r="BB242" s="450"/>
      <c r="BC242" s="450"/>
      <c r="BD242" s="450"/>
      <c r="BE242" s="450"/>
      <c r="BF242" s="450"/>
      <c r="BG242" s="450"/>
      <c r="BH242" s="450"/>
      <c r="BI242" s="450"/>
      <c r="BJ242" s="450"/>
      <c r="BK242" s="450"/>
      <c r="BL242" s="450">
        <v>61317.93</v>
      </c>
      <c r="BM242" s="450">
        <v>60471.74</v>
      </c>
      <c r="BN242" s="450">
        <v>0.0</v>
      </c>
      <c r="BO242" s="450">
        <v>0.0</v>
      </c>
      <c r="BP242" s="450">
        <v>0.0</v>
      </c>
      <c r="BQ242" s="450">
        <v>0.0</v>
      </c>
      <c r="BR242" s="450">
        <v>0.0</v>
      </c>
      <c r="BS242" s="615" t="str">
        <f t="array" ref="BS242">XLOOKUP(D242,'PL TOTAL XP'!A:A,'PL TOTAL XP'!C:C,"0")</f>
        <v>0</v>
      </c>
      <c r="BT242" s="616"/>
    </row>
    <row r="243" ht="15.75" customHeight="1">
      <c r="A243" s="183" t="s">
        <v>3820</v>
      </c>
      <c r="B243" s="78" t="s">
        <v>3066</v>
      </c>
      <c r="C243" s="617" t="s">
        <v>3063</v>
      </c>
      <c r="D243" s="667">
        <v>4064668.0</v>
      </c>
      <c r="E243" s="512" t="s">
        <v>18</v>
      </c>
      <c r="F243" s="512" t="s">
        <v>29</v>
      </c>
      <c r="G243" s="512" t="s">
        <v>2605</v>
      </c>
      <c r="H243" s="512" t="str">
        <f>IFERROR(VLOOKUP(G243,'Cadastro de assessores'!A:B,2,FALSE),"Não Cadastrado")</f>
        <v>18836</v>
      </c>
      <c r="I243" s="512"/>
      <c r="J243" s="46" t="s">
        <v>107</v>
      </c>
      <c r="K243" s="512" t="s">
        <v>107</v>
      </c>
      <c r="L243" s="669">
        <v>44277.0</v>
      </c>
      <c r="M243" s="669">
        <v>44285.0</v>
      </c>
      <c r="N243" s="522"/>
      <c r="O243" s="522" t="s">
        <v>3828</v>
      </c>
      <c r="P243" s="612">
        <v>0.015</v>
      </c>
      <c r="Q243" s="620"/>
      <c r="R243" s="613"/>
      <c r="S243" s="522" t="str">
        <f>IF(BC243&lt;=0,"",IF(BC243&lt;=1000000,"Não Qualificado",IF(AND(BC243&gt;1000000,BC243&lt;=10000000),"Qualificado","Profissional")))</f>
        <v>Não Qualificado</v>
      </c>
      <c r="T243" s="522" t="s">
        <v>108</v>
      </c>
      <c r="U243" s="522" t="s">
        <v>2664</v>
      </c>
      <c r="V243" s="522" t="s">
        <v>791</v>
      </c>
      <c r="W243" s="614"/>
      <c r="X243" s="614"/>
      <c r="Y243" s="614"/>
      <c r="Z243" s="614"/>
      <c r="AA243" s="614"/>
      <c r="AB243" s="614"/>
      <c r="AC243" s="614"/>
      <c r="AD243" s="614"/>
      <c r="AE243" s="614"/>
      <c r="AF243" s="614"/>
      <c r="AG243" s="614"/>
      <c r="AH243" s="614"/>
      <c r="AI243" s="614"/>
      <c r="AJ243" s="614"/>
      <c r="AK243" s="450"/>
      <c r="AL243" s="450"/>
      <c r="AM243" s="450"/>
      <c r="AN243" s="450"/>
      <c r="AO243" s="450">
        <v>98261.59</v>
      </c>
      <c r="AP243" s="450">
        <v>98853.96</v>
      </c>
      <c r="AQ243" s="450">
        <v>98497.4</v>
      </c>
      <c r="AR243" s="450">
        <v>100681.89</v>
      </c>
      <c r="AS243" s="450">
        <v>100033.96</v>
      </c>
      <c r="AT243" s="450">
        <v>98278.31</v>
      </c>
      <c r="AU243" s="450">
        <v>97686.09</v>
      </c>
      <c r="AV243" s="450">
        <v>95887.01</v>
      </c>
      <c r="AW243" s="450">
        <v>93266.23</v>
      </c>
      <c r="AX243" s="450">
        <v>93288.92</v>
      </c>
      <c r="AY243" s="450">
        <v>94403.31</v>
      </c>
      <c r="AZ243" s="450">
        <v>96781.47</v>
      </c>
      <c r="BA243" s="450">
        <v>97843.76</v>
      </c>
      <c r="BB243" s="450">
        <v>100853.56</v>
      </c>
      <c r="BC243" s="450">
        <v>99591.32</v>
      </c>
      <c r="BD243" s="450">
        <v>100101.95</v>
      </c>
      <c r="BE243" s="450">
        <v>99722.93</v>
      </c>
      <c r="BF243" s="450">
        <v>101485.49</v>
      </c>
      <c r="BG243" s="450">
        <v>102223.1283</v>
      </c>
      <c r="BH243" s="450">
        <v>102490.66</v>
      </c>
      <c r="BI243" s="450">
        <v>105691.27</v>
      </c>
      <c r="BJ243" s="450">
        <v>105247.78</v>
      </c>
      <c r="BK243" s="450">
        <v>105875.92</v>
      </c>
      <c r="BL243" s="450">
        <v>107066.91</v>
      </c>
      <c r="BM243" s="450">
        <v>107828.74</v>
      </c>
      <c r="BN243" s="450">
        <v>109005.98</v>
      </c>
      <c r="BO243" s="450">
        <v>84017.58</v>
      </c>
      <c r="BP243" s="450">
        <v>84650.89</v>
      </c>
      <c r="BQ243" s="450">
        <v>85155.51</v>
      </c>
      <c r="BR243" s="450">
        <v>85852.19</v>
      </c>
      <c r="BS243" s="615">
        <f t="array" ref="BS243">XLOOKUP(D243,'PL TOTAL XP'!A:A,'PL TOTAL XP'!C:C,"0")</f>
        <v>90109.59</v>
      </c>
      <c r="BT243" s="616"/>
    </row>
    <row r="244" ht="15.75" customHeight="1">
      <c r="A244" s="183" t="s">
        <v>3820</v>
      </c>
      <c r="B244" s="78" t="s">
        <v>4551</v>
      </c>
      <c r="C244" s="617" t="s">
        <v>4552</v>
      </c>
      <c r="D244" s="638">
        <v>6113871.0</v>
      </c>
      <c r="E244" s="512" t="s">
        <v>18</v>
      </c>
      <c r="F244" s="512" t="s">
        <v>19</v>
      </c>
      <c r="G244" s="512" t="s">
        <v>256</v>
      </c>
      <c r="H244" s="512"/>
      <c r="I244" s="512"/>
      <c r="J244" s="51" t="s">
        <v>3823</v>
      </c>
      <c r="K244" s="522"/>
      <c r="L244" s="611"/>
      <c r="M244" s="611">
        <v>44916.0</v>
      </c>
      <c r="N244" s="522"/>
      <c r="O244" s="522" t="s">
        <v>3828</v>
      </c>
      <c r="P244" s="612">
        <v>0.015</v>
      </c>
      <c r="Q244" s="644"/>
      <c r="R244" s="613"/>
      <c r="S244" s="522"/>
      <c r="T244" s="522"/>
      <c r="U244" s="522"/>
      <c r="V244" s="522" t="s">
        <v>706</v>
      </c>
      <c r="W244" s="614"/>
      <c r="X244" s="614"/>
      <c r="Y244" s="614"/>
      <c r="Z244" s="614"/>
      <c r="AA244" s="614"/>
      <c r="AB244" s="614"/>
      <c r="AC244" s="614"/>
      <c r="AD244" s="614"/>
      <c r="AE244" s="614"/>
      <c r="AF244" s="614"/>
      <c r="AG244" s="614"/>
      <c r="AH244" s="614"/>
      <c r="AI244" s="614"/>
      <c r="AJ244" s="614"/>
      <c r="AK244" s="450"/>
      <c r="AL244" s="450"/>
      <c r="AM244" s="450"/>
      <c r="AN244" s="450"/>
      <c r="AO244" s="450"/>
      <c r="AP244" s="450"/>
      <c r="AQ244" s="450"/>
      <c r="AR244" s="450"/>
      <c r="AS244" s="450"/>
      <c r="AT244" s="450"/>
      <c r="AU244" s="450"/>
      <c r="AV244" s="450"/>
      <c r="AW244" s="450"/>
      <c r="AX244" s="450"/>
      <c r="AY244" s="450"/>
      <c r="AZ244" s="450"/>
      <c r="BA244" s="450"/>
      <c r="BB244" s="450"/>
      <c r="BC244" s="450"/>
      <c r="BD244" s="450"/>
      <c r="BE244" s="450"/>
      <c r="BF244" s="450"/>
      <c r="BG244" s="450"/>
      <c r="BH244" s="450"/>
      <c r="BI244" s="450"/>
      <c r="BJ244" s="450">
        <v>0.0</v>
      </c>
      <c r="BK244" s="450">
        <v>124024.55</v>
      </c>
      <c r="BL244" s="450">
        <v>125520.03</v>
      </c>
      <c r="BM244" s="450">
        <v>148030.37</v>
      </c>
      <c r="BN244" s="450">
        <v>0.0</v>
      </c>
      <c r="BO244" s="450">
        <v>0.0</v>
      </c>
      <c r="BP244" s="450">
        <v>0.0</v>
      </c>
      <c r="BQ244" s="450">
        <v>0.0</v>
      </c>
      <c r="BR244" s="450">
        <v>0.0</v>
      </c>
      <c r="BS244" s="615" t="str">
        <f t="array" ref="BS244">XLOOKUP(D244,'PL TOTAL XP'!A:A,'PL TOTAL XP'!C:C,"0")</f>
        <v>0</v>
      </c>
      <c r="BT244" s="616"/>
    </row>
    <row r="245" ht="15.75" customHeight="1">
      <c r="A245" s="183" t="s">
        <v>3820</v>
      </c>
      <c r="B245" s="78" t="s">
        <v>4553</v>
      </c>
      <c r="C245" s="617" t="s">
        <v>4554</v>
      </c>
      <c r="D245" s="522">
        <v>4416789.0</v>
      </c>
      <c r="E245" s="512" t="s">
        <v>105</v>
      </c>
      <c r="F245" s="512" t="s">
        <v>29</v>
      </c>
      <c r="G245" s="512" t="s">
        <v>4087</v>
      </c>
      <c r="H245" s="512" t="str">
        <f>IFERROR(VLOOKUP(G245,'Cadastro de assessores'!A:B,2,FALSE),"Não Cadastrado")</f>
        <v>17243</v>
      </c>
      <c r="I245" s="512"/>
      <c r="J245" s="51" t="s">
        <v>3823</v>
      </c>
      <c r="K245" s="522" t="s">
        <v>147</v>
      </c>
      <c r="L245" s="611">
        <v>44127.0</v>
      </c>
      <c r="M245" s="611">
        <v>44130.0</v>
      </c>
      <c r="N245" s="522"/>
      <c r="O245" s="522" t="s">
        <v>3828</v>
      </c>
      <c r="P245" s="612">
        <v>0.015</v>
      </c>
      <c r="Q245" s="644"/>
      <c r="R245" s="613"/>
      <c r="S245" s="522" t="str">
        <f>IF(BC245&lt;=0,"",IF(BC245&lt;=1000000,"Não Qualificado",IF(AND(BC245&gt;1000000,BC245&lt;=10000000),"Qualificado","Profissional")))</f>
        <v/>
      </c>
      <c r="T245" s="522" t="s">
        <v>108</v>
      </c>
      <c r="U245" s="522" t="s">
        <v>2591</v>
      </c>
      <c r="V245" s="522" t="s">
        <v>29</v>
      </c>
      <c r="W245" s="614" t="s">
        <v>3830</v>
      </c>
      <c r="X245" s="614" t="s">
        <v>3830</v>
      </c>
      <c r="Y245" s="614" t="s">
        <v>3830</v>
      </c>
      <c r="Z245" s="614" t="s">
        <v>3830</v>
      </c>
      <c r="AA245" s="614" t="s">
        <v>3830</v>
      </c>
      <c r="AB245" s="614" t="s">
        <v>3830</v>
      </c>
      <c r="AC245" s="614" t="s">
        <v>3830</v>
      </c>
      <c r="AD245" s="614" t="s">
        <v>3830</v>
      </c>
      <c r="AE245" s="614" t="s">
        <v>3830</v>
      </c>
      <c r="AF245" s="614" t="s">
        <v>3830</v>
      </c>
      <c r="AG245" s="614" t="s">
        <v>3830</v>
      </c>
      <c r="AH245" s="614" t="s">
        <v>3830</v>
      </c>
      <c r="AI245" s="614" t="s">
        <v>4555</v>
      </c>
      <c r="AJ245" s="614" t="s">
        <v>4556</v>
      </c>
      <c r="AK245" s="450">
        <v>268091.57</v>
      </c>
      <c r="AL245" s="450">
        <v>461862.44</v>
      </c>
      <c r="AM245" s="450">
        <v>447229.44</v>
      </c>
      <c r="AN245" s="450">
        <v>446614.57</v>
      </c>
      <c r="AO245" s="450">
        <v>460100.96</v>
      </c>
      <c r="AP245" s="450">
        <v>402497.96</v>
      </c>
      <c r="AQ245" s="450">
        <v>460963.74</v>
      </c>
      <c r="AR245" s="450">
        <v>471957.66</v>
      </c>
      <c r="AS245" s="450">
        <v>468255.07</v>
      </c>
      <c r="AT245" s="450">
        <v>459138.13</v>
      </c>
      <c r="AU245" s="450">
        <v>456422.62</v>
      </c>
      <c r="AV245" s="450">
        <v>81663.16</v>
      </c>
      <c r="AW245" s="450">
        <v>456.93</v>
      </c>
      <c r="AX245" s="450">
        <v>456.33</v>
      </c>
      <c r="AY245" s="450">
        <v>455.64</v>
      </c>
      <c r="AZ245" s="450">
        <v>455.01</v>
      </c>
      <c r="BA245" s="450">
        <v>454.44</v>
      </c>
      <c r="BB245" s="450">
        <v>453.78</v>
      </c>
      <c r="BC245" s="450">
        <v>0.0</v>
      </c>
      <c r="BD245" s="450">
        <v>516.67</v>
      </c>
      <c r="BE245" s="450">
        <v>516.67</v>
      </c>
      <c r="BF245" s="450">
        <v>516.68</v>
      </c>
      <c r="BG245" s="450">
        <v>516.68</v>
      </c>
      <c r="BH245" s="450">
        <v>516.68</v>
      </c>
      <c r="BI245" s="450">
        <v>516.68</v>
      </c>
      <c r="BJ245" s="450">
        <v>516.68</v>
      </c>
      <c r="BK245" s="450">
        <v>516.68</v>
      </c>
      <c r="BL245" s="450">
        <v>516.68</v>
      </c>
      <c r="BM245" s="450">
        <v>516.68</v>
      </c>
      <c r="BN245" s="450">
        <v>516.68</v>
      </c>
      <c r="BO245" s="450">
        <v>516.68</v>
      </c>
      <c r="BP245" s="450">
        <v>516.68</v>
      </c>
      <c r="BQ245" s="450">
        <v>516.68</v>
      </c>
      <c r="BR245" s="450">
        <v>516.68</v>
      </c>
      <c r="BS245" s="615">
        <f t="array" ref="BS245">XLOOKUP(D245,'PL TOTAL XP'!A:A,'PL TOTAL XP'!C:C,"0")</f>
        <v>0</v>
      </c>
      <c r="BT245" s="616"/>
    </row>
    <row r="246" ht="15.75" customHeight="1">
      <c r="A246" s="183" t="s">
        <v>3820</v>
      </c>
      <c r="B246" s="78" t="s">
        <v>4557</v>
      </c>
      <c r="C246" s="645" t="s">
        <v>4558</v>
      </c>
      <c r="D246" s="609">
        <v>522223.0</v>
      </c>
      <c r="E246" s="512" t="s">
        <v>18</v>
      </c>
      <c r="F246" s="609" t="s">
        <v>19</v>
      </c>
      <c r="G246" s="512" t="s">
        <v>20</v>
      </c>
      <c r="H246" s="512">
        <f>IFERROR(VLOOKUP(G246,'Cadastro de assessores'!A:B,2,FALSE),"Não Cadastrado")</f>
        <v>12331</v>
      </c>
      <c r="I246" s="512"/>
      <c r="J246" s="51" t="s">
        <v>3823</v>
      </c>
      <c r="K246" s="522" t="s">
        <v>147</v>
      </c>
      <c r="L246" s="643" t="s">
        <v>2600</v>
      </c>
      <c r="M246" s="624">
        <v>44816.0</v>
      </c>
      <c r="N246" s="566"/>
      <c r="O246" s="566" t="s">
        <v>3836</v>
      </c>
      <c r="P246" s="612">
        <v>0.012</v>
      </c>
      <c r="Q246" s="482" t="s">
        <v>4559</v>
      </c>
      <c r="R246" s="613"/>
      <c r="S246" s="522"/>
      <c r="T246" s="522"/>
      <c r="U246" s="522"/>
      <c r="V246" s="522" t="s">
        <v>19</v>
      </c>
      <c r="W246" s="468"/>
      <c r="X246" s="468"/>
      <c r="Y246" s="468"/>
      <c r="Z246" s="468"/>
      <c r="AA246" s="468"/>
      <c r="AB246" s="468"/>
      <c r="AC246" s="468"/>
      <c r="AD246" s="468"/>
      <c r="AE246" s="468"/>
      <c r="AF246" s="468"/>
      <c r="AG246" s="614"/>
      <c r="AH246" s="614"/>
      <c r="AI246" s="614"/>
      <c r="AJ246" s="450"/>
      <c r="AK246" s="450"/>
      <c r="AL246" s="450"/>
      <c r="AM246" s="450"/>
      <c r="AN246" s="450"/>
      <c r="AO246" s="450"/>
      <c r="AP246" s="450"/>
      <c r="AQ246" s="450"/>
      <c r="AR246" s="450"/>
      <c r="AS246" s="450"/>
      <c r="AT246" s="450"/>
      <c r="AU246" s="450"/>
      <c r="AV246" s="450"/>
      <c r="AW246" s="450"/>
      <c r="AX246" s="450"/>
      <c r="AY246" s="450"/>
      <c r="AZ246" s="450"/>
      <c r="BA246" s="450"/>
      <c r="BB246" s="450"/>
      <c r="BC246" s="450"/>
      <c r="BD246" s="450"/>
      <c r="BE246" s="450"/>
      <c r="BF246" s="450"/>
      <c r="BG246" s="450">
        <v>0.0</v>
      </c>
      <c r="BH246" s="450">
        <v>89437.2</v>
      </c>
      <c r="BI246" s="450">
        <v>107368.84</v>
      </c>
      <c r="BJ246" s="450">
        <v>128405.29</v>
      </c>
      <c r="BK246" s="450">
        <v>129504.1</v>
      </c>
      <c r="BL246" s="450">
        <v>381871.92</v>
      </c>
      <c r="BM246" s="450">
        <v>123545.37</v>
      </c>
      <c r="BN246" s="450">
        <v>124485.73</v>
      </c>
      <c r="BO246" s="450">
        <v>125746.53</v>
      </c>
      <c r="BP246" s="450">
        <v>127234.57</v>
      </c>
      <c r="BQ246" s="450">
        <v>128248.14</v>
      </c>
      <c r="BR246" s="450">
        <v>90789.16</v>
      </c>
      <c r="BS246" s="615" t="str">
        <f t="array" ref="BS246">XLOOKUP(D246,'PL TOTAL XP'!A:A,'PL TOTAL XP'!C:C,"0")</f>
        <v>0</v>
      </c>
      <c r="BT246" s="616"/>
    </row>
    <row r="247" ht="15.75" customHeight="1">
      <c r="A247" s="183" t="s">
        <v>3820</v>
      </c>
      <c r="B247" s="78" t="s">
        <v>1273</v>
      </c>
      <c r="C247" s="645" t="s">
        <v>4560</v>
      </c>
      <c r="D247" s="609">
        <v>6852608.0</v>
      </c>
      <c r="E247" s="512" t="s">
        <v>18</v>
      </c>
      <c r="F247" s="609" t="s">
        <v>19</v>
      </c>
      <c r="G247" s="512" t="s">
        <v>256</v>
      </c>
      <c r="H247" s="512" t="str">
        <f>IFERROR(VLOOKUP(G247,'Cadastro de assessores'!A:B,2,FALSE),"Não Cadastrado")</f>
        <v>18009</v>
      </c>
      <c r="I247" s="512"/>
      <c r="J247" s="51" t="s">
        <v>3823</v>
      </c>
      <c r="K247" s="512" t="s">
        <v>107</v>
      </c>
      <c r="L247" s="624">
        <v>44736.0</v>
      </c>
      <c r="M247" s="624">
        <v>44739.0</v>
      </c>
      <c r="N247" s="566"/>
      <c r="O247" s="566" t="s">
        <v>3834</v>
      </c>
      <c r="P247" s="612">
        <v>0.007</v>
      </c>
      <c r="Q247" s="224" t="s">
        <v>4561</v>
      </c>
      <c r="R247" s="613"/>
      <c r="S247" s="522" t="str">
        <f t="shared" ref="S247:S256" si="25">IF(BC247&lt;=0,"",IF(BC247&lt;=1000000,"Não Qualificado",IF(AND(BC247&gt;1000000,BC247&lt;=10000000),"Qualificado","Profissional")))</f>
        <v>Não Qualificado</v>
      </c>
      <c r="T247" s="522" t="s">
        <v>108</v>
      </c>
      <c r="U247" s="522" t="s">
        <v>2842</v>
      </c>
      <c r="V247" s="522" t="s">
        <v>19</v>
      </c>
      <c r="W247" s="468"/>
      <c r="X247" s="468"/>
      <c r="Y247" s="468"/>
      <c r="Z247" s="468"/>
      <c r="AA247" s="468"/>
      <c r="AB247" s="468"/>
      <c r="AC247" s="468"/>
      <c r="AD247" s="468"/>
      <c r="AE247" s="468"/>
      <c r="AF247" s="468"/>
      <c r="AG247" s="614"/>
      <c r="AH247" s="614"/>
      <c r="AI247" s="614"/>
      <c r="AJ247" s="450"/>
      <c r="AK247" s="450"/>
      <c r="AL247" s="450"/>
      <c r="AM247" s="450"/>
      <c r="AN247" s="450"/>
      <c r="AO247" s="450"/>
      <c r="AP247" s="450"/>
      <c r="AQ247" s="450"/>
      <c r="AR247" s="450"/>
      <c r="AS247" s="450"/>
      <c r="AT247" s="450"/>
      <c r="AU247" s="450"/>
      <c r="AV247" s="450"/>
      <c r="AW247" s="450"/>
      <c r="AX247" s="450"/>
      <c r="AY247" s="450"/>
      <c r="AZ247" s="450"/>
      <c r="BA247" s="450">
        <v>0.0</v>
      </c>
      <c r="BB247" s="450">
        <v>0.0</v>
      </c>
      <c r="BC247" s="450">
        <v>56786.33</v>
      </c>
      <c r="BD247" s="450" t="s">
        <v>2566</v>
      </c>
      <c r="BE247" s="450">
        <v>300172.43</v>
      </c>
      <c r="BF247" s="450">
        <v>403955.31</v>
      </c>
      <c r="BG247" s="450">
        <v>407641.8419</v>
      </c>
      <c r="BH247" s="450">
        <v>410925.36</v>
      </c>
      <c r="BI247" s="450">
        <v>210840.96</v>
      </c>
      <c r="BJ247" s="450">
        <v>212748.0</v>
      </c>
      <c r="BK247" s="450">
        <v>214611.3</v>
      </c>
      <c r="BL247" s="450">
        <v>4705.76</v>
      </c>
      <c r="BM247" s="450">
        <v>105.25</v>
      </c>
      <c r="BN247" s="450">
        <v>105.25</v>
      </c>
      <c r="BO247" s="450">
        <v>0.0</v>
      </c>
      <c r="BP247" s="450">
        <v>0.0</v>
      </c>
      <c r="BQ247" s="450">
        <v>0.0</v>
      </c>
      <c r="BR247" s="450">
        <v>0.0</v>
      </c>
      <c r="BS247" s="615">
        <f t="array" ref="BS247">XLOOKUP(D247,'PL TOTAL XP'!A:A,'PL TOTAL XP'!C:C,"0")</f>
        <v>0</v>
      </c>
      <c r="BT247" s="616"/>
    </row>
    <row r="248" ht="15.75" customHeight="1">
      <c r="A248" s="183" t="s">
        <v>3820</v>
      </c>
      <c r="B248" s="78" t="s">
        <v>3089</v>
      </c>
      <c r="C248" s="617" t="s">
        <v>3087</v>
      </c>
      <c r="D248" s="512">
        <v>4898136.0</v>
      </c>
      <c r="E248" s="512" t="s">
        <v>2550</v>
      </c>
      <c r="F248" s="512" t="s">
        <v>29</v>
      </c>
      <c r="G248" s="512" t="s">
        <v>2550</v>
      </c>
      <c r="H248" s="512" t="str">
        <f>IFERROR(VLOOKUP(G248,'Cadastro de assessores'!A:B,2,FALSE),"Não Cadastrado")</f>
        <v>18986</v>
      </c>
      <c r="I248" s="512"/>
      <c r="J248" s="51" t="s">
        <v>3823</v>
      </c>
      <c r="K248" s="512" t="s">
        <v>107</v>
      </c>
      <c r="L248" s="610">
        <v>44257.0</v>
      </c>
      <c r="M248" s="610">
        <v>44263.0</v>
      </c>
      <c r="N248" s="522"/>
      <c r="O248" s="522" t="s">
        <v>3836</v>
      </c>
      <c r="P248" s="612">
        <v>0.012</v>
      </c>
      <c r="Q248" s="620"/>
      <c r="R248" s="613"/>
      <c r="S248" s="522" t="str">
        <f t="shared" si="25"/>
        <v>Não Qualificado</v>
      </c>
      <c r="T248" s="522" t="s">
        <v>108</v>
      </c>
      <c r="U248" s="522" t="s">
        <v>2623</v>
      </c>
      <c r="V248" s="522" t="s">
        <v>29</v>
      </c>
      <c r="W248" s="614"/>
      <c r="X248" s="614"/>
      <c r="Y248" s="614"/>
      <c r="Z248" s="614"/>
      <c r="AA248" s="614"/>
      <c r="AB248" s="614"/>
      <c r="AC248" s="614"/>
      <c r="AD248" s="614"/>
      <c r="AE248" s="614"/>
      <c r="AF248" s="614"/>
      <c r="AG248" s="614"/>
      <c r="AH248" s="614"/>
      <c r="AI248" s="614"/>
      <c r="AJ248" s="614"/>
      <c r="AK248" s="450"/>
      <c r="AL248" s="450"/>
      <c r="AM248" s="450"/>
      <c r="AN248" s="450">
        <v>213859.75</v>
      </c>
      <c r="AO248" s="450">
        <v>227891.33</v>
      </c>
      <c r="AP248" s="450">
        <v>229004.28</v>
      </c>
      <c r="AQ248" s="450">
        <v>228581.73</v>
      </c>
      <c r="AR248" s="450">
        <v>231621.53</v>
      </c>
      <c r="AS248" s="450">
        <v>251196.5</v>
      </c>
      <c r="AT248" s="450">
        <v>298612.63</v>
      </c>
      <c r="AU248" s="450">
        <v>298243.32</v>
      </c>
      <c r="AV248" s="450">
        <v>296661.82</v>
      </c>
      <c r="AW248" s="450">
        <v>192188.11</v>
      </c>
      <c r="AX248" s="450">
        <v>103681.55</v>
      </c>
      <c r="AY248" s="450">
        <v>105715.15</v>
      </c>
      <c r="AZ248" s="450">
        <v>108456.45</v>
      </c>
      <c r="BA248" s="450">
        <v>109216.83</v>
      </c>
      <c r="BB248" s="450">
        <v>111903.92</v>
      </c>
      <c r="BC248" s="450">
        <v>305046.32</v>
      </c>
      <c r="BD248" s="450">
        <v>112098.12</v>
      </c>
      <c r="BE248" s="450">
        <v>112245.85</v>
      </c>
      <c r="BF248" s="450">
        <v>254771.79</v>
      </c>
      <c r="BG248" s="450">
        <v>256606.2013</v>
      </c>
      <c r="BH248" s="450">
        <v>258293.55</v>
      </c>
      <c r="BI248" s="450">
        <v>262919.7</v>
      </c>
      <c r="BJ248" s="450">
        <v>263647.9</v>
      </c>
      <c r="BK248" s="450">
        <v>265856.44</v>
      </c>
      <c r="BL248" s="450">
        <v>268870.87</v>
      </c>
      <c r="BM248" s="450">
        <v>270873.23</v>
      </c>
      <c r="BN248" s="450">
        <v>213723.32</v>
      </c>
      <c r="BO248" s="450">
        <v>215768.32</v>
      </c>
      <c r="BP248" s="450">
        <v>216330.79</v>
      </c>
      <c r="BQ248" s="450">
        <v>0.0</v>
      </c>
      <c r="BR248" s="450">
        <v>0.0</v>
      </c>
      <c r="BS248" s="615" t="str">
        <f t="array" ref="BS248">XLOOKUP(D248,'PL TOTAL XP'!A:A,'PL TOTAL XP'!C:C,"0")</f>
        <v>0</v>
      </c>
      <c r="BT248" s="616"/>
    </row>
    <row r="249" ht="15.75" customHeight="1">
      <c r="A249" s="183" t="s">
        <v>3820</v>
      </c>
      <c r="B249" s="78" t="s">
        <v>1291</v>
      </c>
      <c r="C249" s="645" t="s">
        <v>4562</v>
      </c>
      <c r="D249" s="623">
        <v>447631.0</v>
      </c>
      <c r="E249" s="512" t="s">
        <v>18</v>
      </c>
      <c r="F249" s="609" t="s">
        <v>19</v>
      </c>
      <c r="G249" s="512" t="s">
        <v>122</v>
      </c>
      <c r="H249" s="512" t="str">
        <f>IFERROR(VLOOKUP(G249,'Cadastro de assessores'!A:B,2,FALSE),"Não Cadastrado")</f>
        <v>18890</v>
      </c>
      <c r="I249" s="512"/>
      <c r="J249" s="51" t="s">
        <v>3823</v>
      </c>
      <c r="K249" s="512" t="s">
        <v>107</v>
      </c>
      <c r="L249" s="567">
        <v>44476.0</v>
      </c>
      <c r="M249" s="567">
        <v>44473.0</v>
      </c>
      <c r="N249" s="566"/>
      <c r="O249" s="566" t="s">
        <v>3828</v>
      </c>
      <c r="P249" s="612">
        <v>0.015</v>
      </c>
      <c r="Q249" s="224" t="s">
        <v>3932</v>
      </c>
      <c r="R249" s="613"/>
      <c r="S249" s="522" t="str">
        <f t="shared" si="25"/>
        <v/>
      </c>
      <c r="T249" s="522" t="s">
        <v>108</v>
      </c>
      <c r="U249" s="522" t="s">
        <v>2842</v>
      </c>
      <c r="V249" s="522" t="s">
        <v>19</v>
      </c>
      <c r="W249" s="468"/>
      <c r="X249" s="468"/>
      <c r="Y249" s="468"/>
      <c r="Z249" s="468"/>
      <c r="AA249" s="468"/>
      <c r="AB249" s="468"/>
      <c r="AC249" s="468"/>
      <c r="AD249" s="468"/>
      <c r="AE249" s="468"/>
      <c r="AF249" s="468"/>
      <c r="AG249" s="614"/>
      <c r="AH249" s="614"/>
      <c r="AI249" s="614"/>
      <c r="AJ249" s="450"/>
      <c r="AK249" s="450"/>
      <c r="AL249" s="450"/>
      <c r="AM249" s="450"/>
      <c r="AN249" s="450"/>
      <c r="AO249" s="450"/>
      <c r="AP249" s="450"/>
      <c r="AQ249" s="450"/>
      <c r="AR249" s="450"/>
      <c r="AS249" s="450"/>
      <c r="AT249" s="450"/>
      <c r="AU249" s="468"/>
      <c r="AV249" s="450"/>
      <c r="AW249" s="450">
        <v>75208.53</v>
      </c>
      <c r="AX249" s="450">
        <v>75386.11</v>
      </c>
      <c r="AY249" s="450">
        <v>76542.64</v>
      </c>
      <c r="AZ249" s="450">
        <v>80269.21</v>
      </c>
      <c r="BA249" s="450">
        <v>83636.81</v>
      </c>
      <c r="BB249" s="450">
        <v>87786.67</v>
      </c>
      <c r="BC249" s="450">
        <v>0.0</v>
      </c>
      <c r="BD249" s="450">
        <v>95806.68</v>
      </c>
      <c r="BE249" s="450">
        <v>97821.26</v>
      </c>
      <c r="BF249" s="450">
        <v>100812.05</v>
      </c>
      <c r="BG249" s="450">
        <v>103600.3258</v>
      </c>
      <c r="BH249" s="450">
        <v>107991.71</v>
      </c>
      <c r="BI249" s="450">
        <v>114842.49</v>
      </c>
      <c r="BJ249" s="450">
        <v>117385.72</v>
      </c>
      <c r="BK249" s="450">
        <v>121370.72</v>
      </c>
      <c r="BL249" s="450">
        <v>24695.4</v>
      </c>
      <c r="BM249" s="450">
        <v>108.74</v>
      </c>
      <c r="BN249" s="450">
        <v>14.15</v>
      </c>
      <c r="BO249" s="450">
        <v>74.58</v>
      </c>
      <c r="BP249" s="450">
        <v>75.18</v>
      </c>
      <c r="BQ249" s="450">
        <v>75.55</v>
      </c>
      <c r="BR249" s="450">
        <v>76.13</v>
      </c>
      <c r="BS249" s="615">
        <f t="array" ref="BS249">XLOOKUP(D249,'PL TOTAL XP'!A:A,'PL TOTAL XP'!C:C,"0")</f>
        <v>0</v>
      </c>
      <c r="BT249" s="616"/>
    </row>
    <row r="250" ht="15.75" customHeight="1">
      <c r="A250" s="183" t="s">
        <v>3820</v>
      </c>
      <c r="B250" s="78" t="s">
        <v>4563</v>
      </c>
      <c r="C250" s="617" t="s">
        <v>4564</v>
      </c>
      <c r="D250" s="522">
        <v>4396977.0</v>
      </c>
      <c r="E250" s="512" t="s">
        <v>18</v>
      </c>
      <c r="F250" s="512" t="s">
        <v>29</v>
      </c>
      <c r="G250" s="512" t="s">
        <v>2605</v>
      </c>
      <c r="H250" s="512" t="str">
        <f>IFERROR(VLOOKUP(G250,'Cadastro de assessores'!A:B,2,FALSE),"Não Cadastrado")</f>
        <v>18836</v>
      </c>
      <c r="I250" s="512"/>
      <c r="J250" s="51" t="s">
        <v>3823</v>
      </c>
      <c r="K250" s="522" t="s">
        <v>147</v>
      </c>
      <c r="L250" s="610">
        <v>44078.0</v>
      </c>
      <c r="M250" s="610">
        <v>44085.0</v>
      </c>
      <c r="N250" s="522"/>
      <c r="O250" s="522" t="s">
        <v>3824</v>
      </c>
      <c r="P250" s="612">
        <v>0.02</v>
      </c>
      <c r="Q250" s="620"/>
      <c r="R250" s="613"/>
      <c r="S250" s="522" t="str">
        <f t="shared" si="25"/>
        <v>Não Qualificado</v>
      </c>
      <c r="T250" s="522" t="s">
        <v>108</v>
      </c>
      <c r="U250" s="522" t="s">
        <v>2921</v>
      </c>
      <c r="V250" s="522" t="s">
        <v>34</v>
      </c>
      <c r="W250" s="614" t="s">
        <v>3830</v>
      </c>
      <c r="X250" s="614" t="s">
        <v>3830</v>
      </c>
      <c r="Y250" s="614" t="s">
        <v>3830</v>
      </c>
      <c r="Z250" s="614" t="s">
        <v>3830</v>
      </c>
      <c r="AA250" s="614" t="s">
        <v>3830</v>
      </c>
      <c r="AB250" s="614" t="s">
        <v>3830</v>
      </c>
      <c r="AC250" s="614" t="s">
        <v>3830</v>
      </c>
      <c r="AD250" s="614" t="s">
        <v>3830</v>
      </c>
      <c r="AE250" s="614" t="s">
        <v>3830</v>
      </c>
      <c r="AF250" s="614" t="s">
        <v>3830</v>
      </c>
      <c r="AG250" s="614" t="s">
        <v>3830</v>
      </c>
      <c r="AH250" s="614" t="s">
        <v>4565</v>
      </c>
      <c r="AI250" s="614" t="s">
        <v>4566</v>
      </c>
      <c r="AJ250" s="614" t="s">
        <v>4567</v>
      </c>
      <c r="AK250" s="450">
        <v>108361.82</v>
      </c>
      <c r="AL250" s="450">
        <v>106027.27</v>
      </c>
      <c r="AM250" s="450">
        <v>99507.34</v>
      </c>
      <c r="AN250" s="450">
        <v>99201.75</v>
      </c>
      <c r="AO250" s="450">
        <v>103250.27</v>
      </c>
      <c r="AP250" s="450">
        <v>103942.39</v>
      </c>
      <c r="AQ250" s="450">
        <v>103419.34</v>
      </c>
      <c r="AR250" s="450">
        <v>106481.19</v>
      </c>
      <c r="AS250" s="450">
        <v>916.79</v>
      </c>
      <c r="AT250" s="450">
        <v>915.25</v>
      </c>
      <c r="AU250" s="450">
        <v>913.71</v>
      </c>
      <c r="AV250" s="450">
        <v>331.02</v>
      </c>
      <c r="AW250" s="450">
        <v>910.84</v>
      </c>
      <c r="AX250" s="450">
        <v>909.44</v>
      </c>
      <c r="AY250" s="450">
        <v>907.83</v>
      </c>
      <c r="AZ250" s="450">
        <v>906.36</v>
      </c>
      <c r="BA250" s="450">
        <v>905.03</v>
      </c>
      <c r="BB250" s="450">
        <v>903.49</v>
      </c>
      <c r="BC250" s="450">
        <v>138438.39</v>
      </c>
      <c r="BD250" s="450">
        <v>666.26</v>
      </c>
      <c r="BE250" s="450">
        <v>671.51</v>
      </c>
      <c r="BF250" s="450">
        <v>676.37</v>
      </c>
      <c r="BG250" s="450">
        <v>682.24</v>
      </c>
      <c r="BH250" s="450">
        <v>687.4</v>
      </c>
      <c r="BI250" s="450">
        <v>693.24</v>
      </c>
      <c r="BJ250" s="450">
        <v>707.94</v>
      </c>
      <c r="BK250" s="450">
        <v>713.13</v>
      </c>
      <c r="BL250" s="450">
        <v>719.79</v>
      </c>
      <c r="BM250" s="450">
        <v>724.86</v>
      </c>
      <c r="BN250" s="450">
        <v>726.96</v>
      </c>
      <c r="BO250" s="450">
        <v>726.96</v>
      </c>
      <c r="BP250" s="450">
        <v>726.96</v>
      </c>
      <c r="BQ250" s="450">
        <v>726.96</v>
      </c>
      <c r="BR250" s="450">
        <v>726.96</v>
      </c>
      <c r="BS250" s="615">
        <f t="array" ref="BS250">XLOOKUP(D250,'PL TOTAL XP'!A:A,'PL TOTAL XP'!C:C,"0")</f>
        <v>0</v>
      </c>
      <c r="BT250" s="616"/>
    </row>
    <row r="251" ht="15.75" customHeight="1">
      <c r="A251" s="183" t="s">
        <v>3820</v>
      </c>
      <c r="B251" s="78" t="s">
        <v>1295</v>
      </c>
      <c r="C251" s="617" t="s">
        <v>1292</v>
      </c>
      <c r="D251" s="522">
        <v>4551730.0</v>
      </c>
      <c r="E251" s="512" t="s">
        <v>18</v>
      </c>
      <c r="F251" s="512" t="s">
        <v>29</v>
      </c>
      <c r="G251" s="512" t="s">
        <v>294</v>
      </c>
      <c r="H251" s="512">
        <f>IFERROR(VLOOKUP(G251,'Cadastro de assessores'!A:B,2,FALSE),"Não Cadastrado")</f>
        <v>12359</v>
      </c>
      <c r="I251" s="512"/>
      <c r="J251" s="51" t="s">
        <v>3823</v>
      </c>
      <c r="K251" s="512" t="s">
        <v>107</v>
      </c>
      <c r="L251" s="610">
        <v>44138.0</v>
      </c>
      <c r="M251" s="610">
        <v>44138.0</v>
      </c>
      <c r="N251" s="522"/>
      <c r="O251" s="522" t="s">
        <v>3836</v>
      </c>
      <c r="P251" s="612">
        <v>0.012</v>
      </c>
      <c r="Q251" s="620" t="s">
        <v>3924</v>
      </c>
      <c r="R251" s="613"/>
      <c r="S251" s="522" t="str">
        <f t="shared" si="25"/>
        <v>Não Qualificado</v>
      </c>
      <c r="T251" s="522" t="s">
        <v>108</v>
      </c>
      <c r="U251" s="522" t="s">
        <v>3487</v>
      </c>
      <c r="V251" s="522" t="s">
        <v>29</v>
      </c>
      <c r="W251" s="614" t="s">
        <v>3830</v>
      </c>
      <c r="X251" s="614" t="s">
        <v>3830</v>
      </c>
      <c r="Y251" s="614" t="s">
        <v>3830</v>
      </c>
      <c r="Z251" s="614" t="s">
        <v>3830</v>
      </c>
      <c r="AA251" s="614" t="s">
        <v>3830</v>
      </c>
      <c r="AB251" s="614" t="s">
        <v>3830</v>
      </c>
      <c r="AC251" s="614" t="s">
        <v>3830</v>
      </c>
      <c r="AD251" s="614" t="s">
        <v>3830</v>
      </c>
      <c r="AE251" s="614" t="s">
        <v>3830</v>
      </c>
      <c r="AF251" s="614" t="s">
        <v>3830</v>
      </c>
      <c r="AG251" s="614" t="s">
        <v>3830</v>
      </c>
      <c r="AH251" s="614" t="s">
        <v>3830</v>
      </c>
      <c r="AI251" s="614" t="s">
        <v>4568</v>
      </c>
      <c r="AJ251" s="614" t="s">
        <v>4569</v>
      </c>
      <c r="AK251" s="450">
        <v>104325.2</v>
      </c>
      <c r="AL251" s="450">
        <v>103528.66</v>
      </c>
      <c r="AM251" s="450">
        <v>101829.66</v>
      </c>
      <c r="AN251" s="450">
        <v>101641.3</v>
      </c>
      <c r="AO251" s="450">
        <v>101946.93</v>
      </c>
      <c r="AP251" s="450">
        <v>103118.12</v>
      </c>
      <c r="AQ251" s="450">
        <v>102889.13</v>
      </c>
      <c r="AR251" s="450">
        <v>104117.18</v>
      </c>
      <c r="AS251" s="450">
        <v>103819.22</v>
      </c>
      <c r="AT251" s="450">
        <v>102900.17</v>
      </c>
      <c r="AU251" s="450">
        <v>102724.46</v>
      </c>
      <c r="AV251" s="450">
        <v>101911.75</v>
      </c>
      <c r="AW251" s="450">
        <v>100103.84</v>
      </c>
      <c r="AX251" s="450">
        <v>100693.53</v>
      </c>
      <c r="AY251" s="450">
        <v>101810.18</v>
      </c>
      <c r="AZ251" s="450">
        <v>102941.52</v>
      </c>
      <c r="BA251" s="450">
        <v>103727.51</v>
      </c>
      <c r="BB251" s="450">
        <v>106374.41</v>
      </c>
      <c r="BC251" s="450">
        <v>131.88</v>
      </c>
      <c r="BD251" s="450">
        <v>74690.01</v>
      </c>
      <c r="BE251" s="450">
        <v>28868.39</v>
      </c>
      <c r="BF251" s="450">
        <v>29350.47</v>
      </c>
      <c r="BG251" s="450">
        <v>24467.26</v>
      </c>
      <c r="BH251" s="450">
        <v>4657.47</v>
      </c>
      <c r="BI251" s="450">
        <v>4686.49</v>
      </c>
      <c r="BJ251" s="450">
        <v>4660.13</v>
      </c>
      <c r="BK251" s="450">
        <v>4696.13</v>
      </c>
      <c r="BL251" s="450">
        <v>4846.39</v>
      </c>
      <c r="BM251" s="450">
        <v>4911.36</v>
      </c>
      <c r="BN251" s="450">
        <v>0.0</v>
      </c>
      <c r="BO251" s="450">
        <v>0.0</v>
      </c>
      <c r="BP251" s="450">
        <v>0.0</v>
      </c>
      <c r="BQ251" s="450">
        <v>0.0</v>
      </c>
      <c r="BR251" s="450">
        <v>0.0</v>
      </c>
      <c r="BS251" s="615">
        <f t="array" ref="BS251">XLOOKUP(D251,'PL TOTAL XP'!A:A,'PL TOTAL XP'!C:C,"0")</f>
        <v>0</v>
      </c>
      <c r="BT251" s="616"/>
    </row>
    <row r="252" ht="15.75" customHeight="1">
      <c r="A252" s="183" t="s">
        <v>3820</v>
      </c>
      <c r="B252" s="78" t="s">
        <v>4570</v>
      </c>
      <c r="C252" s="617" t="s">
        <v>4571</v>
      </c>
      <c r="D252" s="522">
        <v>4416642.0</v>
      </c>
      <c r="E252" s="512" t="s">
        <v>105</v>
      </c>
      <c r="F252" s="512" t="s">
        <v>29</v>
      </c>
      <c r="G252" s="512" t="s">
        <v>4087</v>
      </c>
      <c r="H252" s="512" t="str">
        <f>IFERROR(VLOOKUP(G252,'Cadastro de assessores'!A:B,2,FALSE),"Não Cadastrado")</f>
        <v>17243</v>
      </c>
      <c r="I252" s="512"/>
      <c r="J252" s="51" t="s">
        <v>3823</v>
      </c>
      <c r="K252" s="522" t="s">
        <v>107</v>
      </c>
      <c r="L252" s="610">
        <v>44069.0</v>
      </c>
      <c r="M252" s="610">
        <v>44074.0</v>
      </c>
      <c r="N252" s="522"/>
      <c r="O252" s="522" t="s">
        <v>3824</v>
      </c>
      <c r="P252" s="612">
        <v>0.02</v>
      </c>
      <c r="Q252" s="620"/>
      <c r="R252" s="613"/>
      <c r="S252" s="522" t="str">
        <f t="shared" si="25"/>
        <v>Não Qualificado</v>
      </c>
      <c r="T252" s="522" t="s">
        <v>108</v>
      </c>
      <c r="U252" s="522" t="s">
        <v>2591</v>
      </c>
      <c r="V252" s="522" t="s">
        <v>29</v>
      </c>
      <c r="W252" s="614" t="s">
        <v>3830</v>
      </c>
      <c r="X252" s="614" t="s">
        <v>3830</v>
      </c>
      <c r="Y252" s="614" t="s">
        <v>3830</v>
      </c>
      <c r="Z252" s="614" t="s">
        <v>3830</v>
      </c>
      <c r="AA252" s="614" t="s">
        <v>3830</v>
      </c>
      <c r="AB252" s="614" t="s">
        <v>3830</v>
      </c>
      <c r="AC252" s="614" t="s">
        <v>3830</v>
      </c>
      <c r="AD252" s="614" t="s">
        <v>3830</v>
      </c>
      <c r="AE252" s="614" t="s">
        <v>3830</v>
      </c>
      <c r="AF252" s="614" t="s">
        <v>3830</v>
      </c>
      <c r="AG252" s="614" t="s">
        <v>4572</v>
      </c>
      <c r="AH252" s="614" t="s">
        <v>4573</v>
      </c>
      <c r="AI252" s="614" t="s">
        <v>4574</v>
      </c>
      <c r="AJ252" s="614" t="s">
        <v>4575</v>
      </c>
      <c r="AK252" s="450">
        <v>316805.16</v>
      </c>
      <c r="AL252" s="450">
        <v>320204.33</v>
      </c>
      <c r="AM252" s="450">
        <v>292250.15</v>
      </c>
      <c r="AN252" s="450">
        <v>290704.92</v>
      </c>
      <c r="AO252" s="450">
        <v>303938.2</v>
      </c>
      <c r="AP252" s="450">
        <v>306405.89</v>
      </c>
      <c r="AQ252" s="450">
        <v>304462.66</v>
      </c>
      <c r="AR252" s="450">
        <v>315061.71</v>
      </c>
      <c r="AS252" s="450">
        <v>309980.21</v>
      </c>
      <c r="AT252" s="450">
        <v>300664.49</v>
      </c>
      <c r="AU252" s="450">
        <v>298597.45</v>
      </c>
      <c r="AV252" s="450">
        <v>289212.87</v>
      </c>
      <c r="AW252" s="450">
        <v>274144.36</v>
      </c>
      <c r="AX252" s="450">
        <v>273280.43</v>
      </c>
      <c r="AY252" s="450">
        <v>277827.08</v>
      </c>
      <c r="AZ252" s="450">
        <v>290302.11</v>
      </c>
      <c r="BA252" s="450">
        <v>292716.25</v>
      </c>
      <c r="BB252" s="450">
        <v>350.96</v>
      </c>
      <c r="BC252" s="450">
        <v>3815.39</v>
      </c>
      <c r="BD252" s="450">
        <v>376.99</v>
      </c>
      <c r="BE252" s="450">
        <v>376.99</v>
      </c>
      <c r="BF252" s="450">
        <v>377.0</v>
      </c>
      <c r="BG252" s="450">
        <v>377.0</v>
      </c>
      <c r="BH252" s="450">
        <v>377.0</v>
      </c>
      <c r="BI252" s="450">
        <v>377.0</v>
      </c>
      <c r="BJ252" s="450">
        <v>377.0</v>
      </c>
      <c r="BK252" s="450">
        <v>377.0</v>
      </c>
      <c r="BL252" s="450">
        <v>377.0</v>
      </c>
      <c r="BM252" s="450">
        <v>377.0</v>
      </c>
      <c r="BN252" s="450">
        <v>377.0</v>
      </c>
      <c r="BO252" s="450">
        <v>377.0</v>
      </c>
      <c r="BP252" s="450">
        <v>377.0</v>
      </c>
      <c r="BQ252" s="450">
        <v>377.0</v>
      </c>
      <c r="BR252" s="450">
        <v>377.0</v>
      </c>
      <c r="BS252" s="615">
        <f t="array" ref="BS252">XLOOKUP(D252,'PL TOTAL XP'!A:A,'PL TOTAL XP'!C:C,"0")</f>
        <v>0</v>
      </c>
      <c r="BT252" s="616"/>
    </row>
    <row r="253" ht="15.75" customHeight="1">
      <c r="A253" s="183" t="s">
        <v>3820</v>
      </c>
      <c r="B253" s="78" t="s">
        <v>1301</v>
      </c>
      <c r="C253" s="617" t="s">
        <v>4576</v>
      </c>
      <c r="D253" s="522">
        <v>4413569.0</v>
      </c>
      <c r="E253" s="512" t="s">
        <v>105</v>
      </c>
      <c r="F253" s="512" t="s">
        <v>29</v>
      </c>
      <c r="G253" s="512" t="s">
        <v>3993</v>
      </c>
      <c r="H253" s="512" t="str">
        <f>IFERROR(VLOOKUP(G253,'Cadastro de assessores'!A:B,2,FALSE),"Não Cadastrado")</f>
        <v>16459</v>
      </c>
      <c r="I253" s="512"/>
      <c r="J253" s="51" t="s">
        <v>3823</v>
      </c>
      <c r="K253" s="512" t="s">
        <v>107</v>
      </c>
      <c r="L253" s="610">
        <v>44070.0</v>
      </c>
      <c r="M253" s="610">
        <v>44075.0</v>
      </c>
      <c r="N253" s="566"/>
      <c r="O253" s="566" t="s">
        <v>3869</v>
      </c>
      <c r="P253" s="612">
        <v>0.015</v>
      </c>
      <c r="Q253" s="620" t="s">
        <v>4577</v>
      </c>
      <c r="R253" s="613"/>
      <c r="S253" s="522" t="str">
        <f t="shared" si="25"/>
        <v/>
      </c>
      <c r="T253" s="522" t="s">
        <v>108</v>
      </c>
      <c r="U253" s="522" t="s">
        <v>2623</v>
      </c>
      <c r="V253" s="522" t="s">
        <v>29</v>
      </c>
      <c r="W253" s="614" t="s">
        <v>3830</v>
      </c>
      <c r="X253" s="614" t="s">
        <v>3830</v>
      </c>
      <c r="Y253" s="614" t="s">
        <v>3830</v>
      </c>
      <c r="Z253" s="614" t="s">
        <v>3830</v>
      </c>
      <c r="AA253" s="614" t="s">
        <v>3830</v>
      </c>
      <c r="AB253" s="614" t="s">
        <v>3830</v>
      </c>
      <c r="AC253" s="614" t="s">
        <v>3830</v>
      </c>
      <c r="AD253" s="614" t="s">
        <v>3830</v>
      </c>
      <c r="AE253" s="614" t="s">
        <v>3830</v>
      </c>
      <c r="AF253" s="614" t="s">
        <v>3830</v>
      </c>
      <c r="AG253" s="614" t="s">
        <v>4578</v>
      </c>
      <c r="AH253" s="614" t="s">
        <v>4579</v>
      </c>
      <c r="AI253" s="614" t="s">
        <v>4580</v>
      </c>
      <c r="AJ253" s="614" t="s">
        <v>4581</v>
      </c>
      <c r="AK253" s="450">
        <v>326603.8</v>
      </c>
      <c r="AL253" s="450">
        <v>320724.36</v>
      </c>
      <c r="AM253" s="450">
        <v>505636.79</v>
      </c>
      <c r="AN253" s="450">
        <v>504844.17</v>
      </c>
      <c r="AO253" s="450">
        <v>521223.31</v>
      </c>
      <c r="AP253" s="450">
        <v>522952.55</v>
      </c>
      <c r="AQ253" s="450">
        <v>524754.6</v>
      </c>
      <c r="AR253" s="450">
        <v>516944.59</v>
      </c>
      <c r="AS253" s="450">
        <v>511639.98</v>
      </c>
      <c r="AT253" s="450">
        <v>521775.51</v>
      </c>
      <c r="AU253" s="450">
        <v>508024.5</v>
      </c>
      <c r="AV253" s="450">
        <v>504018.63</v>
      </c>
      <c r="AW253" s="450">
        <v>497706.63</v>
      </c>
      <c r="AX253" s="450">
        <v>472335.95</v>
      </c>
      <c r="AY253" s="450">
        <v>503396.0</v>
      </c>
      <c r="AZ253" s="450">
        <v>505067.39</v>
      </c>
      <c r="BA253" s="450">
        <v>505212.17</v>
      </c>
      <c r="BB253" s="450">
        <v>510319.17</v>
      </c>
      <c r="BC253" s="450">
        <v>0.0</v>
      </c>
      <c r="BD253" s="450">
        <v>514937.94</v>
      </c>
      <c r="BE253" s="450">
        <v>515064.75</v>
      </c>
      <c r="BF253" s="450">
        <v>521460.78</v>
      </c>
      <c r="BG253" s="450">
        <v>535165.74</v>
      </c>
      <c r="BH253" s="450">
        <v>534559.59</v>
      </c>
      <c r="BI253" s="450">
        <v>539507.31</v>
      </c>
      <c r="BJ253" s="450">
        <v>523437.45</v>
      </c>
      <c r="BK253" s="450">
        <v>521955.0</v>
      </c>
      <c r="BL253" s="450">
        <v>524345.02</v>
      </c>
      <c r="BM253" s="450">
        <v>521396.21</v>
      </c>
      <c r="BN253" s="450">
        <v>481968.84</v>
      </c>
      <c r="BO253" s="450">
        <v>495760.99</v>
      </c>
      <c r="BP253" s="450">
        <v>0.0</v>
      </c>
      <c r="BQ253" s="450">
        <v>0.0</v>
      </c>
      <c r="BR253" s="450">
        <v>0.0</v>
      </c>
      <c r="BS253" s="615" t="str">
        <f t="array" ref="BS253">XLOOKUP(D253,'PL TOTAL XP'!A:A,'PL TOTAL XP'!C:C,"0")</f>
        <v>0</v>
      </c>
      <c r="BT253" s="616"/>
    </row>
    <row r="254" ht="15.75" customHeight="1">
      <c r="A254" s="183" t="s">
        <v>3820</v>
      </c>
      <c r="B254" s="78" t="s">
        <v>1301</v>
      </c>
      <c r="C254" s="617" t="s">
        <v>4576</v>
      </c>
      <c r="D254" s="522">
        <v>4307232.0</v>
      </c>
      <c r="E254" s="512" t="s">
        <v>105</v>
      </c>
      <c r="F254" s="512" t="s">
        <v>29</v>
      </c>
      <c r="G254" s="512" t="s">
        <v>3993</v>
      </c>
      <c r="H254" s="512" t="str">
        <f>IFERROR(VLOOKUP(G254,'Cadastro de assessores'!A:B,2,FALSE),"Não Cadastrado")</f>
        <v>16459</v>
      </c>
      <c r="I254" s="512"/>
      <c r="J254" s="51" t="s">
        <v>3823</v>
      </c>
      <c r="K254" s="512" t="s">
        <v>107</v>
      </c>
      <c r="L254" s="610">
        <v>44050.0</v>
      </c>
      <c r="M254" s="610">
        <v>44054.0</v>
      </c>
      <c r="N254" s="522"/>
      <c r="O254" s="522" t="s">
        <v>3840</v>
      </c>
      <c r="P254" s="612">
        <v>0.025</v>
      </c>
      <c r="Q254" s="620"/>
      <c r="R254" s="613"/>
      <c r="S254" s="522" t="str">
        <f t="shared" si="25"/>
        <v>Não Qualificado</v>
      </c>
      <c r="T254" s="522" t="s">
        <v>108</v>
      </c>
      <c r="U254" s="522" t="s">
        <v>2623</v>
      </c>
      <c r="V254" s="522" t="s">
        <v>29</v>
      </c>
      <c r="W254" s="614" t="s">
        <v>3830</v>
      </c>
      <c r="X254" s="614" t="s">
        <v>3830</v>
      </c>
      <c r="Y254" s="614" t="s">
        <v>3830</v>
      </c>
      <c r="Z254" s="614" t="s">
        <v>3830</v>
      </c>
      <c r="AA254" s="614" t="s">
        <v>3830</v>
      </c>
      <c r="AB254" s="614" t="s">
        <v>3830</v>
      </c>
      <c r="AC254" s="614" t="s">
        <v>3830</v>
      </c>
      <c r="AD254" s="614" t="s">
        <v>3830</v>
      </c>
      <c r="AE254" s="614" t="s">
        <v>3830</v>
      </c>
      <c r="AF254" s="614" t="s">
        <v>3830</v>
      </c>
      <c r="AG254" s="614" t="s">
        <v>4582</v>
      </c>
      <c r="AH254" s="614" t="s">
        <v>4583</v>
      </c>
      <c r="AI254" s="614" t="s">
        <v>4584</v>
      </c>
      <c r="AJ254" s="614" t="s">
        <v>4585</v>
      </c>
      <c r="AK254" s="450">
        <v>672695.11</v>
      </c>
      <c r="AL254" s="450">
        <v>641883.52</v>
      </c>
      <c r="AM254" s="450">
        <v>882055.87</v>
      </c>
      <c r="AN254" s="450">
        <v>879186.38</v>
      </c>
      <c r="AO254" s="450">
        <v>956056.79</v>
      </c>
      <c r="AP254" s="450">
        <v>968801.99</v>
      </c>
      <c r="AQ254" s="450">
        <v>958806.26</v>
      </c>
      <c r="AR254" s="450">
        <v>1013491.45</v>
      </c>
      <c r="AS254" s="450">
        <v>990056.97</v>
      </c>
      <c r="AT254" s="450">
        <v>937261.89</v>
      </c>
      <c r="AU254" s="450">
        <v>916777.25</v>
      </c>
      <c r="AV254" s="450">
        <v>865336.39</v>
      </c>
      <c r="AW254" s="450">
        <v>798654.95</v>
      </c>
      <c r="AX254" s="450">
        <v>791193.15</v>
      </c>
      <c r="AY254" s="450">
        <v>806349.97</v>
      </c>
      <c r="AZ254" s="450">
        <v>864281.01</v>
      </c>
      <c r="BA254" s="450">
        <v>873342.86</v>
      </c>
      <c r="BB254" s="450">
        <v>935367.44</v>
      </c>
      <c r="BC254" s="450">
        <v>6148.19</v>
      </c>
      <c r="BD254" s="450">
        <v>877408.92</v>
      </c>
      <c r="BE254" s="450">
        <v>832817.92</v>
      </c>
      <c r="BF254" s="450">
        <v>880636.02</v>
      </c>
      <c r="BG254" s="450">
        <v>889378.6144</v>
      </c>
      <c r="BH254" s="450">
        <v>880060.1</v>
      </c>
      <c r="BI254" s="450">
        <v>969052.79</v>
      </c>
      <c r="BJ254" s="450">
        <v>944751.47</v>
      </c>
      <c r="BK254" s="450">
        <v>941216.41</v>
      </c>
      <c r="BL254" s="450">
        <v>956968.09</v>
      </c>
      <c r="BM254" s="450">
        <v>918822.71</v>
      </c>
      <c r="BN254" s="450">
        <v>725122.22</v>
      </c>
      <c r="BO254" s="450">
        <v>0.0</v>
      </c>
      <c r="BP254" s="450">
        <v>0.0</v>
      </c>
      <c r="BQ254" s="450">
        <v>0.0</v>
      </c>
      <c r="BR254" s="450">
        <v>0.0</v>
      </c>
      <c r="BS254" s="615">
        <f t="array" ref="BS254">XLOOKUP(D254,'PL TOTAL XP'!A:A,'PL TOTAL XP'!C:C,"0")</f>
        <v>0</v>
      </c>
      <c r="BT254" s="616"/>
    </row>
    <row r="255" ht="15.75" customHeight="1">
      <c r="A255" s="183" t="s">
        <v>3820</v>
      </c>
      <c r="B255" s="78" t="s">
        <v>4586</v>
      </c>
      <c r="C255" s="617" t="s">
        <v>4587</v>
      </c>
      <c r="D255" s="522">
        <v>4871016.0</v>
      </c>
      <c r="E255" s="522" t="s">
        <v>18</v>
      </c>
      <c r="F255" s="522" t="s">
        <v>19</v>
      </c>
      <c r="G255" s="522" t="s">
        <v>256</v>
      </c>
      <c r="H255" s="522" t="str">
        <f>IFERROR(VLOOKUP(G255,'Cadastro de assessores'!A:B,2,FALSE),"Não Cadastrado")</f>
        <v>18009</v>
      </c>
      <c r="I255" s="522"/>
      <c r="J255" s="51" t="s">
        <v>186</v>
      </c>
      <c r="K255" s="522" t="s">
        <v>2563</v>
      </c>
      <c r="L255" s="670" t="s">
        <v>2600</v>
      </c>
      <c r="M255" s="619">
        <v>44252.0</v>
      </c>
      <c r="N255" s="618">
        <v>44524.0</v>
      </c>
      <c r="O255" s="522" t="s">
        <v>3840</v>
      </c>
      <c r="P255" s="612">
        <v>0.025</v>
      </c>
      <c r="Q255" s="620" t="s">
        <v>4024</v>
      </c>
      <c r="R255" s="613"/>
      <c r="S255" s="522" t="str">
        <f t="shared" si="25"/>
        <v>Não Qualificado</v>
      </c>
      <c r="T255" s="522" t="s">
        <v>108</v>
      </c>
      <c r="U255" s="522" t="s">
        <v>2678</v>
      </c>
      <c r="V255" s="522" t="s">
        <v>180</v>
      </c>
      <c r="W255" s="614"/>
      <c r="X255" s="614"/>
      <c r="Y255" s="614"/>
      <c r="Z255" s="614"/>
      <c r="AA255" s="614"/>
      <c r="AB255" s="614"/>
      <c r="AC255" s="614"/>
      <c r="AD255" s="614"/>
      <c r="AE255" s="614"/>
      <c r="AF255" s="614"/>
      <c r="AG255" s="614"/>
      <c r="AH255" s="614"/>
      <c r="AI255" s="614"/>
      <c r="AJ255" s="614"/>
      <c r="AK255" s="450"/>
      <c r="AL255" s="450"/>
      <c r="AM255" s="450">
        <v>114552.61</v>
      </c>
      <c r="AN255" s="450">
        <v>114579.69</v>
      </c>
      <c r="AO255" s="450">
        <v>123286.79</v>
      </c>
      <c r="AP255" s="450">
        <v>125349.58</v>
      </c>
      <c r="AQ255" s="450">
        <v>123934.44</v>
      </c>
      <c r="AR255" s="450">
        <v>131002.6</v>
      </c>
      <c r="AS255" s="450">
        <v>150834.06</v>
      </c>
      <c r="AT255" s="450">
        <v>141603.69</v>
      </c>
      <c r="AU255" s="450">
        <v>142019.92</v>
      </c>
      <c r="AV255" s="450">
        <v>133667.67</v>
      </c>
      <c r="AW255" s="450">
        <v>128016.92</v>
      </c>
      <c r="AX255" s="450">
        <v>125890.55</v>
      </c>
      <c r="AY255" s="450"/>
      <c r="AZ255" s="450"/>
      <c r="BA255" s="450">
        <v>0.0</v>
      </c>
      <c r="BB255" s="450">
        <v>0.0</v>
      </c>
      <c r="BC255" s="450">
        <v>871216.64</v>
      </c>
      <c r="BD255" s="450" t="s">
        <v>2566</v>
      </c>
      <c r="BE255" s="450" t="s">
        <v>2566</v>
      </c>
      <c r="BF255" s="450">
        <v>0.0</v>
      </c>
      <c r="BG255" s="450">
        <v>0.0</v>
      </c>
      <c r="BH255" s="450">
        <v>0.0</v>
      </c>
      <c r="BI255" s="450">
        <v>0.0</v>
      </c>
      <c r="BJ255" s="450">
        <v>0.0</v>
      </c>
      <c r="BK255" s="450">
        <v>0.0</v>
      </c>
      <c r="BL255" s="450">
        <v>0.0</v>
      </c>
      <c r="BM255" s="450">
        <v>0.0</v>
      </c>
      <c r="BN255" s="450">
        <v>0.0</v>
      </c>
      <c r="BO255" s="450">
        <v>0.0</v>
      </c>
      <c r="BP255" s="450">
        <v>0.0</v>
      </c>
      <c r="BQ255" s="450">
        <v>0.0</v>
      </c>
      <c r="BR255" s="450">
        <v>0.0</v>
      </c>
      <c r="BS255" s="615" t="str">
        <f t="array" ref="BS255">XLOOKUP(D255,'PL TOTAL XP'!A:A,'PL TOTAL XP'!C:C,"0")</f>
        <v>0</v>
      </c>
      <c r="BT255" s="616"/>
    </row>
    <row r="256" ht="15.75" customHeight="1">
      <c r="A256" s="183" t="s">
        <v>3820</v>
      </c>
      <c r="B256" s="78" t="s">
        <v>1313</v>
      </c>
      <c r="C256" s="617" t="s">
        <v>4588</v>
      </c>
      <c r="D256" s="522">
        <v>4461684.0</v>
      </c>
      <c r="E256" s="512" t="s">
        <v>2550</v>
      </c>
      <c r="F256" s="512" t="s">
        <v>29</v>
      </c>
      <c r="G256" s="512" t="s">
        <v>2550</v>
      </c>
      <c r="H256" s="512" t="str">
        <f>IFERROR(VLOOKUP(G256,'Cadastro de assessores'!A:B,2,FALSE),"Não Cadastrado")</f>
        <v>18986</v>
      </c>
      <c r="I256" s="512"/>
      <c r="J256" s="51" t="s">
        <v>3823</v>
      </c>
      <c r="K256" s="512" t="s">
        <v>107</v>
      </c>
      <c r="L256" s="611">
        <v>44117.0</v>
      </c>
      <c r="M256" s="611">
        <v>44118.0</v>
      </c>
      <c r="N256" s="522"/>
      <c r="O256" s="522" t="s">
        <v>3836</v>
      </c>
      <c r="P256" s="612">
        <v>0.012</v>
      </c>
      <c r="Q256" s="620"/>
      <c r="R256" s="613"/>
      <c r="S256" s="522" t="str">
        <f t="shared" si="25"/>
        <v>Não Qualificado</v>
      </c>
      <c r="T256" s="522" t="s">
        <v>108</v>
      </c>
      <c r="U256" s="522" t="s">
        <v>2591</v>
      </c>
      <c r="V256" s="522" t="s">
        <v>29</v>
      </c>
      <c r="W256" s="614" t="s">
        <v>3830</v>
      </c>
      <c r="X256" s="614" t="s">
        <v>3830</v>
      </c>
      <c r="Y256" s="614" t="s">
        <v>3830</v>
      </c>
      <c r="Z256" s="614" t="s">
        <v>3830</v>
      </c>
      <c r="AA256" s="614" t="s">
        <v>3830</v>
      </c>
      <c r="AB256" s="614" t="s">
        <v>3830</v>
      </c>
      <c r="AC256" s="614" t="s">
        <v>3830</v>
      </c>
      <c r="AD256" s="614" t="s">
        <v>3830</v>
      </c>
      <c r="AE256" s="614" t="s">
        <v>3830</v>
      </c>
      <c r="AF256" s="614" t="s">
        <v>3830</v>
      </c>
      <c r="AG256" s="614" t="s">
        <v>3830</v>
      </c>
      <c r="AH256" s="614" t="s">
        <v>3830</v>
      </c>
      <c r="AI256" s="614" t="s">
        <v>4589</v>
      </c>
      <c r="AJ256" s="614" t="s">
        <v>4590</v>
      </c>
      <c r="AK256" s="450">
        <v>932457.92</v>
      </c>
      <c r="AL256" s="450">
        <v>925867.44</v>
      </c>
      <c r="AM256" s="450">
        <v>911967.73</v>
      </c>
      <c r="AN256" s="450">
        <v>911515.4</v>
      </c>
      <c r="AO256" s="450">
        <v>923584.84</v>
      </c>
      <c r="AP256" s="450">
        <v>925710.06</v>
      </c>
      <c r="AQ256" s="450">
        <v>923681.81</v>
      </c>
      <c r="AR256" s="450">
        <v>936335.73</v>
      </c>
      <c r="AS256" s="450">
        <v>934276.86</v>
      </c>
      <c r="AT256" s="450">
        <v>926058.1</v>
      </c>
      <c r="AU256" s="450">
        <v>925111.7</v>
      </c>
      <c r="AV256" s="450">
        <v>918846.99</v>
      </c>
      <c r="AW256" s="450">
        <v>748926.57</v>
      </c>
      <c r="AX256" s="450">
        <v>754316.87</v>
      </c>
      <c r="AY256" s="450">
        <v>762607.93</v>
      </c>
      <c r="AZ256" s="450">
        <v>773557.48</v>
      </c>
      <c r="BA256" s="450">
        <v>666735.95</v>
      </c>
      <c r="BB256" s="450">
        <v>668014.62</v>
      </c>
      <c r="BC256" s="450">
        <v>105802.79</v>
      </c>
      <c r="BD256" s="450">
        <v>748508.83</v>
      </c>
      <c r="BE256" s="450">
        <v>749998.83</v>
      </c>
      <c r="BF256" s="450">
        <v>760048.14</v>
      </c>
      <c r="BG256" s="450">
        <v>763887.0379</v>
      </c>
      <c r="BH256" s="450">
        <v>767335.53</v>
      </c>
      <c r="BI256" s="450">
        <v>781762.92</v>
      </c>
      <c r="BJ256" s="450">
        <v>783957.48</v>
      </c>
      <c r="BK256" s="450">
        <v>789228.26</v>
      </c>
      <c r="BL256" s="450">
        <v>757313.25</v>
      </c>
      <c r="BM256" s="450">
        <v>762212.46</v>
      </c>
      <c r="BN256" s="450">
        <v>768315.94</v>
      </c>
      <c r="BO256" s="450">
        <v>775224.66</v>
      </c>
      <c r="BP256" s="450">
        <v>782689.52</v>
      </c>
      <c r="BQ256" s="450">
        <v>787562.2</v>
      </c>
      <c r="BR256" s="450">
        <v>791955.58</v>
      </c>
      <c r="BS256" s="615">
        <f t="array" ref="BS256">XLOOKUP(D256,'PL TOTAL XP'!A:A,'PL TOTAL XP'!C:C,"0")</f>
        <v>0</v>
      </c>
      <c r="BT256" s="616"/>
    </row>
    <row r="257" ht="15.75" customHeight="1">
      <c r="A257" s="183" t="s">
        <v>3820</v>
      </c>
      <c r="B257" s="78" t="s">
        <v>4591</v>
      </c>
      <c r="C257" s="564" t="s">
        <v>4592</v>
      </c>
      <c r="D257" s="671">
        <v>8685427.0</v>
      </c>
      <c r="E257" s="512" t="s">
        <v>18</v>
      </c>
      <c r="F257" s="512" t="s">
        <v>29</v>
      </c>
      <c r="G257" s="609" t="s">
        <v>168</v>
      </c>
      <c r="H257" s="512">
        <f>IFERROR(VLOOKUP(G257,'Cadastro de assessores'!A:B,2,FALSE),"Não Cadastrado")</f>
        <v>12344</v>
      </c>
      <c r="I257" s="512"/>
      <c r="J257" s="51" t="s">
        <v>3823</v>
      </c>
      <c r="K257" s="512" t="s">
        <v>107</v>
      </c>
      <c r="L257" s="672">
        <v>44742.0</v>
      </c>
      <c r="M257" s="672">
        <v>44743.0</v>
      </c>
      <c r="N257" s="566"/>
      <c r="O257" s="566" t="s">
        <v>3834</v>
      </c>
      <c r="P257" s="612">
        <v>0.007</v>
      </c>
      <c r="Q257" s="224" t="s">
        <v>4593</v>
      </c>
      <c r="R257" s="613"/>
      <c r="S257" s="522"/>
      <c r="T257" s="522" t="s">
        <v>108</v>
      </c>
      <c r="U257" s="522" t="s">
        <v>4594</v>
      </c>
      <c r="V257" s="522" t="s">
        <v>224</v>
      </c>
      <c r="W257" s="614"/>
      <c r="X257" s="614"/>
      <c r="Y257" s="614"/>
      <c r="Z257" s="614"/>
      <c r="AA257" s="614"/>
      <c r="AB257" s="614"/>
      <c r="AC257" s="614"/>
      <c r="AD257" s="614"/>
      <c r="AE257" s="614"/>
      <c r="AF257" s="614"/>
      <c r="AG257" s="614"/>
      <c r="AH257" s="614"/>
      <c r="AI257" s="614"/>
      <c r="AJ257" s="614"/>
      <c r="AK257" s="450"/>
      <c r="AL257" s="450"/>
      <c r="AM257" s="450"/>
      <c r="AN257" s="450"/>
      <c r="AO257" s="450"/>
      <c r="AP257" s="450"/>
      <c r="AQ257" s="450"/>
      <c r="AR257" s="450"/>
      <c r="AS257" s="450"/>
      <c r="AT257" s="450"/>
      <c r="AU257" s="450"/>
      <c r="AV257" s="450"/>
      <c r="AW257" s="450"/>
      <c r="AX257" s="450"/>
      <c r="AY257" s="450"/>
      <c r="AZ257" s="450"/>
      <c r="BA257" s="450"/>
      <c r="BB257" s="450"/>
      <c r="BC257" s="450"/>
      <c r="BD257" s="450"/>
      <c r="BE257" s="450">
        <v>100000.0</v>
      </c>
      <c r="BF257" s="450">
        <v>100836.49</v>
      </c>
      <c r="BG257" s="450">
        <v>201829.5675</v>
      </c>
      <c r="BH257" s="450">
        <v>203463.64</v>
      </c>
      <c r="BI257" s="450">
        <v>205255.13</v>
      </c>
      <c r="BJ257" s="450">
        <v>207088.54</v>
      </c>
      <c r="BK257" s="450">
        <v>208891.0</v>
      </c>
      <c r="BL257" s="450">
        <v>211215.75</v>
      </c>
      <c r="BM257" s="450">
        <v>212833.71</v>
      </c>
      <c r="BN257" s="450">
        <v>0.0</v>
      </c>
      <c r="BO257" s="450">
        <v>0.0</v>
      </c>
      <c r="BP257" s="450">
        <v>0.0</v>
      </c>
      <c r="BQ257" s="450">
        <v>0.0</v>
      </c>
      <c r="BR257" s="450">
        <v>0.0</v>
      </c>
      <c r="BS257" s="615">
        <f t="array" ref="BS257">XLOOKUP(D257,'PL TOTAL XP'!A:A,'PL TOTAL XP'!C:C,"0")</f>
        <v>0</v>
      </c>
      <c r="BT257" s="616"/>
    </row>
    <row r="258" ht="15.75" customHeight="1">
      <c r="A258" s="183" t="s">
        <v>3820</v>
      </c>
      <c r="B258" s="78" t="s">
        <v>4595</v>
      </c>
      <c r="C258" s="564" t="s">
        <v>4596</v>
      </c>
      <c r="D258" s="566">
        <v>5660556.0</v>
      </c>
      <c r="E258" s="512" t="s">
        <v>18</v>
      </c>
      <c r="F258" s="512" t="s">
        <v>29</v>
      </c>
      <c r="G258" s="609" t="s">
        <v>60</v>
      </c>
      <c r="H258" s="609">
        <f>IFERROR(VLOOKUP(G258,'Cadastro de assessores'!A:B,2,FALSE),"Não Cadastrado")</f>
        <v>12332</v>
      </c>
      <c r="I258" s="609"/>
      <c r="J258" s="51" t="s">
        <v>3823</v>
      </c>
      <c r="K258" s="512" t="s">
        <v>107</v>
      </c>
      <c r="L258" s="672">
        <v>44357.0</v>
      </c>
      <c r="M258" s="672">
        <v>44361.0</v>
      </c>
      <c r="N258" s="566"/>
      <c r="O258" s="566" t="s">
        <v>3834</v>
      </c>
      <c r="P258" s="612">
        <v>0.007</v>
      </c>
      <c r="Q258" s="141" t="s">
        <v>4597</v>
      </c>
      <c r="R258" s="613"/>
      <c r="S258" s="522" t="str">
        <f t="shared" ref="S258:S263" si="26">IF(BC258&lt;=0,"",IF(BC258&lt;=1000000,"Não Qualificado",IF(AND(BC258&gt;1000000,BC258&lt;=10000000),"Qualificado","Profissional")))</f>
        <v/>
      </c>
      <c r="T258" s="522" t="s">
        <v>108</v>
      </c>
      <c r="U258" s="522" t="s">
        <v>2591</v>
      </c>
      <c r="V258" s="522" t="s">
        <v>29</v>
      </c>
      <c r="W258" s="614"/>
      <c r="X258" s="614"/>
      <c r="Y258" s="614"/>
      <c r="Z258" s="614"/>
      <c r="AA258" s="614"/>
      <c r="AB258" s="614"/>
      <c r="AC258" s="614"/>
      <c r="AD258" s="614"/>
      <c r="AE258" s="614"/>
      <c r="AF258" s="614"/>
      <c r="AG258" s="614"/>
      <c r="AH258" s="614"/>
      <c r="AI258" s="614"/>
      <c r="AJ258" s="614"/>
      <c r="AK258" s="450"/>
      <c r="AL258" s="450"/>
      <c r="AM258" s="450"/>
      <c r="AN258" s="450"/>
      <c r="AO258" s="450"/>
      <c r="AP258" s="450"/>
      <c r="AQ258" s="450"/>
      <c r="AR258" s="450"/>
      <c r="AS258" s="450">
        <v>100145.8</v>
      </c>
      <c r="AT258" s="450">
        <v>100537.29</v>
      </c>
      <c r="AU258" s="450">
        <v>100957.7</v>
      </c>
      <c r="AV258" s="450">
        <v>101446.77</v>
      </c>
      <c r="AW258" s="450">
        <v>102036.66</v>
      </c>
      <c r="AX258" s="450">
        <v>102795.46</v>
      </c>
      <c r="AY258" s="450">
        <v>103613.01</v>
      </c>
      <c r="AZ258" s="450">
        <v>104478.59</v>
      </c>
      <c r="BA258" s="450">
        <v>140347.51</v>
      </c>
      <c r="BB258" s="450">
        <v>141882.0</v>
      </c>
      <c r="BC258" s="450">
        <v>0.0</v>
      </c>
      <c r="BD258" s="450">
        <v>144874.55</v>
      </c>
      <c r="BE258" s="450">
        <v>146173.61</v>
      </c>
      <c r="BF258" s="450">
        <v>147275.03</v>
      </c>
      <c r="BG258" s="450">
        <v>147953.4643</v>
      </c>
      <c r="BH258" s="450">
        <v>148758.89</v>
      </c>
      <c r="BI258" s="450">
        <v>149677.74</v>
      </c>
      <c r="BJ258" s="450">
        <v>151014.14</v>
      </c>
      <c r="BK258" s="450">
        <v>152237.33</v>
      </c>
      <c r="BL258" s="450">
        <v>153889.12</v>
      </c>
      <c r="BM258" s="450">
        <v>154289.41</v>
      </c>
      <c r="BN258" s="450">
        <v>155273.38</v>
      </c>
      <c r="BO258" s="450">
        <v>0.0</v>
      </c>
      <c r="BP258" s="450">
        <v>0.0</v>
      </c>
      <c r="BQ258" s="450">
        <v>0.0</v>
      </c>
      <c r="BR258" s="450">
        <v>0.0</v>
      </c>
      <c r="BS258" s="615" t="str">
        <f t="array" ref="BS258">XLOOKUP(D258,'PL TOTAL XP'!A:A,'PL TOTAL XP'!C:C,"0")</f>
        <v>0</v>
      </c>
      <c r="BT258" s="616"/>
    </row>
    <row r="259" ht="15.75" customHeight="1">
      <c r="A259" s="183" t="s">
        <v>3820</v>
      </c>
      <c r="B259" s="78" t="s">
        <v>1324</v>
      </c>
      <c r="C259" s="564" t="s">
        <v>1322</v>
      </c>
      <c r="D259" s="566">
        <v>8479778.0</v>
      </c>
      <c r="E259" s="512" t="s">
        <v>105</v>
      </c>
      <c r="F259" s="512" t="s">
        <v>29</v>
      </c>
      <c r="G259" s="566" t="s">
        <v>4598</v>
      </c>
      <c r="H259" s="512">
        <f>IFERROR(VLOOKUP(G259,'Cadastro de assessores'!A:B,2,FALSE),"Não Cadastrado")</f>
        <v>12357</v>
      </c>
      <c r="I259" s="512"/>
      <c r="J259" s="51" t="s">
        <v>186</v>
      </c>
      <c r="K259" s="512" t="s">
        <v>107</v>
      </c>
      <c r="L259" s="611">
        <v>44684.0</v>
      </c>
      <c r="M259" s="611">
        <v>44683.0</v>
      </c>
      <c r="N259" s="567">
        <v>44936.0</v>
      </c>
      <c r="O259" s="566" t="s">
        <v>3836</v>
      </c>
      <c r="P259" s="612">
        <v>0.012</v>
      </c>
      <c r="Q259" s="644" t="s">
        <v>4599</v>
      </c>
      <c r="R259" s="613"/>
      <c r="S259" s="522" t="str">
        <f t="shared" si="26"/>
        <v/>
      </c>
      <c r="T259" s="522" t="s">
        <v>108</v>
      </c>
      <c r="U259" s="522" t="s">
        <v>2591</v>
      </c>
      <c r="V259" s="522" t="s">
        <v>29</v>
      </c>
      <c r="W259" s="614"/>
      <c r="X259" s="614"/>
      <c r="Y259" s="614"/>
      <c r="Z259" s="614"/>
      <c r="AA259" s="614"/>
      <c r="AB259" s="614"/>
      <c r="AC259" s="614"/>
      <c r="AD259" s="614"/>
      <c r="AE259" s="614"/>
      <c r="AF259" s="614"/>
      <c r="AG259" s="614"/>
      <c r="AH259" s="614"/>
      <c r="AI259" s="614"/>
      <c r="AJ259" s="614"/>
      <c r="AK259" s="450"/>
      <c r="AL259" s="450"/>
      <c r="AM259" s="450"/>
      <c r="AN259" s="450"/>
      <c r="AO259" s="450"/>
      <c r="AP259" s="450"/>
      <c r="AQ259" s="450"/>
      <c r="AR259" s="450"/>
      <c r="AS259" s="450"/>
      <c r="AT259" s="450"/>
      <c r="AU259" s="450"/>
      <c r="AV259" s="450"/>
      <c r="AW259" s="450"/>
      <c r="AX259" s="450"/>
      <c r="AY259" s="450"/>
      <c r="AZ259" s="450"/>
      <c r="BA259" s="450"/>
      <c r="BB259" s="450"/>
      <c r="BC259" s="450"/>
      <c r="BD259" s="450">
        <v>274745.22</v>
      </c>
      <c r="BE259" s="450">
        <v>296731.17</v>
      </c>
      <c r="BF259" s="450">
        <v>322827.49</v>
      </c>
      <c r="BG259" s="450">
        <v>329216.1434</v>
      </c>
      <c r="BH259" s="450">
        <v>331282.84</v>
      </c>
      <c r="BI259" s="450">
        <v>346859.17</v>
      </c>
      <c r="BJ259" s="450">
        <v>289272.67</v>
      </c>
      <c r="BK259" s="450">
        <v>0.0</v>
      </c>
      <c r="BL259" s="450">
        <v>0.0</v>
      </c>
      <c r="BM259" s="450">
        <v>0.0</v>
      </c>
      <c r="BN259" s="450">
        <v>0.0</v>
      </c>
      <c r="BO259" s="450">
        <v>0.0</v>
      </c>
      <c r="BP259" s="450">
        <v>0.0</v>
      </c>
      <c r="BQ259" s="450">
        <v>0.0</v>
      </c>
      <c r="BR259" s="450">
        <v>0.0</v>
      </c>
      <c r="BS259" s="615" t="str">
        <f t="array" ref="BS259">XLOOKUP(D259,'PL TOTAL XP'!A:A,'PL TOTAL XP'!C:C,"0")</f>
        <v>0</v>
      </c>
      <c r="BT259" s="616"/>
    </row>
    <row r="260" ht="15.0" customHeight="1">
      <c r="A260" s="183" t="s">
        <v>3820</v>
      </c>
      <c r="B260" s="78" t="s">
        <v>1328</v>
      </c>
      <c r="C260" s="564" t="s">
        <v>1325</v>
      </c>
      <c r="D260" s="623">
        <v>8155858.0</v>
      </c>
      <c r="E260" s="609" t="s">
        <v>18</v>
      </c>
      <c r="F260" s="609" t="s">
        <v>19</v>
      </c>
      <c r="G260" s="512" t="s">
        <v>256</v>
      </c>
      <c r="H260" s="512" t="str">
        <f>IFERROR(VLOOKUP(G260,'Cadastro de assessores'!A:B,2,FALSE),"Não Cadastrado")</f>
        <v>18009</v>
      </c>
      <c r="I260" s="512"/>
      <c r="J260" s="51" t="s">
        <v>3823</v>
      </c>
      <c r="K260" s="673" t="s">
        <v>107</v>
      </c>
      <c r="L260" s="624">
        <v>44683.0</v>
      </c>
      <c r="M260" s="624">
        <v>44644.0</v>
      </c>
      <c r="N260" s="522"/>
      <c r="O260" s="522" t="s">
        <v>3834</v>
      </c>
      <c r="P260" s="612">
        <v>0.007</v>
      </c>
      <c r="Q260" s="620" t="s">
        <v>4600</v>
      </c>
      <c r="R260" s="613"/>
      <c r="S260" s="522" t="str">
        <f t="shared" si="26"/>
        <v>Não Qualificado</v>
      </c>
      <c r="T260" s="522" t="s">
        <v>108</v>
      </c>
      <c r="U260" s="522" t="s">
        <v>2942</v>
      </c>
      <c r="V260" s="522" t="s">
        <v>29</v>
      </c>
      <c r="W260" s="614"/>
      <c r="X260" s="614"/>
      <c r="Y260" s="614"/>
      <c r="Z260" s="614"/>
      <c r="AA260" s="614"/>
      <c r="AB260" s="614"/>
      <c r="AC260" s="614"/>
      <c r="AD260" s="614"/>
      <c r="AE260" s="614"/>
      <c r="AF260" s="614"/>
      <c r="AG260" s="614"/>
      <c r="AH260" s="614"/>
      <c r="AI260" s="614"/>
      <c r="AJ260" s="614"/>
      <c r="AK260" s="450"/>
      <c r="AL260" s="450"/>
      <c r="AM260" s="450"/>
      <c r="AN260" s="450"/>
      <c r="AO260" s="450"/>
      <c r="AP260" s="450"/>
      <c r="AQ260" s="450"/>
      <c r="AR260" s="450"/>
      <c r="AS260" s="450"/>
      <c r="AT260" s="450"/>
      <c r="AU260" s="450"/>
      <c r="AV260" s="450"/>
      <c r="AW260" s="450"/>
      <c r="AX260" s="450"/>
      <c r="AY260" s="450"/>
      <c r="AZ260" s="450"/>
      <c r="BA260" s="450"/>
      <c r="BB260" s="450">
        <v>100305.97</v>
      </c>
      <c r="BC260" s="450">
        <v>575681.78</v>
      </c>
      <c r="BD260" s="450">
        <v>117863.58</v>
      </c>
      <c r="BE260" s="450">
        <v>440145.16</v>
      </c>
      <c r="BF260" s="450">
        <v>498148.46</v>
      </c>
      <c r="BG260" s="450">
        <v>585793.3584</v>
      </c>
      <c r="BH260" s="450">
        <v>655167.13</v>
      </c>
      <c r="BI260" s="450">
        <v>701179.91</v>
      </c>
      <c r="BJ260" s="450">
        <v>707938.38</v>
      </c>
      <c r="BK260" s="450">
        <v>714263.01</v>
      </c>
      <c r="BL260" s="450">
        <v>722786.98</v>
      </c>
      <c r="BM260" s="450">
        <v>729102.64</v>
      </c>
      <c r="BN260" s="450">
        <v>737520.66</v>
      </c>
      <c r="BO260" s="450">
        <v>0.0</v>
      </c>
      <c r="BP260" s="450">
        <v>0.0</v>
      </c>
      <c r="BQ260" s="450">
        <v>0.0</v>
      </c>
      <c r="BR260" s="450">
        <v>0.0</v>
      </c>
      <c r="BS260" s="615">
        <f t="array" ref="BS260">XLOOKUP(D260,'PL TOTAL XP'!A:A,'PL TOTAL XP'!C:C,"0")</f>
        <v>0</v>
      </c>
      <c r="BT260" s="616"/>
    </row>
    <row r="261" ht="15.75" customHeight="1">
      <c r="A261" s="183" t="s">
        <v>3820</v>
      </c>
      <c r="B261" s="78" t="s">
        <v>4601</v>
      </c>
      <c r="C261" s="617" t="s">
        <v>4602</v>
      </c>
      <c r="D261" s="522">
        <v>250289.0</v>
      </c>
      <c r="E261" s="522" t="s">
        <v>18</v>
      </c>
      <c r="F261" s="522" t="s">
        <v>29</v>
      </c>
      <c r="G261" s="522" t="s">
        <v>373</v>
      </c>
      <c r="H261" s="522" t="str">
        <f>IFERROR(VLOOKUP(G261,'Cadastro de assessores'!A:B,2,FALSE),"Não Cadastrado")</f>
        <v>18993</v>
      </c>
      <c r="I261" s="522"/>
      <c r="J261" s="51" t="s">
        <v>186</v>
      </c>
      <c r="K261" s="522" t="s">
        <v>2563</v>
      </c>
      <c r="L261" s="619">
        <v>43880.0</v>
      </c>
      <c r="M261" s="619">
        <v>43880.0</v>
      </c>
      <c r="N261" s="619">
        <v>44335.0</v>
      </c>
      <c r="O261" s="522" t="s">
        <v>3840</v>
      </c>
      <c r="P261" s="612">
        <v>0.01</v>
      </c>
      <c r="Q261" s="620" t="s">
        <v>4603</v>
      </c>
      <c r="R261" s="613"/>
      <c r="S261" s="522" t="str">
        <f t="shared" si="26"/>
        <v>Não Qualificado</v>
      </c>
      <c r="T261" s="522" t="s">
        <v>108</v>
      </c>
      <c r="U261" s="522" t="s">
        <v>2591</v>
      </c>
      <c r="V261" s="522" t="s">
        <v>29</v>
      </c>
      <c r="W261" s="614" t="s">
        <v>3830</v>
      </c>
      <c r="X261" s="614" t="s">
        <v>3830</v>
      </c>
      <c r="Y261" s="614" t="s">
        <v>3830</v>
      </c>
      <c r="Z261" s="614" t="s">
        <v>4604</v>
      </c>
      <c r="AA261" s="614" t="s">
        <v>4605</v>
      </c>
      <c r="AB261" s="614" t="s">
        <v>4606</v>
      </c>
      <c r="AC261" s="614" t="s">
        <v>4607</v>
      </c>
      <c r="AD261" s="614" t="s">
        <v>4608</v>
      </c>
      <c r="AE261" s="614" t="s">
        <v>4609</v>
      </c>
      <c r="AF261" s="614" t="s">
        <v>4610</v>
      </c>
      <c r="AG261" s="614" t="s">
        <v>4611</v>
      </c>
      <c r="AH261" s="614" t="s">
        <v>4612</v>
      </c>
      <c r="AI261" s="614" t="s">
        <v>4613</v>
      </c>
      <c r="AJ261" s="614" t="s">
        <v>4614</v>
      </c>
      <c r="AK261" s="450">
        <v>433999.74</v>
      </c>
      <c r="AL261" s="450">
        <v>237489.53</v>
      </c>
      <c r="AM261" s="450">
        <v>227626.27</v>
      </c>
      <c r="AN261" s="450">
        <v>221735.57</v>
      </c>
      <c r="AO261" s="450">
        <v>214170.7</v>
      </c>
      <c r="AP261" s="450">
        <v>4824.63</v>
      </c>
      <c r="AQ261" s="450">
        <v>4823.65</v>
      </c>
      <c r="AR261" s="450"/>
      <c r="AS261" s="450"/>
      <c r="AT261" s="450"/>
      <c r="AU261" s="450"/>
      <c r="AV261" s="450"/>
      <c r="AW261" s="450"/>
      <c r="AX261" s="450"/>
      <c r="AY261" s="450"/>
      <c r="AZ261" s="450"/>
      <c r="BA261" s="450">
        <v>0.0</v>
      </c>
      <c r="BB261" s="450">
        <v>0.0</v>
      </c>
      <c r="BC261" s="450">
        <v>117852.28</v>
      </c>
      <c r="BD261" s="450" t="s">
        <v>2566</v>
      </c>
      <c r="BE261" s="450" t="s">
        <v>2566</v>
      </c>
      <c r="BF261" s="450">
        <v>0.0</v>
      </c>
      <c r="BG261" s="450">
        <v>0.0</v>
      </c>
      <c r="BH261" s="450">
        <v>0.0</v>
      </c>
      <c r="BI261" s="450">
        <v>0.0</v>
      </c>
      <c r="BJ261" s="450">
        <v>0.0</v>
      </c>
      <c r="BK261" s="450">
        <v>0.0</v>
      </c>
      <c r="BL261" s="450">
        <v>0.0</v>
      </c>
      <c r="BM261" s="450">
        <v>0.0</v>
      </c>
      <c r="BN261" s="450">
        <v>0.0</v>
      </c>
      <c r="BO261" s="450">
        <v>0.0</v>
      </c>
      <c r="BP261" s="450">
        <v>0.0</v>
      </c>
      <c r="BQ261" s="450">
        <v>0.0</v>
      </c>
      <c r="BR261" s="450">
        <v>0.0</v>
      </c>
      <c r="BS261" s="615" t="str">
        <f t="array" ref="BS261">XLOOKUP(D261,'PL TOTAL XP'!A:A,'PL TOTAL XP'!C:C,"0")</f>
        <v>0</v>
      </c>
      <c r="BT261" s="616"/>
    </row>
    <row r="262" ht="15.75" customHeight="1">
      <c r="A262" s="183" t="s">
        <v>3820</v>
      </c>
      <c r="B262" s="78" t="s">
        <v>4615</v>
      </c>
      <c r="C262" s="617" t="s">
        <v>4616</v>
      </c>
      <c r="D262" s="522">
        <v>4847801.0</v>
      </c>
      <c r="E262" s="512" t="s">
        <v>105</v>
      </c>
      <c r="F262" s="512" t="s">
        <v>29</v>
      </c>
      <c r="G262" s="512" t="s">
        <v>3660</v>
      </c>
      <c r="H262" s="512" t="str">
        <f>IFERROR(VLOOKUP(G262,'Cadastro de assessores'!A:B,2,FALSE),"Não Cadastrado")</f>
        <v>14574</v>
      </c>
      <c r="I262" s="512"/>
      <c r="J262" s="51" t="s">
        <v>3823</v>
      </c>
      <c r="K262" s="522" t="s">
        <v>107</v>
      </c>
      <c r="L262" s="610">
        <v>44236.0</v>
      </c>
      <c r="M262" s="610">
        <v>44236.0</v>
      </c>
      <c r="N262" s="522"/>
      <c r="O262" s="522" t="s">
        <v>3824</v>
      </c>
      <c r="P262" s="629">
        <v>0.02</v>
      </c>
      <c r="Q262" s="652"/>
      <c r="R262" s="613"/>
      <c r="S262" s="522" t="str">
        <f t="shared" si="26"/>
        <v>Não Qualificado</v>
      </c>
      <c r="T262" s="522" t="s">
        <v>108</v>
      </c>
      <c r="U262" s="522" t="s">
        <v>2580</v>
      </c>
      <c r="V262" s="522" t="s">
        <v>29</v>
      </c>
      <c r="W262" s="614"/>
      <c r="X262" s="614"/>
      <c r="Y262" s="614"/>
      <c r="Z262" s="614"/>
      <c r="AA262" s="614"/>
      <c r="AB262" s="614"/>
      <c r="AC262" s="614"/>
      <c r="AD262" s="614"/>
      <c r="AE262" s="614"/>
      <c r="AF262" s="614"/>
      <c r="AG262" s="614"/>
      <c r="AH262" s="614"/>
      <c r="AI262" s="614"/>
      <c r="AJ262" s="614"/>
      <c r="AK262" s="450"/>
      <c r="AL262" s="450"/>
      <c r="AM262" s="450">
        <v>45734.2</v>
      </c>
      <c r="AN262" s="450">
        <v>45802.37</v>
      </c>
      <c r="AO262" s="450">
        <v>48042.62</v>
      </c>
      <c r="AP262" s="450">
        <v>48455.33</v>
      </c>
      <c r="AQ262" s="450">
        <v>48175.09</v>
      </c>
      <c r="AR262" s="450">
        <v>49633.7</v>
      </c>
      <c r="AS262" s="450">
        <v>49152.63</v>
      </c>
      <c r="AT262" s="450">
        <v>47647.85</v>
      </c>
      <c r="AU262" s="450">
        <v>47120.74</v>
      </c>
      <c r="AV262" s="450">
        <v>45616.4</v>
      </c>
      <c r="AW262" s="450">
        <v>43414.9</v>
      </c>
      <c r="AX262" s="450">
        <v>43207.91</v>
      </c>
      <c r="AY262" s="450">
        <v>43880.62</v>
      </c>
      <c r="AZ262" s="450">
        <v>45462.87</v>
      </c>
      <c r="BA262" s="450">
        <v>45996.9</v>
      </c>
      <c r="BB262" s="450">
        <v>47967.4</v>
      </c>
      <c r="BC262" s="450">
        <v>142559.01</v>
      </c>
      <c r="BD262" s="450">
        <v>181.02</v>
      </c>
      <c r="BE262" s="450">
        <v>129.0</v>
      </c>
      <c r="BF262" s="450">
        <v>129.02</v>
      </c>
      <c r="BG262" s="450">
        <v>163.91</v>
      </c>
      <c r="BH262" s="450">
        <v>163.91</v>
      </c>
      <c r="BI262" s="450">
        <v>163.91</v>
      </c>
      <c r="BJ262" s="450">
        <v>163.91</v>
      </c>
      <c r="BK262" s="450">
        <v>163.91</v>
      </c>
      <c r="BL262" s="450">
        <v>260.69</v>
      </c>
      <c r="BM262" s="450">
        <v>260.69</v>
      </c>
      <c r="BN262" s="450">
        <v>260.69</v>
      </c>
      <c r="BO262" s="450">
        <v>260.69</v>
      </c>
      <c r="BP262" s="450">
        <v>260.69</v>
      </c>
      <c r="BQ262" s="450">
        <v>260.69</v>
      </c>
      <c r="BR262" s="450">
        <v>260.69</v>
      </c>
      <c r="BS262" s="615">
        <f t="array" ref="BS262">XLOOKUP(D262,'PL TOTAL XP'!A:A,'PL TOTAL XP'!C:C,"0")</f>
        <v>0</v>
      </c>
      <c r="BT262" s="616"/>
    </row>
    <row r="263" ht="15.75" customHeight="1">
      <c r="A263" s="183" t="s">
        <v>3820</v>
      </c>
      <c r="B263" s="78" t="s">
        <v>4617</v>
      </c>
      <c r="C263" s="132" t="s">
        <v>4618</v>
      </c>
      <c r="D263" s="566">
        <v>6666003.0</v>
      </c>
      <c r="E263" s="512" t="s">
        <v>2550</v>
      </c>
      <c r="F263" s="512" t="s">
        <v>29</v>
      </c>
      <c r="G263" s="512" t="s">
        <v>2550</v>
      </c>
      <c r="H263" s="512" t="str">
        <f>IFERROR(VLOOKUP(G263,'Cadastro de assessores'!A:B,2,FALSE),"Não Cadastrado")</f>
        <v>18986</v>
      </c>
      <c r="I263" s="512"/>
      <c r="J263" s="51" t="s">
        <v>3823</v>
      </c>
      <c r="K263" s="522" t="s">
        <v>2600</v>
      </c>
      <c r="L263" s="674"/>
      <c r="M263" s="675" t="s">
        <v>4619</v>
      </c>
      <c r="N263" s="676"/>
      <c r="O263" s="512" t="s">
        <v>4620</v>
      </c>
      <c r="P263" s="629">
        <v>0.007</v>
      </c>
      <c r="Q263" s="622"/>
      <c r="R263" s="613"/>
      <c r="S263" s="522" t="str">
        <f t="shared" si="26"/>
        <v/>
      </c>
      <c r="T263" s="522" t="s">
        <v>108</v>
      </c>
      <c r="U263" s="132"/>
      <c r="V263" s="566" t="s">
        <v>2600</v>
      </c>
      <c r="W263" s="468"/>
      <c r="X263" s="677"/>
      <c r="Y263" s="677"/>
      <c r="Z263" s="677"/>
      <c r="AA263" s="468"/>
      <c r="AB263" s="468"/>
      <c r="AC263" s="678"/>
      <c r="AD263" s="677"/>
      <c r="AE263" s="677"/>
      <c r="AF263" s="677"/>
      <c r="AG263" s="468"/>
      <c r="AH263" s="468"/>
      <c r="AI263" s="678"/>
      <c r="AJ263" s="677"/>
      <c r="AK263" s="677"/>
      <c r="AL263" s="677"/>
      <c r="AM263" s="468"/>
      <c r="AN263" s="468"/>
      <c r="AO263" s="678"/>
      <c r="AP263" s="677"/>
      <c r="AQ263" s="677"/>
      <c r="AR263" s="677"/>
      <c r="AS263" s="468"/>
      <c r="AT263" s="677"/>
      <c r="AU263" s="677"/>
      <c r="AV263" s="677"/>
      <c r="AW263" s="677"/>
      <c r="AX263" s="677"/>
      <c r="AY263" s="450"/>
      <c r="AZ263" s="450"/>
      <c r="BA263" s="450">
        <v>0.0</v>
      </c>
      <c r="BB263" s="450">
        <v>0.0</v>
      </c>
      <c r="BC263" s="450"/>
      <c r="BD263" s="450" t="s">
        <v>2566</v>
      </c>
      <c r="BE263" s="450" t="s">
        <v>2566</v>
      </c>
      <c r="BF263" s="450">
        <v>0.0</v>
      </c>
      <c r="BG263" s="450">
        <v>0.0</v>
      </c>
      <c r="BH263" s="450">
        <v>0.0</v>
      </c>
      <c r="BI263" s="450">
        <v>0.0</v>
      </c>
      <c r="BJ263" s="450">
        <v>0.0</v>
      </c>
      <c r="BK263" s="450">
        <v>0.0</v>
      </c>
      <c r="BL263" s="450">
        <v>0.0</v>
      </c>
      <c r="BM263" s="450">
        <v>0.0</v>
      </c>
      <c r="BN263" s="450">
        <v>0.0</v>
      </c>
      <c r="BO263" s="450">
        <v>0.0</v>
      </c>
      <c r="BP263" s="450">
        <v>0.0</v>
      </c>
      <c r="BQ263" s="450">
        <v>0.0</v>
      </c>
      <c r="BR263" s="450">
        <v>0.0</v>
      </c>
      <c r="BS263" s="615" t="str">
        <f t="array" ref="BS263">XLOOKUP(D263,'PL TOTAL XP'!A:A,'PL TOTAL XP'!C:C,"0")</f>
        <v>0</v>
      </c>
      <c r="BT263" s="616"/>
    </row>
    <row r="264" ht="15.75" customHeight="1">
      <c r="A264" s="183" t="s">
        <v>3820</v>
      </c>
      <c r="B264" s="78" t="s">
        <v>4621</v>
      </c>
      <c r="C264" s="564" t="s">
        <v>4622</v>
      </c>
      <c r="D264" s="566">
        <v>58954.0</v>
      </c>
      <c r="E264" s="512" t="s">
        <v>18</v>
      </c>
      <c r="F264" s="512" t="s">
        <v>19</v>
      </c>
      <c r="G264" s="609" t="s">
        <v>1805</v>
      </c>
      <c r="H264" s="512">
        <f>IFERROR(VLOOKUP(G264,'Cadastro de assessores'!A:B,2,FALSE),"Não Cadastrado")</f>
        <v>12350</v>
      </c>
      <c r="I264" s="512"/>
      <c r="J264" s="46" t="s">
        <v>107</v>
      </c>
      <c r="K264" s="522" t="s">
        <v>147</v>
      </c>
      <c r="L264" s="512" t="s">
        <v>2600</v>
      </c>
      <c r="M264" s="672">
        <v>44866.0</v>
      </c>
      <c r="N264" s="566"/>
      <c r="O264" s="566" t="s">
        <v>3834</v>
      </c>
      <c r="P264" s="612">
        <v>0.005</v>
      </c>
      <c r="Q264" s="224" t="s">
        <v>4623</v>
      </c>
      <c r="R264" s="613"/>
      <c r="S264" s="522"/>
      <c r="T264" s="522" t="s">
        <v>108</v>
      </c>
      <c r="U264" s="522" t="s">
        <v>2652</v>
      </c>
      <c r="V264" s="522" t="s">
        <v>19</v>
      </c>
      <c r="W264" s="614"/>
      <c r="X264" s="614"/>
      <c r="Y264" s="614"/>
      <c r="Z264" s="614"/>
      <c r="AA264" s="614"/>
      <c r="AB264" s="614"/>
      <c r="AC264" s="614"/>
      <c r="AD264" s="614"/>
      <c r="AE264" s="614"/>
      <c r="AF264" s="614"/>
      <c r="AG264" s="614"/>
      <c r="AH264" s="614"/>
      <c r="AI264" s="614"/>
      <c r="AJ264" s="614"/>
      <c r="AK264" s="450"/>
      <c r="AL264" s="450"/>
      <c r="AM264" s="450"/>
      <c r="AN264" s="450"/>
      <c r="AO264" s="450"/>
      <c r="AP264" s="450"/>
      <c r="AQ264" s="450"/>
      <c r="AR264" s="450"/>
      <c r="AS264" s="450"/>
      <c r="AT264" s="450"/>
      <c r="AU264" s="450"/>
      <c r="AV264" s="450"/>
      <c r="AW264" s="450"/>
      <c r="AX264" s="450"/>
      <c r="AY264" s="450"/>
      <c r="AZ264" s="450"/>
      <c r="BA264" s="450"/>
      <c r="BB264" s="450"/>
      <c r="BC264" s="450"/>
      <c r="BD264" s="450"/>
      <c r="BE264" s="450"/>
      <c r="BF264" s="450">
        <v>0.0</v>
      </c>
      <c r="BG264" s="450">
        <v>341347.556</v>
      </c>
      <c r="BH264" s="450">
        <v>343067.54</v>
      </c>
      <c r="BI264" s="450">
        <v>345055.35</v>
      </c>
      <c r="BJ264" s="450">
        <v>329203.95</v>
      </c>
      <c r="BK264" s="450">
        <v>331397.67</v>
      </c>
      <c r="BL264" s="450">
        <v>333979.46</v>
      </c>
      <c r="BM264" s="450">
        <v>335097.49</v>
      </c>
      <c r="BN264" s="450">
        <v>338167.55</v>
      </c>
      <c r="BO264" s="450">
        <v>363330.77</v>
      </c>
      <c r="BP264" s="450">
        <v>319752.31</v>
      </c>
      <c r="BQ264" s="450">
        <v>321713.29</v>
      </c>
      <c r="BR264" s="450">
        <v>323943.53</v>
      </c>
      <c r="BS264" s="615">
        <f t="array" ref="BS264">XLOOKUP(D264,'PL TOTAL XP'!A:A,'PL TOTAL XP'!C:C,"0")</f>
        <v>154434.58</v>
      </c>
      <c r="BT264" s="616"/>
    </row>
    <row r="265" ht="15.75" customHeight="1">
      <c r="A265" s="183" t="s">
        <v>3820</v>
      </c>
      <c r="B265" s="78" t="s">
        <v>4624</v>
      </c>
      <c r="C265" s="617" t="s">
        <v>4625</v>
      </c>
      <c r="D265" s="522">
        <v>4920389.0</v>
      </c>
      <c r="E265" s="522" t="s">
        <v>18</v>
      </c>
      <c r="F265" s="522" t="s">
        <v>29</v>
      </c>
      <c r="G265" s="522" t="s">
        <v>3827</v>
      </c>
      <c r="H265" s="522" t="str">
        <f>IFERROR(VLOOKUP(G265,'Cadastro de assessores'!A:B,2,FALSE),"Não Cadastrado")</f>
        <v>17679</v>
      </c>
      <c r="I265" s="522"/>
      <c r="J265" s="51" t="s">
        <v>186</v>
      </c>
      <c r="K265" s="522" t="s">
        <v>2563</v>
      </c>
      <c r="L265" s="619">
        <v>44263.0</v>
      </c>
      <c r="M265" s="619">
        <v>44263.0</v>
      </c>
      <c r="N265" s="567">
        <v>44456.0</v>
      </c>
      <c r="O265" s="566" t="s">
        <v>3869</v>
      </c>
      <c r="P265" s="612">
        <v>0.008</v>
      </c>
      <c r="Q265" s="620" t="s">
        <v>3829</v>
      </c>
      <c r="R265" s="613"/>
      <c r="S265" s="522" t="str">
        <f t="shared" ref="S265:S269" si="27">IF(BC265&lt;=0,"",IF(BC265&lt;=1000000,"Não Qualificado",IF(AND(BC265&gt;1000000,BC265&lt;=10000000),"Qualificado","Profissional")))</f>
        <v>Não Qualificado</v>
      </c>
      <c r="T265" s="522" t="s">
        <v>108</v>
      </c>
      <c r="U265" s="522" t="s">
        <v>4626</v>
      </c>
      <c r="V265" s="522" t="s">
        <v>1475</v>
      </c>
      <c r="W265" s="614"/>
      <c r="X265" s="614"/>
      <c r="Y265" s="614"/>
      <c r="Z265" s="614"/>
      <c r="AA265" s="614"/>
      <c r="AB265" s="614"/>
      <c r="AC265" s="614"/>
      <c r="AD265" s="614"/>
      <c r="AE265" s="614"/>
      <c r="AF265" s="614"/>
      <c r="AG265" s="614"/>
      <c r="AH265" s="614"/>
      <c r="AI265" s="614"/>
      <c r="AJ265" s="614"/>
      <c r="AK265" s="450"/>
      <c r="AL265" s="450"/>
      <c r="AM265" s="450"/>
      <c r="AN265" s="450">
        <v>194389.88</v>
      </c>
      <c r="AO265" s="450">
        <v>197420.05</v>
      </c>
      <c r="AP265" s="450">
        <v>297479.58</v>
      </c>
      <c r="AQ265" s="450">
        <v>298955.35</v>
      </c>
      <c r="AR265" s="450">
        <v>392220.84</v>
      </c>
      <c r="AS265" s="450">
        <v>486530.46</v>
      </c>
      <c r="AT265" s="450">
        <v>546861.28</v>
      </c>
      <c r="AU265" s="450">
        <v>530522.22</v>
      </c>
      <c r="AV265" s="450"/>
      <c r="AW265" s="450"/>
      <c r="AX265" s="450"/>
      <c r="AY265" s="450"/>
      <c r="AZ265" s="450"/>
      <c r="BA265" s="450">
        <v>0.0</v>
      </c>
      <c r="BB265" s="450">
        <v>0.0</v>
      </c>
      <c r="BC265" s="450">
        <v>264992.66</v>
      </c>
      <c r="BD265" s="450" t="s">
        <v>2566</v>
      </c>
      <c r="BE265" s="450" t="s">
        <v>2566</v>
      </c>
      <c r="BF265" s="450">
        <v>0.0</v>
      </c>
      <c r="BG265" s="450">
        <v>0.0</v>
      </c>
      <c r="BH265" s="450">
        <v>0.0</v>
      </c>
      <c r="BI265" s="450">
        <v>0.0</v>
      </c>
      <c r="BJ265" s="450">
        <v>0.0</v>
      </c>
      <c r="BK265" s="450">
        <v>0.0</v>
      </c>
      <c r="BL265" s="450">
        <v>0.0</v>
      </c>
      <c r="BM265" s="450">
        <v>0.0</v>
      </c>
      <c r="BN265" s="450">
        <v>0.0</v>
      </c>
      <c r="BO265" s="450">
        <v>0.0</v>
      </c>
      <c r="BP265" s="450">
        <v>0.0</v>
      </c>
      <c r="BQ265" s="450">
        <v>0.0</v>
      </c>
      <c r="BR265" s="450">
        <v>0.0</v>
      </c>
      <c r="BS265" s="615" t="str">
        <f t="array" ref="BS265">XLOOKUP(D265,'PL TOTAL XP'!A:A,'PL TOTAL XP'!C:C,"0")</f>
        <v>0</v>
      </c>
      <c r="BT265" s="616"/>
    </row>
    <row r="266" ht="15.75" customHeight="1">
      <c r="A266" s="183" t="s">
        <v>3820</v>
      </c>
      <c r="B266" s="78" t="s">
        <v>3105</v>
      </c>
      <c r="C266" s="617" t="s">
        <v>4627</v>
      </c>
      <c r="D266" s="522">
        <v>3518710.0</v>
      </c>
      <c r="E266" s="522" t="s">
        <v>2550</v>
      </c>
      <c r="F266" s="522" t="s">
        <v>29</v>
      </c>
      <c r="G266" s="522" t="s">
        <v>2550</v>
      </c>
      <c r="H266" s="522" t="str">
        <f>IFERROR(VLOOKUP(G266,'Cadastro de assessores'!A:B,2,FALSE),"Não Cadastrado")</f>
        <v>18986</v>
      </c>
      <c r="I266" s="522"/>
      <c r="J266" s="51" t="s">
        <v>186</v>
      </c>
      <c r="K266" s="522" t="s">
        <v>2563</v>
      </c>
      <c r="L266" s="619">
        <v>43717.0</v>
      </c>
      <c r="M266" s="619">
        <v>43717.0</v>
      </c>
      <c r="N266" s="619">
        <v>44705.0</v>
      </c>
      <c r="O266" s="522" t="s">
        <v>4206</v>
      </c>
      <c r="P266" s="612">
        <v>0.01</v>
      </c>
      <c r="Q266" s="524" t="s">
        <v>4628</v>
      </c>
      <c r="R266" s="613"/>
      <c r="S266" s="522" t="str">
        <f t="shared" si="27"/>
        <v>Não Qualificado</v>
      </c>
      <c r="T266" s="522" t="s">
        <v>108</v>
      </c>
      <c r="U266" s="522" t="s">
        <v>2623</v>
      </c>
      <c r="V266" s="522" t="s">
        <v>29</v>
      </c>
      <c r="W266" s="614" t="s">
        <v>4629</v>
      </c>
      <c r="X266" s="614"/>
      <c r="Y266" s="614" t="s">
        <v>4630</v>
      </c>
      <c r="Z266" s="614" t="s">
        <v>4631</v>
      </c>
      <c r="AA266" s="614" t="s">
        <v>4632</v>
      </c>
      <c r="AB266" s="614" t="s">
        <v>4633</v>
      </c>
      <c r="AC266" s="614" t="s">
        <v>4634</v>
      </c>
      <c r="AD266" s="614" t="s">
        <v>4635</v>
      </c>
      <c r="AE266" s="614" t="s">
        <v>4636</v>
      </c>
      <c r="AF266" s="614" t="s">
        <v>4637</v>
      </c>
      <c r="AG266" s="614" t="s">
        <v>4638</v>
      </c>
      <c r="AH266" s="614" t="s">
        <v>4639</v>
      </c>
      <c r="AI266" s="614" t="s">
        <v>4640</v>
      </c>
      <c r="AJ266" s="614" t="s">
        <v>4641</v>
      </c>
      <c r="AK266" s="450">
        <v>141556.48</v>
      </c>
      <c r="AL266" s="450">
        <v>140414.97</v>
      </c>
      <c r="AM266" s="450">
        <v>137414.22</v>
      </c>
      <c r="AN266" s="450">
        <v>137210.63</v>
      </c>
      <c r="AO266" s="450">
        <v>139766.8</v>
      </c>
      <c r="AP266" s="450">
        <v>140282.1</v>
      </c>
      <c r="AQ266" s="450">
        <v>140003.78</v>
      </c>
      <c r="AR266" s="450">
        <v>485.69</v>
      </c>
      <c r="AS266" s="450">
        <v>508.53</v>
      </c>
      <c r="AT266" s="450">
        <v>508.09</v>
      </c>
      <c r="AU266" s="450">
        <v>508.09</v>
      </c>
      <c r="AV266" s="450">
        <v>300.73</v>
      </c>
      <c r="AW266" s="450">
        <v>507.27</v>
      </c>
      <c r="AX266" s="450">
        <v>506.87</v>
      </c>
      <c r="AY266" s="450">
        <v>124.19</v>
      </c>
      <c r="AZ266" s="450">
        <v>124.19</v>
      </c>
      <c r="BA266" s="450">
        <v>124.19</v>
      </c>
      <c r="BB266" s="450">
        <v>124.19</v>
      </c>
      <c r="BC266" s="450">
        <v>91972.77</v>
      </c>
      <c r="BD266" s="450" t="s">
        <v>2566</v>
      </c>
      <c r="BE266" s="450" t="s">
        <v>2566</v>
      </c>
      <c r="BF266" s="450">
        <v>0.0</v>
      </c>
      <c r="BG266" s="450">
        <v>0.0</v>
      </c>
      <c r="BH266" s="450">
        <v>0.0</v>
      </c>
      <c r="BI266" s="450">
        <v>0.0</v>
      </c>
      <c r="BJ266" s="450">
        <v>0.0</v>
      </c>
      <c r="BK266" s="450">
        <v>0.0</v>
      </c>
      <c r="BL266" s="450">
        <v>0.0</v>
      </c>
      <c r="BM266" s="450">
        <v>0.0</v>
      </c>
      <c r="BN266" s="450">
        <v>0.0</v>
      </c>
      <c r="BO266" s="450">
        <v>0.0</v>
      </c>
      <c r="BP266" s="450">
        <v>0.0</v>
      </c>
      <c r="BQ266" s="450">
        <v>0.0</v>
      </c>
      <c r="BR266" s="450">
        <v>0.0</v>
      </c>
      <c r="BS266" s="615" t="str">
        <f t="array" ref="BS266">XLOOKUP(D266,'PL TOTAL XP'!A:A,'PL TOTAL XP'!C:C,"0")</f>
        <v>0</v>
      </c>
      <c r="BT266" s="616"/>
    </row>
    <row r="267" ht="15.75" customHeight="1">
      <c r="A267" s="183" t="s">
        <v>3820</v>
      </c>
      <c r="B267" s="78" t="s">
        <v>4642</v>
      </c>
      <c r="C267" s="617" t="s">
        <v>4643</v>
      </c>
      <c r="D267" s="522">
        <v>2746879.0</v>
      </c>
      <c r="E267" s="512" t="s">
        <v>105</v>
      </c>
      <c r="F267" s="512" t="s">
        <v>29</v>
      </c>
      <c r="G267" s="512" t="s">
        <v>4122</v>
      </c>
      <c r="H267" s="512" t="str">
        <f>IFERROR(VLOOKUP(G267,'Cadastro de assessores'!A:B,2,FALSE),"Não Cadastrado")</f>
        <v>19157</v>
      </c>
      <c r="I267" s="512"/>
      <c r="J267" s="51" t="s">
        <v>3823</v>
      </c>
      <c r="K267" s="512" t="s">
        <v>107</v>
      </c>
      <c r="L267" s="610">
        <v>44218.0</v>
      </c>
      <c r="M267" s="610">
        <v>44249.0</v>
      </c>
      <c r="N267" s="522"/>
      <c r="O267" s="522" t="s">
        <v>3840</v>
      </c>
      <c r="P267" s="612">
        <v>0.025</v>
      </c>
      <c r="Q267" s="620"/>
      <c r="R267" s="613"/>
      <c r="S267" s="522" t="str">
        <f t="shared" si="27"/>
        <v/>
      </c>
      <c r="T267" s="522" t="s">
        <v>108</v>
      </c>
      <c r="U267" s="522" t="s">
        <v>2580</v>
      </c>
      <c r="V267" s="522" t="s">
        <v>29</v>
      </c>
      <c r="W267" s="614"/>
      <c r="X267" s="614"/>
      <c r="Y267" s="614"/>
      <c r="Z267" s="614"/>
      <c r="AA267" s="614"/>
      <c r="AB267" s="614"/>
      <c r="AC267" s="614"/>
      <c r="AD267" s="614"/>
      <c r="AE267" s="614"/>
      <c r="AF267" s="614"/>
      <c r="AG267" s="614"/>
      <c r="AH267" s="614"/>
      <c r="AI267" s="614"/>
      <c r="AJ267" s="614"/>
      <c r="AK267" s="450"/>
      <c r="AL267" s="450"/>
      <c r="AM267" s="450">
        <v>194059.41</v>
      </c>
      <c r="AN267" s="450">
        <v>192367.38</v>
      </c>
      <c r="AO267" s="450">
        <v>200235.45</v>
      </c>
      <c r="AP267" s="450">
        <v>204842.85</v>
      </c>
      <c r="AQ267" s="450">
        <v>202745.1</v>
      </c>
      <c r="AR267" s="450">
        <v>214690.35</v>
      </c>
      <c r="AS267" s="450">
        <v>219243.11</v>
      </c>
      <c r="AT267" s="450">
        <v>207559.63</v>
      </c>
      <c r="AU267" s="450">
        <v>202478.02</v>
      </c>
      <c r="AV267" s="450">
        <v>183570.34</v>
      </c>
      <c r="AW267" s="450">
        <v>175613.97</v>
      </c>
      <c r="AX267" s="450">
        <v>173446.95</v>
      </c>
      <c r="AY267" s="450">
        <v>177384.12</v>
      </c>
      <c r="AZ267" s="450">
        <v>189647.14</v>
      </c>
      <c r="BA267" s="450">
        <v>191065.83</v>
      </c>
      <c r="BB267" s="450">
        <v>204244.13</v>
      </c>
      <c r="BC267" s="450"/>
      <c r="BD267" s="450">
        <v>185838.47</v>
      </c>
      <c r="BE267" s="450">
        <v>1042.19</v>
      </c>
      <c r="BF267" s="450">
        <v>499.36</v>
      </c>
      <c r="BG267" s="450">
        <v>257.07</v>
      </c>
      <c r="BH267" s="450">
        <v>257.07</v>
      </c>
      <c r="BI267" s="450">
        <v>257.07</v>
      </c>
      <c r="BJ267" s="450">
        <v>257.07</v>
      </c>
      <c r="BK267" s="450">
        <v>257.07</v>
      </c>
      <c r="BL267" s="450">
        <v>940.22</v>
      </c>
      <c r="BM267" s="450">
        <v>940.23</v>
      </c>
      <c r="BN267" s="450">
        <v>940.99</v>
      </c>
      <c r="BO267" s="450">
        <v>41.9</v>
      </c>
      <c r="BP267" s="450">
        <v>42.85</v>
      </c>
      <c r="BQ267" s="450">
        <v>46.77</v>
      </c>
      <c r="BR267" s="450">
        <v>45.09</v>
      </c>
      <c r="BS267" s="615" t="str">
        <f t="array" ref="BS267">XLOOKUP(D267,'PL TOTAL XP'!A:A,'PL TOTAL XP'!C:C,"0")</f>
        <v>0</v>
      </c>
      <c r="BT267" s="616"/>
    </row>
    <row r="268" ht="15.75" customHeight="1">
      <c r="A268" s="183" t="s">
        <v>3820</v>
      </c>
      <c r="B268" s="78" t="s">
        <v>4644</v>
      </c>
      <c r="C268" s="564" t="s">
        <v>4645</v>
      </c>
      <c r="D268" s="623">
        <v>8392629.0</v>
      </c>
      <c r="E268" s="512" t="s">
        <v>18</v>
      </c>
      <c r="F268" s="512" t="s">
        <v>29</v>
      </c>
      <c r="G268" s="512" t="s">
        <v>836</v>
      </c>
      <c r="H268" s="512">
        <f>IFERROR(VLOOKUP(G268,'Cadastro de assessores'!A:B,2,FALSE),"Não Cadastrado")</f>
        <v>12342</v>
      </c>
      <c r="I268" s="512"/>
      <c r="J268" s="51" t="s">
        <v>3823</v>
      </c>
      <c r="K268" s="512" t="s">
        <v>107</v>
      </c>
      <c r="L268" s="610">
        <v>44662.0</v>
      </c>
      <c r="M268" s="610">
        <v>44670.0</v>
      </c>
      <c r="N268" s="566"/>
      <c r="O268" s="566" t="s">
        <v>3834</v>
      </c>
      <c r="P268" s="612">
        <v>0.007</v>
      </c>
      <c r="Q268" s="224"/>
      <c r="R268" s="613"/>
      <c r="S268" s="522" t="str">
        <f t="shared" si="27"/>
        <v>Não Qualificado</v>
      </c>
      <c r="T268" s="522" t="s">
        <v>108</v>
      </c>
      <c r="U268" s="522" t="s">
        <v>4646</v>
      </c>
      <c r="V268" s="522" t="s">
        <v>4647</v>
      </c>
      <c r="W268" s="468"/>
      <c r="X268" s="468"/>
      <c r="Y268" s="468"/>
      <c r="Z268" s="468"/>
      <c r="AA268" s="468"/>
      <c r="AB268" s="468"/>
      <c r="AC268" s="468"/>
      <c r="AD268" s="468"/>
      <c r="AE268" s="468"/>
      <c r="AF268" s="468"/>
      <c r="AG268" s="468"/>
      <c r="AH268" s="614"/>
      <c r="AI268" s="614"/>
      <c r="AJ268" s="450"/>
      <c r="AK268" s="450"/>
      <c r="AL268" s="450"/>
      <c r="AM268" s="450"/>
      <c r="AN268" s="450"/>
      <c r="AO268" s="450"/>
      <c r="AP268" s="450"/>
      <c r="AQ268" s="450"/>
      <c r="AR268" s="450"/>
      <c r="AS268" s="450"/>
      <c r="AT268" s="450"/>
      <c r="AU268" s="450"/>
      <c r="AV268" s="450"/>
      <c r="AW268" s="450"/>
      <c r="AX268" s="468"/>
      <c r="AY268" s="468"/>
      <c r="AZ268" s="614"/>
      <c r="BA268" s="614"/>
      <c r="BB268" s="614"/>
      <c r="BC268" s="614">
        <v>509389.84</v>
      </c>
      <c r="BD268" s="450">
        <v>455359.81</v>
      </c>
      <c r="BE268" s="450">
        <v>490445.16</v>
      </c>
      <c r="BF268" s="450">
        <v>504637.56</v>
      </c>
      <c r="BG268" s="450">
        <v>507087.2902</v>
      </c>
      <c r="BH268" s="450">
        <v>510217.5</v>
      </c>
      <c r="BI268" s="450">
        <v>514147.22</v>
      </c>
      <c r="BJ268" s="450">
        <v>519121.9</v>
      </c>
      <c r="BK268" s="450">
        <v>523653.51</v>
      </c>
      <c r="BL268" s="450">
        <v>529079.08</v>
      </c>
      <c r="BM268" s="450">
        <v>533179.58</v>
      </c>
      <c r="BN268" s="450">
        <v>619889.06</v>
      </c>
      <c r="BO268" s="450">
        <v>623589.27</v>
      </c>
      <c r="BP268" s="450">
        <v>628239.97</v>
      </c>
      <c r="BQ268" s="450">
        <v>712200.02</v>
      </c>
      <c r="BR268" s="450">
        <v>717003.78</v>
      </c>
      <c r="BS268" s="615" t="str">
        <f t="array" ref="BS268">XLOOKUP(D268,'PL TOTAL XP'!A:A,'PL TOTAL XP'!C:C,"0")</f>
        <v>0</v>
      </c>
      <c r="BT268" s="616"/>
    </row>
    <row r="269" ht="15.75" customHeight="1">
      <c r="A269" s="183" t="s">
        <v>3820</v>
      </c>
      <c r="B269" s="78" t="s">
        <v>1359</v>
      </c>
      <c r="C269" s="617" t="s">
        <v>4648</v>
      </c>
      <c r="D269" s="522">
        <v>3848682.0</v>
      </c>
      <c r="E269" s="512" t="s">
        <v>18</v>
      </c>
      <c r="F269" s="512" t="s">
        <v>29</v>
      </c>
      <c r="G269" s="512" t="s">
        <v>168</v>
      </c>
      <c r="H269" s="512">
        <f>IFERROR(VLOOKUP(G269,'Cadastro de assessores'!A:B,2,FALSE),"Não Cadastrado")</f>
        <v>12344</v>
      </c>
      <c r="I269" s="512"/>
      <c r="J269" s="51" t="s">
        <v>3823</v>
      </c>
      <c r="K269" s="512" t="s">
        <v>107</v>
      </c>
      <c r="L269" s="610">
        <v>44586.0</v>
      </c>
      <c r="M269" s="610">
        <v>44586.0</v>
      </c>
      <c r="N269" s="478"/>
      <c r="O269" s="566" t="s">
        <v>3834</v>
      </c>
      <c r="P269" s="612">
        <v>0.007</v>
      </c>
      <c r="Q269" s="224" t="s">
        <v>4649</v>
      </c>
      <c r="R269" s="613"/>
      <c r="S269" s="522" t="str">
        <f t="shared" si="27"/>
        <v/>
      </c>
      <c r="T269" s="522" t="s">
        <v>108</v>
      </c>
      <c r="U269" s="522" t="s">
        <v>2591</v>
      </c>
      <c r="V269" s="522" t="s">
        <v>29</v>
      </c>
      <c r="W269" s="468"/>
      <c r="X269" s="468"/>
      <c r="Y269" s="468"/>
      <c r="Z269" s="468"/>
      <c r="AA269" s="468"/>
      <c r="AB269" s="468"/>
      <c r="AC269" s="468"/>
      <c r="AD269" s="468"/>
      <c r="AE269" s="468"/>
      <c r="AF269" s="468"/>
      <c r="AG269" s="468"/>
      <c r="AH269" s="614"/>
      <c r="AI269" s="614"/>
      <c r="AJ269" s="450"/>
      <c r="AK269" s="450"/>
      <c r="AL269" s="450"/>
      <c r="AM269" s="450"/>
      <c r="AN269" s="450"/>
      <c r="AO269" s="450"/>
      <c r="AP269" s="450"/>
      <c r="AQ269" s="450"/>
      <c r="AR269" s="450"/>
      <c r="AS269" s="450"/>
      <c r="AT269" s="450"/>
      <c r="AU269" s="450"/>
      <c r="AV269" s="450"/>
      <c r="AW269" s="450"/>
      <c r="AX269" s="468"/>
      <c r="AY269" s="468"/>
      <c r="AZ269" s="614"/>
      <c r="BA269" s="614">
        <v>423023.2</v>
      </c>
      <c r="BB269" s="614">
        <v>736913.14</v>
      </c>
      <c r="BC269" s="614"/>
      <c r="BD269" s="450">
        <v>1323656.75</v>
      </c>
      <c r="BE269" s="450">
        <v>1309995.49</v>
      </c>
      <c r="BF269" s="450">
        <v>1332952.43</v>
      </c>
      <c r="BG269" s="450">
        <v>1343771.196</v>
      </c>
      <c r="BH269" s="450">
        <v>1335848.06</v>
      </c>
      <c r="BI269" s="450">
        <v>2080314.25</v>
      </c>
      <c r="BJ269" s="450">
        <v>2094409.57</v>
      </c>
      <c r="BK269" s="450">
        <v>1979374.85</v>
      </c>
      <c r="BL269" s="450">
        <v>2004960.27</v>
      </c>
      <c r="BM269" s="450">
        <v>1005076.66</v>
      </c>
      <c r="BN269" s="450">
        <v>27695.44</v>
      </c>
      <c r="BO269" s="450">
        <v>27552.0</v>
      </c>
      <c r="BP269" s="450">
        <v>27990.0</v>
      </c>
      <c r="BQ269" s="450">
        <v>28161.98</v>
      </c>
      <c r="BR269" s="450">
        <v>28161.98</v>
      </c>
      <c r="BS269" s="615">
        <f t="array" ref="BS269">XLOOKUP(D269,'PL TOTAL XP'!A:A,'PL TOTAL XP'!C:C,"0")</f>
        <v>0</v>
      </c>
      <c r="BT269" s="616"/>
    </row>
    <row r="270" ht="15.75" customHeight="1">
      <c r="A270" s="183" t="s">
        <v>3820</v>
      </c>
      <c r="B270" s="78" t="s">
        <v>1359</v>
      </c>
      <c r="C270" s="617" t="s">
        <v>4648</v>
      </c>
      <c r="D270" s="566">
        <v>7975707.0</v>
      </c>
      <c r="E270" s="512" t="s">
        <v>18</v>
      </c>
      <c r="F270" s="512" t="s">
        <v>29</v>
      </c>
      <c r="G270" s="512" t="s">
        <v>168</v>
      </c>
      <c r="H270" s="512">
        <f>IFERROR(VLOOKUP(G270,'Cadastro de assessores'!A:B,2,FALSE),"Não Cadastrado")</f>
        <v>12344</v>
      </c>
      <c r="I270" s="512"/>
      <c r="J270" s="46" t="s">
        <v>107</v>
      </c>
      <c r="K270" s="512"/>
      <c r="L270" s="610"/>
      <c r="M270" s="610"/>
      <c r="N270" s="670"/>
      <c r="O270" s="522" t="s">
        <v>3840</v>
      </c>
      <c r="P270" s="612">
        <v>0.025</v>
      </c>
      <c r="Q270" s="224"/>
      <c r="R270" s="613"/>
      <c r="S270" s="522"/>
      <c r="T270" s="522"/>
      <c r="U270" s="522"/>
      <c r="V270" s="522" t="s">
        <v>1475</v>
      </c>
      <c r="W270" s="614"/>
      <c r="X270" s="614"/>
      <c r="Y270" s="614"/>
      <c r="Z270" s="614"/>
      <c r="AA270" s="614"/>
      <c r="AB270" s="614"/>
      <c r="AC270" s="614"/>
      <c r="AD270" s="614"/>
      <c r="AE270" s="614"/>
      <c r="AF270" s="614"/>
      <c r="AG270" s="614"/>
      <c r="AH270" s="614"/>
      <c r="AI270" s="614"/>
      <c r="AJ270" s="614"/>
      <c r="AK270" s="450"/>
      <c r="AL270" s="450"/>
      <c r="AM270" s="450"/>
      <c r="AN270" s="450"/>
      <c r="AO270" s="450"/>
      <c r="AP270" s="450"/>
      <c r="AQ270" s="450"/>
      <c r="AR270" s="450"/>
      <c r="AS270" s="450"/>
      <c r="AT270" s="450"/>
      <c r="AU270" s="450"/>
      <c r="AV270" s="450"/>
      <c r="AW270" s="450"/>
      <c r="AX270" s="450"/>
      <c r="AY270" s="450"/>
      <c r="AZ270" s="450"/>
      <c r="BA270" s="450"/>
      <c r="BB270" s="450"/>
      <c r="BC270" s="450"/>
      <c r="BD270" s="450"/>
      <c r="BE270" s="450"/>
      <c r="BF270" s="450"/>
      <c r="BG270" s="450"/>
      <c r="BH270" s="450"/>
      <c r="BI270" s="450">
        <v>33327.01</v>
      </c>
      <c r="BJ270" s="450">
        <v>37978.97</v>
      </c>
      <c r="BK270" s="450">
        <v>37582.49</v>
      </c>
      <c r="BL270" s="450">
        <v>38230.21</v>
      </c>
      <c r="BM270" s="450">
        <v>36658.56</v>
      </c>
      <c r="BN270" s="450">
        <v>35716.63</v>
      </c>
      <c r="BO270" s="450">
        <v>35906.66</v>
      </c>
      <c r="BP270" s="450">
        <v>36279.06</v>
      </c>
      <c r="BQ270" s="450">
        <v>21787.76</v>
      </c>
      <c r="BR270" s="450">
        <v>22495.22</v>
      </c>
      <c r="BS270" s="615">
        <f t="array" ref="BS270">XLOOKUP(D270,'PL TOTAL XP'!A:A,'PL TOTAL XP'!C:C,"0")</f>
        <v>2575.2</v>
      </c>
      <c r="BT270" s="616"/>
    </row>
    <row r="271" ht="15.75" customHeight="1">
      <c r="A271" s="183" t="s">
        <v>3820</v>
      </c>
      <c r="B271" s="78" t="s">
        <v>1359</v>
      </c>
      <c r="C271" s="617" t="s">
        <v>4648</v>
      </c>
      <c r="D271" s="522">
        <v>4652696.0</v>
      </c>
      <c r="E271" s="512" t="s">
        <v>18</v>
      </c>
      <c r="F271" s="512" t="s">
        <v>29</v>
      </c>
      <c r="G271" s="512" t="s">
        <v>168</v>
      </c>
      <c r="H271" s="512">
        <f>IFERROR(VLOOKUP(G271,'Cadastro de assessores'!A:B,2,FALSE),"Não Cadastrado")</f>
        <v>12344</v>
      </c>
      <c r="I271" s="512"/>
      <c r="J271" s="46" t="s">
        <v>107</v>
      </c>
      <c r="K271" s="512" t="s">
        <v>107</v>
      </c>
      <c r="L271" s="610">
        <v>44188.0</v>
      </c>
      <c r="M271" s="610">
        <v>44194.0</v>
      </c>
      <c r="N271" s="670"/>
      <c r="O271" s="522" t="s">
        <v>4168</v>
      </c>
      <c r="P271" s="612">
        <v>0.01</v>
      </c>
      <c r="Q271" s="224" t="s">
        <v>4650</v>
      </c>
      <c r="R271" s="613"/>
      <c r="S271" s="522" t="str">
        <f t="shared" ref="S271:S272" si="28">IF(BC271&lt;=0,"",IF(BC271&lt;=1000000,"Não Qualificado",IF(AND(BC271&gt;1000000,BC271&lt;=10000000),"Qualificado","Profissional")))</f>
        <v/>
      </c>
      <c r="T271" s="522" t="s">
        <v>108</v>
      </c>
      <c r="U271" s="522" t="s">
        <v>2591</v>
      </c>
      <c r="V271" s="522" t="s">
        <v>29</v>
      </c>
      <c r="W271" s="614" t="s">
        <v>3830</v>
      </c>
      <c r="X271" s="614" t="s">
        <v>3830</v>
      </c>
      <c r="Y271" s="614" t="s">
        <v>3830</v>
      </c>
      <c r="Z271" s="614" t="s">
        <v>3830</v>
      </c>
      <c r="AA271" s="614" t="s">
        <v>3830</v>
      </c>
      <c r="AB271" s="614" t="s">
        <v>3830</v>
      </c>
      <c r="AC271" s="614" t="s">
        <v>3830</v>
      </c>
      <c r="AD271" s="614" t="s">
        <v>3830</v>
      </c>
      <c r="AE271" s="614" t="s">
        <v>3830</v>
      </c>
      <c r="AF271" s="614" t="s">
        <v>3830</v>
      </c>
      <c r="AG271" s="614" t="s">
        <v>3830</v>
      </c>
      <c r="AH271" s="614" t="s">
        <v>3830</v>
      </c>
      <c r="AI271" s="614" t="s">
        <v>3830</v>
      </c>
      <c r="AJ271" s="614" t="s">
        <v>3830</v>
      </c>
      <c r="AK271" s="450">
        <v>239578.87</v>
      </c>
      <c r="AL271" s="450">
        <v>238262.91</v>
      </c>
      <c r="AM271" s="450">
        <v>234810.92</v>
      </c>
      <c r="AN271" s="450">
        <v>234680.86</v>
      </c>
      <c r="AO271" s="450">
        <v>238069.06</v>
      </c>
      <c r="AP271" s="450">
        <v>238844.8</v>
      </c>
      <c r="AQ271" s="450">
        <v>238395.1</v>
      </c>
      <c r="AR271" s="450">
        <v>241206.1</v>
      </c>
      <c r="AS271" s="450">
        <v>240757.59</v>
      </c>
      <c r="AT271" s="450">
        <v>238948.77</v>
      </c>
      <c r="AU271" s="450">
        <v>238776.43</v>
      </c>
      <c r="AV271" s="450">
        <v>236949.11</v>
      </c>
      <c r="AW271" s="450">
        <v>231351.09</v>
      </c>
      <c r="AX271" s="450">
        <v>233136.44</v>
      </c>
      <c r="AY271" s="450">
        <v>235997.43</v>
      </c>
      <c r="AZ271" s="450">
        <v>307441.79</v>
      </c>
      <c r="BA271" s="450">
        <v>886901.0</v>
      </c>
      <c r="BB271" s="450">
        <v>891284.59</v>
      </c>
      <c r="BC271" s="450"/>
      <c r="BD271" s="450">
        <v>848009.19</v>
      </c>
      <c r="BE271" s="450">
        <v>858686.85</v>
      </c>
      <c r="BF271" s="450">
        <v>866647.3</v>
      </c>
      <c r="BG271" s="450">
        <v>872455.4045</v>
      </c>
      <c r="BH271" s="450">
        <v>853621.81</v>
      </c>
      <c r="BI271" s="450">
        <v>98819.3</v>
      </c>
      <c r="BJ271" s="450">
        <v>96303.98</v>
      </c>
      <c r="BK271" s="450">
        <v>96533.93</v>
      </c>
      <c r="BL271" s="450">
        <v>87049.84</v>
      </c>
      <c r="BM271" s="450">
        <v>87432.01</v>
      </c>
      <c r="BN271" s="450">
        <v>52447.32</v>
      </c>
      <c r="BO271" s="450">
        <v>53228.16</v>
      </c>
      <c r="BP271" s="450">
        <v>52949.34</v>
      </c>
      <c r="BQ271" s="450">
        <v>49608.96</v>
      </c>
      <c r="BR271" s="450">
        <v>49127.68</v>
      </c>
      <c r="BS271" s="615">
        <f t="array" ref="BS271">XLOOKUP(D271,'PL TOTAL XP'!A:A,'PL TOTAL XP'!C:C,"0")</f>
        <v>63222.06</v>
      </c>
      <c r="BT271" s="616"/>
    </row>
    <row r="272" ht="15.75" customHeight="1">
      <c r="A272" s="183" t="s">
        <v>3820</v>
      </c>
      <c r="B272" s="78" t="s">
        <v>4651</v>
      </c>
      <c r="C272" s="564" t="s">
        <v>4652</v>
      </c>
      <c r="D272" s="566">
        <v>8514028.0</v>
      </c>
      <c r="E272" s="512" t="s">
        <v>18</v>
      </c>
      <c r="F272" s="512" t="s">
        <v>19</v>
      </c>
      <c r="G272" s="566" t="s">
        <v>4653</v>
      </c>
      <c r="H272" s="512">
        <f>IFERROR(VLOOKUP(G272,'Cadastro de assessores'!A:B,2,FALSE),"Não Cadastrado")</f>
        <v>12358</v>
      </c>
      <c r="I272" s="512"/>
      <c r="J272" s="51" t="s">
        <v>186</v>
      </c>
      <c r="K272" s="512" t="s">
        <v>107</v>
      </c>
      <c r="L272" s="610">
        <v>44690.0</v>
      </c>
      <c r="M272" s="610">
        <v>44693.0</v>
      </c>
      <c r="N272" s="618">
        <v>44914.0</v>
      </c>
      <c r="O272" s="522" t="s">
        <v>3869</v>
      </c>
      <c r="P272" s="612">
        <v>0.008</v>
      </c>
      <c r="Q272" s="620"/>
      <c r="R272" s="613"/>
      <c r="S272" s="522" t="str">
        <f t="shared" si="28"/>
        <v>Não Qualificado</v>
      </c>
      <c r="T272" s="522" t="s">
        <v>108</v>
      </c>
      <c r="U272" s="522" t="s">
        <v>2614</v>
      </c>
      <c r="V272" s="522" t="s">
        <v>29</v>
      </c>
      <c r="W272" s="614"/>
      <c r="X272" s="614"/>
      <c r="Y272" s="614"/>
      <c r="Z272" s="614"/>
      <c r="AA272" s="614"/>
      <c r="AB272" s="614"/>
      <c r="AC272" s="614"/>
      <c r="AD272" s="614"/>
      <c r="AE272" s="614"/>
      <c r="AF272" s="614"/>
      <c r="AG272" s="614"/>
      <c r="AH272" s="614"/>
      <c r="AI272" s="614"/>
      <c r="AJ272" s="614"/>
      <c r="AK272" s="450"/>
      <c r="AL272" s="450"/>
      <c r="AM272" s="450"/>
      <c r="AN272" s="450"/>
      <c r="AO272" s="450"/>
      <c r="AP272" s="450"/>
      <c r="AQ272" s="450"/>
      <c r="AR272" s="450"/>
      <c r="AS272" s="450"/>
      <c r="AT272" s="450"/>
      <c r="AU272" s="450"/>
      <c r="AV272" s="450"/>
      <c r="AW272" s="450"/>
      <c r="AX272" s="450"/>
      <c r="AY272" s="450"/>
      <c r="AZ272" s="450"/>
      <c r="BA272" s="450"/>
      <c r="BB272" s="450"/>
      <c r="BC272" s="450">
        <v>96313.57</v>
      </c>
      <c r="BD272" s="450">
        <v>527755.9</v>
      </c>
      <c r="BE272" s="450">
        <v>527460.96</v>
      </c>
      <c r="BF272" s="450">
        <v>533652.18</v>
      </c>
      <c r="BG272" s="450">
        <v>548840.23</v>
      </c>
      <c r="BH272" s="450">
        <v>548153.5</v>
      </c>
      <c r="BI272" s="450">
        <v>553902.7</v>
      </c>
      <c r="BJ272" s="450">
        <v>536986.89</v>
      </c>
      <c r="BK272" s="450">
        <v>0.0</v>
      </c>
      <c r="BL272" s="450">
        <v>0.0</v>
      </c>
      <c r="BM272" s="450">
        <v>0.0</v>
      </c>
      <c r="BN272" s="450">
        <v>0.0</v>
      </c>
      <c r="BO272" s="450">
        <v>0.0</v>
      </c>
      <c r="BP272" s="450">
        <v>0.0</v>
      </c>
      <c r="BQ272" s="450">
        <v>0.0</v>
      </c>
      <c r="BR272" s="450">
        <v>0.0</v>
      </c>
      <c r="BS272" s="615" t="str">
        <f t="array" ref="BS272">XLOOKUP(D272,'PL TOTAL XP'!A:A,'PL TOTAL XP'!C:C,"0")</f>
        <v>0</v>
      </c>
      <c r="BT272" s="616"/>
    </row>
    <row r="273" ht="15.75" customHeight="1">
      <c r="A273" s="183" t="s">
        <v>3820</v>
      </c>
      <c r="B273" s="78" t="s">
        <v>1396</v>
      </c>
      <c r="C273" s="617" t="s">
        <v>1394</v>
      </c>
      <c r="D273" s="522">
        <v>2358079.0</v>
      </c>
      <c r="E273" s="512" t="s">
        <v>18</v>
      </c>
      <c r="F273" s="512" t="s">
        <v>19</v>
      </c>
      <c r="G273" s="512" t="s">
        <v>4003</v>
      </c>
      <c r="H273" s="512">
        <f>IFERROR(VLOOKUP(G273,'Cadastro de assessores'!A:B,2,FALSE),"Não Cadastrado")</f>
        <v>12351</v>
      </c>
      <c r="I273" s="512"/>
      <c r="J273" s="51" t="s">
        <v>3823</v>
      </c>
      <c r="K273" s="512" t="s">
        <v>107</v>
      </c>
      <c r="L273" s="610">
        <v>44733.0</v>
      </c>
      <c r="M273" s="610">
        <v>44733.0</v>
      </c>
      <c r="N273" s="522"/>
      <c r="O273" s="522" t="s">
        <v>3836</v>
      </c>
      <c r="P273" s="612">
        <v>0.012</v>
      </c>
      <c r="Q273" s="644" t="s">
        <v>4654</v>
      </c>
      <c r="R273" s="613"/>
      <c r="S273" s="522"/>
      <c r="T273" s="522" t="s">
        <v>108</v>
      </c>
      <c r="U273" s="490" t="s">
        <v>2664</v>
      </c>
      <c r="V273" s="522" t="s">
        <v>791</v>
      </c>
      <c r="W273" s="614"/>
      <c r="X273" s="614"/>
      <c r="Y273" s="614"/>
      <c r="Z273" s="614"/>
      <c r="AA273" s="614"/>
      <c r="AB273" s="614"/>
      <c r="AC273" s="614"/>
      <c r="AD273" s="614"/>
      <c r="AE273" s="614"/>
      <c r="AF273" s="614"/>
      <c r="AG273" s="614"/>
      <c r="AH273" s="614"/>
      <c r="AI273" s="614"/>
      <c r="AJ273" s="614"/>
      <c r="AK273" s="450"/>
      <c r="AL273" s="450"/>
      <c r="AM273" s="450"/>
      <c r="AN273" s="450"/>
      <c r="AO273" s="450"/>
      <c r="AP273" s="450"/>
      <c r="AQ273" s="450"/>
      <c r="AR273" s="450"/>
      <c r="AS273" s="450"/>
      <c r="AT273" s="450"/>
      <c r="AU273" s="450"/>
      <c r="AV273" s="450"/>
      <c r="AW273" s="450"/>
      <c r="AX273" s="450"/>
      <c r="AY273" s="450"/>
      <c r="AZ273" s="450"/>
      <c r="BA273" s="450"/>
      <c r="BB273" s="450"/>
      <c r="BC273" s="450"/>
      <c r="BD273" s="450"/>
      <c r="BE273" s="450">
        <v>310778.79</v>
      </c>
      <c r="BF273" s="450">
        <v>325194.67</v>
      </c>
      <c r="BG273" s="450">
        <v>321713.3997</v>
      </c>
      <c r="BH273" s="450">
        <v>324036.55</v>
      </c>
      <c r="BI273" s="450">
        <v>318740.96</v>
      </c>
      <c r="BJ273" s="450">
        <v>319926.98</v>
      </c>
      <c r="BK273" s="450">
        <v>322823.23</v>
      </c>
      <c r="BL273" s="450">
        <v>300.15</v>
      </c>
      <c r="BM273" s="450">
        <v>97.38</v>
      </c>
      <c r="BN273" s="450">
        <v>0.0</v>
      </c>
      <c r="BO273" s="450">
        <v>0.0</v>
      </c>
      <c r="BP273" s="450">
        <v>0.0</v>
      </c>
      <c r="BQ273" s="450">
        <v>0.0</v>
      </c>
      <c r="BR273" s="450">
        <v>0.0</v>
      </c>
      <c r="BS273" s="615">
        <f t="array" ref="BS273">XLOOKUP(D273,'PL TOTAL XP'!A:A,'PL TOTAL XP'!C:C,"0")</f>
        <v>0</v>
      </c>
      <c r="BT273" s="616"/>
    </row>
    <row r="274" ht="15.75" customHeight="1">
      <c r="A274" s="183" t="s">
        <v>3820</v>
      </c>
      <c r="B274" s="78" t="s">
        <v>4655</v>
      </c>
      <c r="C274" s="617" t="s">
        <v>4656</v>
      </c>
      <c r="D274" s="522">
        <v>2864258.0</v>
      </c>
      <c r="E274" s="522" t="s">
        <v>2550</v>
      </c>
      <c r="F274" s="522" t="s">
        <v>29</v>
      </c>
      <c r="G274" s="522" t="s">
        <v>2550</v>
      </c>
      <c r="H274" s="522" t="str">
        <f>IFERROR(VLOOKUP(G274,'Cadastro de assessores'!A:B,2,FALSE),"Não Cadastrado")</f>
        <v>18986</v>
      </c>
      <c r="I274" s="522"/>
      <c r="J274" s="51" t="s">
        <v>186</v>
      </c>
      <c r="K274" s="522" t="s">
        <v>2563</v>
      </c>
      <c r="L274" s="619">
        <v>44070.0</v>
      </c>
      <c r="M274" s="619">
        <v>44070.0</v>
      </c>
      <c r="N274" s="522"/>
      <c r="O274" s="522" t="s">
        <v>3824</v>
      </c>
      <c r="P274" s="612">
        <v>0.02</v>
      </c>
      <c r="Q274" s="644" t="s">
        <v>4657</v>
      </c>
      <c r="R274" s="613"/>
      <c r="S274" s="522" t="str">
        <f t="shared" ref="S274:S283" si="29">IF(BC274&lt;=0,"",IF(BC274&lt;=1000000,"Não Qualificado",IF(AND(BC274&gt;1000000,BC274&lt;=10000000),"Qualificado","Profissional")))</f>
        <v>Não Qualificado</v>
      </c>
      <c r="T274" s="522" t="s">
        <v>108</v>
      </c>
      <c r="U274" s="490" t="s">
        <v>2580</v>
      </c>
      <c r="V274" s="522" t="s">
        <v>29</v>
      </c>
      <c r="W274" s="614" t="s">
        <v>3830</v>
      </c>
      <c r="X274" s="614" t="s">
        <v>3830</v>
      </c>
      <c r="Y274" s="614" t="s">
        <v>3830</v>
      </c>
      <c r="Z274" s="614" t="s">
        <v>3830</v>
      </c>
      <c r="AA274" s="614" t="s">
        <v>3830</v>
      </c>
      <c r="AB274" s="614" t="s">
        <v>3830</v>
      </c>
      <c r="AC274" s="614" t="s">
        <v>3830</v>
      </c>
      <c r="AD274" s="614" t="s">
        <v>3830</v>
      </c>
      <c r="AE274" s="614" t="s">
        <v>3830</v>
      </c>
      <c r="AF274" s="614" t="s">
        <v>3830</v>
      </c>
      <c r="AG274" s="614" t="s">
        <v>4658</v>
      </c>
      <c r="AH274" s="614" t="s">
        <v>4659</v>
      </c>
      <c r="AI274" s="614" t="s">
        <v>4660</v>
      </c>
      <c r="AJ274" s="614" t="s">
        <v>4661</v>
      </c>
      <c r="AK274" s="450">
        <v>52748.91</v>
      </c>
      <c r="AL274" s="450">
        <v>51164.24</v>
      </c>
      <c r="AM274" s="450">
        <v>47591.43</v>
      </c>
      <c r="AN274" s="450">
        <v>47072.3</v>
      </c>
      <c r="AO274" s="450">
        <v>331.53</v>
      </c>
      <c r="AP274" s="450">
        <v>331.04</v>
      </c>
      <c r="AQ274" s="450">
        <v>330.89</v>
      </c>
      <c r="AR274" s="450">
        <v>330.76</v>
      </c>
      <c r="AS274" s="450">
        <v>330.56</v>
      </c>
      <c r="AT274" s="450">
        <v>330.44</v>
      </c>
      <c r="AU274" s="450">
        <v>330.29</v>
      </c>
      <c r="AV274" s="450">
        <v>235.2</v>
      </c>
      <c r="AW274" s="450">
        <v>330.33</v>
      </c>
      <c r="AX274" s="450">
        <v>330.43</v>
      </c>
      <c r="AY274" s="450">
        <v>60.39</v>
      </c>
      <c r="AZ274" s="450">
        <v>61.37</v>
      </c>
      <c r="BA274" s="450">
        <v>62.38</v>
      </c>
      <c r="BB274" s="450">
        <v>63.39</v>
      </c>
      <c r="BC274" s="450">
        <v>184842.28</v>
      </c>
      <c r="BD274" s="450">
        <v>505.26</v>
      </c>
      <c r="BE274" s="450">
        <v>509.47</v>
      </c>
      <c r="BF274" s="450">
        <v>513.38</v>
      </c>
      <c r="BG274" s="450">
        <v>0.0</v>
      </c>
      <c r="BH274" s="450">
        <v>0.0</v>
      </c>
      <c r="BI274" s="450">
        <v>0.0</v>
      </c>
      <c r="BJ274" s="450">
        <v>0.0</v>
      </c>
      <c r="BK274" s="450">
        <v>0.0</v>
      </c>
      <c r="BL274" s="450">
        <v>0.0</v>
      </c>
      <c r="BM274" s="450">
        <v>0.0</v>
      </c>
      <c r="BN274" s="450">
        <v>0.0</v>
      </c>
      <c r="BO274" s="450">
        <v>0.0</v>
      </c>
      <c r="BP274" s="450">
        <v>0.0</v>
      </c>
      <c r="BQ274" s="450">
        <v>0.0</v>
      </c>
      <c r="BR274" s="450">
        <v>0.0</v>
      </c>
      <c r="BS274" s="615" t="str">
        <f t="array" ref="BS274">XLOOKUP(D274,'PL TOTAL XP'!A:A,'PL TOTAL XP'!C:C,"0")</f>
        <v>0</v>
      </c>
      <c r="BT274" s="616"/>
    </row>
    <row r="275" ht="15.75" customHeight="1">
      <c r="A275" s="183" t="s">
        <v>3820</v>
      </c>
      <c r="B275" s="78" t="s">
        <v>1419</v>
      </c>
      <c r="C275" s="645" t="s">
        <v>1416</v>
      </c>
      <c r="D275" s="627">
        <v>6879934.0</v>
      </c>
      <c r="E275" s="512" t="s">
        <v>18</v>
      </c>
      <c r="F275" s="609" t="s">
        <v>19</v>
      </c>
      <c r="G275" s="627" t="s">
        <v>122</v>
      </c>
      <c r="H275" s="512" t="str">
        <f>IFERROR(VLOOKUP(G275,'Cadastro de assessores'!A:B,2,FALSE),"Não Cadastrado")</f>
        <v>18890</v>
      </c>
      <c r="I275" s="512"/>
      <c r="J275" s="51" t="s">
        <v>3823</v>
      </c>
      <c r="K275" s="512" t="s">
        <v>107</v>
      </c>
      <c r="L275" s="610">
        <v>44567.0</v>
      </c>
      <c r="M275" s="610">
        <v>44568.0</v>
      </c>
      <c r="N275" s="627"/>
      <c r="O275" s="627" t="s">
        <v>4479</v>
      </c>
      <c r="P275" s="612">
        <v>0.011</v>
      </c>
      <c r="Q275" s="224" t="s">
        <v>4662</v>
      </c>
      <c r="R275" s="613"/>
      <c r="S275" s="522" t="str">
        <f t="shared" si="29"/>
        <v>Não Qualificado</v>
      </c>
      <c r="T275" s="522" t="s">
        <v>108</v>
      </c>
      <c r="U275" s="566" t="s">
        <v>4663</v>
      </c>
      <c r="V275" s="522" t="s">
        <v>19</v>
      </c>
      <c r="W275" s="468"/>
      <c r="X275" s="468"/>
      <c r="Y275" s="468"/>
      <c r="Z275" s="468"/>
      <c r="AA275" s="468"/>
      <c r="AB275" s="468"/>
      <c r="AC275" s="468"/>
      <c r="AD275" s="468"/>
      <c r="AE275" s="468"/>
      <c r="AF275" s="468"/>
      <c r="AG275" s="468"/>
      <c r="AH275" s="614"/>
      <c r="AI275" s="614"/>
      <c r="AJ275" s="450"/>
      <c r="AK275" s="450"/>
      <c r="AL275" s="450"/>
      <c r="AM275" s="450"/>
      <c r="AN275" s="450"/>
      <c r="AO275" s="450"/>
      <c r="AP275" s="450"/>
      <c r="AQ275" s="450"/>
      <c r="AR275" s="450"/>
      <c r="AS275" s="450"/>
      <c r="AT275" s="450"/>
      <c r="AU275" s="450"/>
      <c r="AV275" s="450"/>
      <c r="AW275" s="450"/>
      <c r="AX275" s="468"/>
      <c r="AY275" s="468"/>
      <c r="AZ275" s="634">
        <v>2025583.05</v>
      </c>
      <c r="BA275" s="634">
        <v>2040896.96</v>
      </c>
      <c r="BB275" s="634">
        <v>2071481.0</v>
      </c>
      <c r="BC275" s="634">
        <v>628833.01</v>
      </c>
      <c r="BD275" s="450">
        <v>3750018.87</v>
      </c>
      <c r="BE275" s="450">
        <v>3418784.31</v>
      </c>
      <c r="BF275" s="450">
        <v>3448084.58</v>
      </c>
      <c r="BG275" s="450">
        <v>3476965.17</v>
      </c>
      <c r="BH275" s="450">
        <v>3565688.65</v>
      </c>
      <c r="BI275" s="450">
        <v>3587278.34</v>
      </c>
      <c r="BJ275" s="450">
        <v>3598520.2</v>
      </c>
      <c r="BK275" s="450">
        <v>3615787.71</v>
      </c>
      <c r="BL275" s="450">
        <v>503538.88</v>
      </c>
      <c r="BM275" s="450">
        <v>708413.74</v>
      </c>
      <c r="BN275" s="450">
        <v>193.2</v>
      </c>
      <c r="BO275" s="450">
        <v>193.2</v>
      </c>
      <c r="BP275" s="450">
        <v>193.2</v>
      </c>
      <c r="BQ275" s="450">
        <v>193.2</v>
      </c>
      <c r="BR275" s="450">
        <v>193.2</v>
      </c>
      <c r="BS275" s="615">
        <f t="array" ref="BS275">XLOOKUP(D275,'PL TOTAL XP'!A:A,'PL TOTAL XP'!C:C,"0")</f>
        <v>139.02</v>
      </c>
      <c r="BT275" s="616"/>
    </row>
    <row r="276" ht="15.75" customHeight="1">
      <c r="A276" s="183" t="s">
        <v>3820</v>
      </c>
      <c r="B276" s="78" t="s">
        <v>4664</v>
      </c>
      <c r="C276" s="617" t="s">
        <v>4665</v>
      </c>
      <c r="D276" s="522">
        <v>4386181.0</v>
      </c>
      <c r="E276" s="522" t="s">
        <v>105</v>
      </c>
      <c r="F276" s="522" t="s">
        <v>29</v>
      </c>
      <c r="G276" s="522" t="s">
        <v>4087</v>
      </c>
      <c r="H276" s="522" t="str">
        <f>IFERROR(VLOOKUP(G276,'Cadastro de assessores'!A:B,2,FALSE),"Não Cadastrado")</f>
        <v>17243</v>
      </c>
      <c r="I276" s="522"/>
      <c r="J276" s="51" t="s">
        <v>186</v>
      </c>
      <c r="K276" s="522" t="s">
        <v>2563</v>
      </c>
      <c r="L276" s="619">
        <v>44067.0</v>
      </c>
      <c r="M276" s="619">
        <v>44067.0</v>
      </c>
      <c r="N276" s="522"/>
      <c r="O276" s="522" t="s">
        <v>3840</v>
      </c>
      <c r="P276" s="612">
        <v>0.025</v>
      </c>
      <c r="Q276" s="620" t="s">
        <v>4666</v>
      </c>
      <c r="R276" s="613"/>
      <c r="S276" s="522" t="str">
        <f t="shared" si="29"/>
        <v>Qualificado</v>
      </c>
      <c r="T276" s="522" t="s">
        <v>108</v>
      </c>
      <c r="U276" s="522" t="s">
        <v>2591</v>
      </c>
      <c r="V276" s="522" t="s">
        <v>29</v>
      </c>
      <c r="W276" s="614" t="s">
        <v>3830</v>
      </c>
      <c r="X276" s="614" t="s">
        <v>3830</v>
      </c>
      <c r="Y276" s="614" t="s">
        <v>3830</v>
      </c>
      <c r="Z276" s="614" t="s">
        <v>3830</v>
      </c>
      <c r="AA276" s="614" t="s">
        <v>3830</v>
      </c>
      <c r="AB276" s="614" t="s">
        <v>3830</v>
      </c>
      <c r="AC276" s="614" t="s">
        <v>3830</v>
      </c>
      <c r="AD276" s="614" t="s">
        <v>3830</v>
      </c>
      <c r="AE276" s="614" t="s">
        <v>3830</v>
      </c>
      <c r="AF276" s="614" t="s">
        <v>3830</v>
      </c>
      <c r="AG276" s="614" t="s">
        <v>4667</v>
      </c>
      <c r="AH276" s="614" t="s">
        <v>4668</v>
      </c>
      <c r="AI276" s="614" t="s">
        <v>4669</v>
      </c>
      <c r="AJ276" s="614" t="s">
        <v>4670</v>
      </c>
      <c r="AK276" s="450">
        <v>822128.93</v>
      </c>
      <c r="AL276" s="450">
        <v>816447.36</v>
      </c>
      <c r="AM276" s="450">
        <v>198544.13</v>
      </c>
      <c r="AN276" s="450">
        <v>197787.88</v>
      </c>
      <c r="AO276" s="450">
        <v>211936.86</v>
      </c>
      <c r="AP276" s="450">
        <v>214974.83</v>
      </c>
      <c r="AQ276" s="450">
        <v>212981.13</v>
      </c>
      <c r="AR276" s="450">
        <v>224810.15</v>
      </c>
      <c r="AS276" s="450">
        <v>219851.64</v>
      </c>
      <c r="AT276" s="450">
        <v>208836.23</v>
      </c>
      <c r="AU276" s="450">
        <v>204784.07</v>
      </c>
      <c r="AV276" s="450">
        <v>148952.73</v>
      </c>
      <c r="AW276" s="450">
        <v>114093.84</v>
      </c>
      <c r="AX276" s="450">
        <v>70976.34</v>
      </c>
      <c r="AY276" s="450">
        <v>40927.03</v>
      </c>
      <c r="AZ276" s="450">
        <v>30970.58</v>
      </c>
      <c r="BA276" s="450">
        <v>14032.43</v>
      </c>
      <c r="BB276" s="450">
        <v>-122.89</v>
      </c>
      <c r="BC276" s="450">
        <v>1483496.27</v>
      </c>
      <c r="BD276" s="450">
        <v>365.65</v>
      </c>
      <c r="BE276" s="450" t="s">
        <v>2566</v>
      </c>
      <c r="BF276" s="450">
        <v>0.0</v>
      </c>
      <c r="BG276" s="450">
        <v>0.0</v>
      </c>
      <c r="BH276" s="450">
        <v>0.0</v>
      </c>
      <c r="BI276" s="450">
        <v>0.0</v>
      </c>
      <c r="BJ276" s="450">
        <v>0.0</v>
      </c>
      <c r="BK276" s="450">
        <v>0.0</v>
      </c>
      <c r="BL276" s="450">
        <v>0.0</v>
      </c>
      <c r="BM276" s="450">
        <v>0.0</v>
      </c>
      <c r="BN276" s="450">
        <v>0.0</v>
      </c>
      <c r="BO276" s="450">
        <v>0.0</v>
      </c>
      <c r="BP276" s="450">
        <v>0.0</v>
      </c>
      <c r="BQ276" s="450">
        <v>0.0</v>
      </c>
      <c r="BR276" s="450">
        <v>0.0</v>
      </c>
      <c r="BS276" s="615" t="str">
        <f t="array" ref="BS276">XLOOKUP(D276,'PL TOTAL XP'!A:A,'PL TOTAL XP'!C:C,"0")</f>
        <v>0</v>
      </c>
      <c r="BT276" s="616"/>
    </row>
    <row r="277" ht="15.75" customHeight="1">
      <c r="A277" s="183" t="s">
        <v>3820</v>
      </c>
      <c r="B277" s="78" t="s">
        <v>4671</v>
      </c>
      <c r="C277" s="617" t="s">
        <v>4672</v>
      </c>
      <c r="D277" s="522">
        <v>4868468.0</v>
      </c>
      <c r="E277" s="512" t="s">
        <v>105</v>
      </c>
      <c r="F277" s="512" t="s">
        <v>29</v>
      </c>
      <c r="G277" s="512" t="s">
        <v>3660</v>
      </c>
      <c r="H277" s="512" t="str">
        <f>IFERROR(VLOOKUP(G277,'Cadastro de assessores'!A:B,2,FALSE),"Não Cadastrado")</f>
        <v>14574</v>
      </c>
      <c r="I277" s="512"/>
      <c r="J277" s="51" t="s">
        <v>186</v>
      </c>
      <c r="K277" s="512" t="s">
        <v>107</v>
      </c>
      <c r="L277" s="610">
        <v>44246.0</v>
      </c>
      <c r="M277" s="610">
        <v>44246.0</v>
      </c>
      <c r="N277" s="619">
        <v>44896.0</v>
      </c>
      <c r="O277" s="522" t="s">
        <v>3828</v>
      </c>
      <c r="P277" s="612">
        <v>0.015</v>
      </c>
      <c r="Q277" s="620" t="s">
        <v>4673</v>
      </c>
      <c r="R277" s="613"/>
      <c r="S277" s="522" t="str">
        <f t="shared" si="29"/>
        <v/>
      </c>
      <c r="T277" s="522" t="s">
        <v>369</v>
      </c>
      <c r="U277" s="522" t="s">
        <v>3407</v>
      </c>
      <c r="V277" s="522" t="s">
        <v>29</v>
      </c>
      <c r="W277" s="614"/>
      <c r="X277" s="614"/>
      <c r="Y277" s="614"/>
      <c r="Z277" s="614"/>
      <c r="AA277" s="614"/>
      <c r="AB277" s="614"/>
      <c r="AC277" s="614"/>
      <c r="AD277" s="614"/>
      <c r="AE277" s="614"/>
      <c r="AF277" s="614"/>
      <c r="AG277" s="614"/>
      <c r="AH277" s="614" t="s">
        <v>4674</v>
      </c>
      <c r="AI277" s="614" t="s">
        <v>4675</v>
      </c>
      <c r="AJ277" s="614" t="s">
        <v>4676</v>
      </c>
      <c r="AK277" s="450">
        <v>26256.36</v>
      </c>
      <c r="AL277" s="450">
        <v>392.11</v>
      </c>
      <c r="AM277" s="450">
        <v>54724.01</v>
      </c>
      <c r="AN277" s="450">
        <v>89776.4</v>
      </c>
      <c r="AO277" s="450">
        <v>129949.69</v>
      </c>
      <c r="AP277" s="450">
        <v>130720.75</v>
      </c>
      <c r="AQ277" s="450">
        <v>130243.36</v>
      </c>
      <c r="AR277" s="450">
        <v>133121.47</v>
      </c>
      <c r="AS277" s="450">
        <v>132083.63</v>
      </c>
      <c r="AT277" s="450">
        <v>129461.05</v>
      </c>
      <c r="AU277" s="450">
        <v>128664.15</v>
      </c>
      <c r="AV277" s="450">
        <v>126530.38</v>
      </c>
      <c r="AW277" s="450">
        <v>122891.05</v>
      </c>
      <c r="AX277" s="450">
        <v>122783.14</v>
      </c>
      <c r="AY277" s="450">
        <v>124205.78</v>
      </c>
      <c r="AZ277" s="450">
        <v>127393.51</v>
      </c>
      <c r="BA277" s="450">
        <v>168304.69</v>
      </c>
      <c r="BB277" s="450">
        <v>171696.13</v>
      </c>
      <c r="BC277" s="450">
        <v>0.0</v>
      </c>
      <c r="BD277" s="450">
        <v>170641.28</v>
      </c>
      <c r="BE277" s="450">
        <v>170682.8</v>
      </c>
      <c r="BF277" s="450">
        <v>173210.87</v>
      </c>
      <c r="BG277" s="450">
        <v>173936.3099</v>
      </c>
      <c r="BH277" s="450">
        <v>174311.44</v>
      </c>
      <c r="BI277" s="450">
        <v>179244.22</v>
      </c>
      <c r="BJ277" s="450">
        <v>179084.31</v>
      </c>
      <c r="BK277" s="450">
        <v>0.0</v>
      </c>
      <c r="BL277" s="450">
        <v>0.0</v>
      </c>
      <c r="BM277" s="450">
        <v>0.0</v>
      </c>
      <c r="BN277" s="450">
        <v>0.0</v>
      </c>
      <c r="BO277" s="450">
        <v>0.0</v>
      </c>
      <c r="BP277" s="450">
        <v>0.0</v>
      </c>
      <c r="BQ277" s="450">
        <v>0.0</v>
      </c>
      <c r="BR277" s="450">
        <v>0.0</v>
      </c>
      <c r="BS277" s="615" t="str">
        <f t="array" ref="BS277">XLOOKUP(D277,'PL TOTAL XP'!A:A,'PL TOTAL XP'!C:C,"0")</f>
        <v>0</v>
      </c>
      <c r="BT277" s="616"/>
    </row>
    <row r="278" ht="15.75" customHeight="1">
      <c r="A278" s="183" t="s">
        <v>3820</v>
      </c>
      <c r="B278" s="78">
        <v>2.69655417E9</v>
      </c>
      <c r="C278" s="617" t="s">
        <v>4677</v>
      </c>
      <c r="D278" s="522">
        <v>3713246.0</v>
      </c>
      <c r="E278" s="522" t="s">
        <v>2550</v>
      </c>
      <c r="F278" s="522" t="s">
        <v>29</v>
      </c>
      <c r="G278" s="522" t="s">
        <v>2550</v>
      </c>
      <c r="H278" s="522" t="str">
        <f>IFERROR(VLOOKUP(G278,'Cadastro de assessores'!A:B,2,FALSE),"Não Cadastrado")</f>
        <v>18986</v>
      </c>
      <c r="I278" s="522"/>
      <c r="J278" s="51" t="s">
        <v>186</v>
      </c>
      <c r="K278" s="522" t="s">
        <v>2563</v>
      </c>
      <c r="L278" s="619">
        <v>43850.0</v>
      </c>
      <c r="M278" s="619">
        <v>43850.0</v>
      </c>
      <c r="N278" s="619">
        <v>44252.0</v>
      </c>
      <c r="O278" s="522" t="s">
        <v>3836</v>
      </c>
      <c r="P278" s="612">
        <v>0.01</v>
      </c>
      <c r="Q278" s="620" t="s">
        <v>4678</v>
      </c>
      <c r="R278" s="613"/>
      <c r="S278" s="522" t="str">
        <f t="shared" si="29"/>
        <v>Não Qualificado</v>
      </c>
      <c r="T278" s="522" t="s">
        <v>108</v>
      </c>
      <c r="U278" s="522" t="s">
        <v>3487</v>
      </c>
      <c r="V278" s="522" t="s">
        <v>29</v>
      </c>
      <c r="W278" s="614" t="s">
        <v>3830</v>
      </c>
      <c r="X278" s="614" t="s">
        <v>3830</v>
      </c>
      <c r="Y278" s="614" t="s">
        <v>3830</v>
      </c>
      <c r="Z278" s="614" t="s">
        <v>4679</v>
      </c>
      <c r="AA278" s="614" t="s">
        <v>4680</v>
      </c>
      <c r="AB278" s="614" t="s">
        <v>4681</v>
      </c>
      <c r="AC278" s="614" t="s">
        <v>4682</v>
      </c>
      <c r="AD278" s="614" t="s">
        <v>4683</v>
      </c>
      <c r="AE278" s="614" t="s">
        <v>4684</v>
      </c>
      <c r="AF278" s="614" t="s">
        <v>4685</v>
      </c>
      <c r="AG278" s="614" t="s">
        <v>4686</v>
      </c>
      <c r="AH278" s="614" t="s">
        <v>4687</v>
      </c>
      <c r="AI278" s="614" t="s">
        <v>4688</v>
      </c>
      <c r="AJ278" s="614" t="s">
        <v>4689</v>
      </c>
      <c r="AK278" s="450">
        <v>427460.76</v>
      </c>
      <c r="AL278" s="450">
        <v>414609.03</v>
      </c>
      <c r="AM278" s="450">
        <v>367.35</v>
      </c>
      <c r="AN278" s="450">
        <v>281.32</v>
      </c>
      <c r="AO278" s="450"/>
      <c r="AP278" s="450"/>
      <c r="AQ278" s="450"/>
      <c r="AR278" s="450"/>
      <c r="AS278" s="450"/>
      <c r="AT278" s="450"/>
      <c r="AU278" s="450"/>
      <c r="AV278" s="450"/>
      <c r="AW278" s="450"/>
      <c r="AX278" s="450"/>
      <c r="AY278" s="450"/>
      <c r="AZ278" s="450"/>
      <c r="BA278" s="450">
        <v>0.0</v>
      </c>
      <c r="BB278" s="450">
        <v>0.0</v>
      </c>
      <c r="BC278" s="450">
        <v>225452.76</v>
      </c>
      <c r="BD278" s="450" t="s">
        <v>2566</v>
      </c>
      <c r="BE278" s="450" t="s">
        <v>2566</v>
      </c>
      <c r="BF278" s="450">
        <v>0.0</v>
      </c>
      <c r="BG278" s="450">
        <v>0.0</v>
      </c>
      <c r="BH278" s="450">
        <v>0.0</v>
      </c>
      <c r="BI278" s="450">
        <v>0.0</v>
      </c>
      <c r="BJ278" s="450">
        <v>0.0</v>
      </c>
      <c r="BK278" s="450">
        <v>0.0</v>
      </c>
      <c r="BL278" s="450">
        <v>0.0</v>
      </c>
      <c r="BM278" s="450">
        <v>0.0</v>
      </c>
      <c r="BN278" s="450">
        <v>0.0</v>
      </c>
      <c r="BO278" s="450">
        <v>0.0</v>
      </c>
      <c r="BP278" s="450">
        <v>0.0</v>
      </c>
      <c r="BQ278" s="450">
        <v>0.0</v>
      </c>
      <c r="BR278" s="450">
        <v>0.0</v>
      </c>
      <c r="BS278" s="615" t="str">
        <f t="array" ref="BS278">XLOOKUP(D278,'PL TOTAL XP'!A:A,'PL TOTAL XP'!C:C,"0")</f>
        <v>0</v>
      </c>
      <c r="BT278" s="616"/>
    </row>
    <row r="279" ht="15.75" customHeight="1">
      <c r="A279" s="183" t="s">
        <v>3820</v>
      </c>
      <c r="B279" s="78" t="s">
        <v>4690</v>
      </c>
      <c r="C279" s="617" t="s">
        <v>4691</v>
      </c>
      <c r="D279" s="522">
        <v>2310651.0</v>
      </c>
      <c r="E279" s="522" t="s">
        <v>2550</v>
      </c>
      <c r="F279" s="522" t="s">
        <v>29</v>
      </c>
      <c r="G279" s="522" t="s">
        <v>2550</v>
      </c>
      <c r="H279" s="522" t="str">
        <f>IFERROR(VLOOKUP(G279,'Cadastro de assessores'!A:B,2,FALSE),"Não Cadastrado")</f>
        <v>18986</v>
      </c>
      <c r="I279" s="522"/>
      <c r="J279" s="51" t="s">
        <v>186</v>
      </c>
      <c r="K279" s="522" t="s">
        <v>2563</v>
      </c>
      <c r="L279" s="619">
        <v>43872.0</v>
      </c>
      <c r="M279" s="619">
        <v>43872.0</v>
      </c>
      <c r="N279" s="619">
        <v>44369.0</v>
      </c>
      <c r="O279" s="522" t="s">
        <v>3828</v>
      </c>
      <c r="P279" s="612">
        <v>0.015</v>
      </c>
      <c r="Q279" s="620" t="s">
        <v>4692</v>
      </c>
      <c r="R279" s="613"/>
      <c r="S279" s="522" t="str">
        <f t="shared" si="29"/>
        <v/>
      </c>
      <c r="T279" s="522" t="s">
        <v>108</v>
      </c>
      <c r="U279" s="522" t="s">
        <v>3487</v>
      </c>
      <c r="V279" s="522" t="s">
        <v>29</v>
      </c>
      <c r="W279" s="614" t="s">
        <v>3830</v>
      </c>
      <c r="X279" s="614" t="s">
        <v>3830</v>
      </c>
      <c r="Y279" s="614" t="s">
        <v>3830</v>
      </c>
      <c r="Z279" s="614" t="s">
        <v>4693</v>
      </c>
      <c r="AA279" s="614" t="s">
        <v>4694</v>
      </c>
      <c r="AB279" s="614" t="s">
        <v>4695</v>
      </c>
      <c r="AC279" s="614" t="s">
        <v>4696</v>
      </c>
      <c r="AD279" s="614" t="s">
        <v>4697</v>
      </c>
      <c r="AE279" s="614" t="s">
        <v>4698</v>
      </c>
      <c r="AF279" s="614" t="s">
        <v>4699</v>
      </c>
      <c r="AG279" s="614" t="s">
        <v>4700</v>
      </c>
      <c r="AH279" s="614"/>
      <c r="AI279" s="614" t="s">
        <v>4701</v>
      </c>
      <c r="AJ279" s="614"/>
      <c r="AK279" s="450"/>
      <c r="AL279" s="450"/>
      <c r="AM279" s="450">
        <v>397010.63</v>
      </c>
      <c r="AN279" s="450">
        <v>395360.96</v>
      </c>
      <c r="AO279" s="450">
        <v>404017.27</v>
      </c>
      <c r="AP279" s="450">
        <v>406808.75</v>
      </c>
      <c r="AQ279" s="450">
        <v>405278.82</v>
      </c>
      <c r="AR279" s="450">
        <v>414924.21</v>
      </c>
      <c r="AS279" s="450">
        <v>411756.24</v>
      </c>
      <c r="AT279" s="450"/>
      <c r="AU279" s="450"/>
      <c r="AV279" s="450"/>
      <c r="AW279" s="450"/>
      <c r="AX279" s="450"/>
      <c r="AY279" s="450"/>
      <c r="AZ279" s="450"/>
      <c r="BA279" s="450">
        <v>0.0</v>
      </c>
      <c r="BB279" s="450">
        <v>0.0</v>
      </c>
      <c r="BC279" s="450">
        <v>0.0</v>
      </c>
      <c r="BD279" s="450" t="s">
        <v>2566</v>
      </c>
      <c r="BE279" s="450" t="s">
        <v>2566</v>
      </c>
      <c r="BF279" s="450">
        <v>0.0</v>
      </c>
      <c r="BG279" s="450">
        <v>0.0</v>
      </c>
      <c r="BH279" s="450">
        <v>0.0</v>
      </c>
      <c r="BI279" s="450">
        <v>0.0</v>
      </c>
      <c r="BJ279" s="450">
        <v>0.0</v>
      </c>
      <c r="BK279" s="450">
        <v>0.0</v>
      </c>
      <c r="BL279" s="450">
        <v>0.0</v>
      </c>
      <c r="BM279" s="450">
        <v>0.0</v>
      </c>
      <c r="BN279" s="450">
        <v>0.0</v>
      </c>
      <c r="BO279" s="450">
        <v>0.0</v>
      </c>
      <c r="BP279" s="450">
        <v>0.0</v>
      </c>
      <c r="BQ279" s="450">
        <v>0.0</v>
      </c>
      <c r="BR279" s="450">
        <v>0.0</v>
      </c>
      <c r="BS279" s="615" t="str">
        <f t="array" ref="BS279">XLOOKUP(D279,'PL TOTAL XP'!A:A,'PL TOTAL XP'!C:C,"0")</f>
        <v>0</v>
      </c>
      <c r="BT279" s="616"/>
    </row>
    <row r="280" ht="15.75" customHeight="1">
      <c r="A280" s="183" t="s">
        <v>3820</v>
      </c>
      <c r="B280" s="78" t="s">
        <v>4702</v>
      </c>
      <c r="C280" s="564" t="s">
        <v>4703</v>
      </c>
      <c r="D280" s="566">
        <v>2256294.0</v>
      </c>
      <c r="E280" s="512" t="s">
        <v>18</v>
      </c>
      <c r="F280" s="512" t="s">
        <v>19</v>
      </c>
      <c r="G280" s="512" t="s">
        <v>256</v>
      </c>
      <c r="H280" s="512" t="str">
        <f>IFERROR(VLOOKUP(G280,'Cadastro de assessores'!A:B,2,FALSE),"Não Cadastrado")</f>
        <v>18009</v>
      </c>
      <c r="I280" s="512"/>
      <c r="J280" s="51" t="s">
        <v>3823</v>
      </c>
      <c r="K280" s="512" t="s">
        <v>107</v>
      </c>
      <c r="L280" s="610">
        <v>44421.0</v>
      </c>
      <c r="M280" s="610">
        <v>44421.0</v>
      </c>
      <c r="N280" s="522"/>
      <c r="O280" s="522" t="s">
        <v>3824</v>
      </c>
      <c r="P280" s="612">
        <v>0.02</v>
      </c>
      <c r="Q280" s="482"/>
      <c r="R280" s="613"/>
      <c r="S280" s="522" t="str">
        <f t="shared" si="29"/>
        <v/>
      </c>
      <c r="T280" s="522" t="s">
        <v>108</v>
      </c>
      <c r="U280" s="566" t="s">
        <v>4198</v>
      </c>
      <c r="V280" s="566" t="s">
        <v>706</v>
      </c>
      <c r="W280" s="468"/>
      <c r="X280" s="468"/>
      <c r="Y280" s="468"/>
      <c r="Z280" s="468"/>
      <c r="AA280" s="468"/>
      <c r="AB280" s="468"/>
      <c r="AC280" s="468"/>
      <c r="AD280" s="468"/>
      <c r="AE280" s="468"/>
      <c r="AF280" s="468"/>
      <c r="AG280" s="468"/>
      <c r="AH280" s="614"/>
      <c r="AI280" s="450"/>
      <c r="AJ280" s="450"/>
      <c r="AK280" s="450"/>
      <c r="AL280" s="450"/>
      <c r="AM280" s="450"/>
      <c r="AN280" s="450"/>
      <c r="AO280" s="450"/>
      <c r="AP280" s="450"/>
      <c r="AQ280" s="450"/>
      <c r="AR280" s="468"/>
      <c r="AS280" s="468"/>
      <c r="AT280" s="449"/>
      <c r="AU280" s="449">
        <v>77428.43</v>
      </c>
      <c r="AV280" s="450">
        <v>72498.29</v>
      </c>
      <c r="AW280" s="450">
        <v>67234.91</v>
      </c>
      <c r="AX280" s="450">
        <v>64898.38</v>
      </c>
      <c r="AY280" s="450">
        <v>63714.92</v>
      </c>
      <c r="AZ280" s="450">
        <v>61033.9</v>
      </c>
      <c r="BA280" s="450">
        <v>54285.81</v>
      </c>
      <c r="BB280" s="450">
        <v>57252.43</v>
      </c>
      <c r="BC280" s="450">
        <v>0.0</v>
      </c>
      <c r="BD280" s="450">
        <v>54787.42</v>
      </c>
      <c r="BE280" s="450">
        <v>60412.98</v>
      </c>
      <c r="BF280" s="450">
        <v>62444.54</v>
      </c>
      <c r="BG280" s="450">
        <v>63768.12982</v>
      </c>
      <c r="BH280" s="450">
        <v>63657.8</v>
      </c>
      <c r="BI280" s="450">
        <v>71452.7</v>
      </c>
      <c r="BJ280" s="450">
        <v>104618.64</v>
      </c>
      <c r="BK280" s="450">
        <v>160325.32</v>
      </c>
      <c r="BL280" s="450">
        <v>173114.36</v>
      </c>
      <c r="BM280" s="450">
        <v>172528.31</v>
      </c>
      <c r="BN280" s="450">
        <v>0.0</v>
      </c>
      <c r="BO280" s="450">
        <v>0.0</v>
      </c>
      <c r="BP280" s="450">
        <v>0.0</v>
      </c>
      <c r="BQ280" s="450">
        <v>0.0</v>
      </c>
      <c r="BR280" s="450">
        <v>0.0</v>
      </c>
      <c r="BS280" s="615" t="str">
        <f t="array" ref="BS280">XLOOKUP(D280,'PL TOTAL XP'!A:A,'PL TOTAL XP'!C:C,"0")</f>
        <v>0</v>
      </c>
      <c r="BT280" s="616"/>
    </row>
    <row r="281" ht="15.75" customHeight="1">
      <c r="A281" s="183" t="s">
        <v>3820</v>
      </c>
      <c r="B281" s="78" t="s">
        <v>1460</v>
      </c>
      <c r="C281" s="645" t="s">
        <v>1458</v>
      </c>
      <c r="D281" s="623">
        <v>3643555.0</v>
      </c>
      <c r="E281" s="512" t="s">
        <v>18</v>
      </c>
      <c r="F281" s="512" t="s">
        <v>19</v>
      </c>
      <c r="G281" s="512" t="s">
        <v>122</v>
      </c>
      <c r="H281" s="512" t="str">
        <f>IFERROR(VLOOKUP(G281,'Cadastro de assessores'!A:B,2,FALSE),"Não Cadastrado")</f>
        <v>18890</v>
      </c>
      <c r="I281" s="512"/>
      <c r="J281" s="51" t="s">
        <v>3823</v>
      </c>
      <c r="K281" s="512" t="s">
        <v>107</v>
      </c>
      <c r="L281" s="611">
        <v>44503.0</v>
      </c>
      <c r="M281" s="611">
        <v>44517.0</v>
      </c>
      <c r="N281" s="566"/>
      <c r="O281" s="566" t="s">
        <v>3828</v>
      </c>
      <c r="P281" s="612">
        <v>0.015</v>
      </c>
      <c r="Q281" s="224"/>
      <c r="R281" s="613"/>
      <c r="S281" s="522" t="str">
        <f t="shared" si="29"/>
        <v>Não Qualificado</v>
      </c>
      <c r="T281" s="522" t="s">
        <v>108</v>
      </c>
      <c r="U281" s="522" t="s">
        <v>2842</v>
      </c>
      <c r="V281" s="522" t="s">
        <v>19</v>
      </c>
      <c r="W281" s="468"/>
      <c r="X281" s="468"/>
      <c r="Y281" s="468"/>
      <c r="Z281" s="468"/>
      <c r="AA281" s="468"/>
      <c r="AB281" s="468"/>
      <c r="AC281" s="468"/>
      <c r="AD281" s="468"/>
      <c r="AE281" s="468"/>
      <c r="AF281" s="468"/>
      <c r="AG281" s="468"/>
      <c r="AH281" s="614"/>
      <c r="AI281" s="450"/>
      <c r="AJ281" s="450"/>
      <c r="AK281" s="450"/>
      <c r="AL281" s="450"/>
      <c r="AM281" s="450"/>
      <c r="AN281" s="450"/>
      <c r="AO281" s="450"/>
      <c r="AP281" s="450"/>
      <c r="AQ281" s="450"/>
      <c r="AR281" s="468"/>
      <c r="AS281" s="449"/>
      <c r="AT281" s="449"/>
      <c r="AU281" s="450"/>
      <c r="AV281" s="450"/>
      <c r="AW281" s="468"/>
      <c r="AX281" s="449"/>
      <c r="AY281" s="449">
        <v>221606.28</v>
      </c>
      <c r="AZ281" s="450">
        <v>229216.85</v>
      </c>
      <c r="BA281" s="450">
        <v>230806.8</v>
      </c>
      <c r="BB281" s="450">
        <v>244847.69</v>
      </c>
      <c r="BC281" s="450">
        <v>188213.62</v>
      </c>
      <c r="BD281" s="450">
        <v>316643.68</v>
      </c>
      <c r="BE281" s="450">
        <v>349539.73</v>
      </c>
      <c r="BF281" s="450">
        <v>389803.15</v>
      </c>
      <c r="BG281" s="450">
        <v>418922.3652</v>
      </c>
      <c r="BH281" s="450">
        <v>457852.48</v>
      </c>
      <c r="BI281" s="450">
        <v>518875.37</v>
      </c>
      <c r="BJ281" s="450">
        <v>555908.78</v>
      </c>
      <c r="BK281" s="450">
        <v>602426.36</v>
      </c>
      <c r="BL281" s="450">
        <v>602574.53</v>
      </c>
      <c r="BM281" s="450">
        <v>107196.22</v>
      </c>
      <c r="BN281" s="450">
        <v>56.77</v>
      </c>
      <c r="BO281" s="450">
        <v>57.28</v>
      </c>
      <c r="BP281" s="450">
        <v>57.8</v>
      </c>
      <c r="BQ281" s="450">
        <v>2070.8</v>
      </c>
      <c r="BR281" s="450">
        <v>2092.29</v>
      </c>
      <c r="BS281" s="615">
        <f t="array" ref="BS281">XLOOKUP(D281,'PL TOTAL XP'!A:A,'PL TOTAL XP'!C:C,"0")</f>
        <v>0</v>
      </c>
      <c r="BT281" s="616"/>
    </row>
    <row r="282" ht="15.75" customHeight="1">
      <c r="A282" s="183" t="s">
        <v>3820</v>
      </c>
      <c r="B282" s="78" t="s">
        <v>4704</v>
      </c>
      <c r="C282" s="617" t="s">
        <v>4705</v>
      </c>
      <c r="D282" s="522">
        <v>2851864.0</v>
      </c>
      <c r="E282" s="522" t="s">
        <v>105</v>
      </c>
      <c r="F282" s="522" t="s">
        <v>29</v>
      </c>
      <c r="G282" s="522" t="s">
        <v>4087</v>
      </c>
      <c r="H282" s="522" t="str">
        <f>IFERROR(VLOOKUP(G282,'Cadastro de assessores'!A:B,2,FALSE),"Não Cadastrado")</f>
        <v>17243</v>
      </c>
      <c r="I282" s="522"/>
      <c r="J282" s="51" t="s">
        <v>186</v>
      </c>
      <c r="K282" s="522" t="s">
        <v>2563</v>
      </c>
      <c r="L282" s="618">
        <v>44389.0</v>
      </c>
      <c r="M282" s="618">
        <v>44389.0</v>
      </c>
      <c r="N282" s="619">
        <v>44613.0</v>
      </c>
      <c r="O282" s="522" t="s">
        <v>3824</v>
      </c>
      <c r="P282" s="612">
        <v>0.02</v>
      </c>
      <c r="Q282" s="224" t="s">
        <v>4706</v>
      </c>
      <c r="R282" s="613"/>
      <c r="S282" s="522" t="str">
        <f t="shared" si="29"/>
        <v/>
      </c>
      <c r="T282" s="522" t="s">
        <v>108</v>
      </c>
      <c r="U282" s="522" t="s">
        <v>2580</v>
      </c>
      <c r="V282" s="522" t="s">
        <v>29</v>
      </c>
      <c r="W282" s="468"/>
      <c r="X282" s="468"/>
      <c r="Y282" s="468"/>
      <c r="Z282" s="468"/>
      <c r="AA282" s="468"/>
      <c r="AB282" s="468"/>
      <c r="AC282" s="468"/>
      <c r="AD282" s="468"/>
      <c r="AE282" s="468"/>
      <c r="AF282" s="468"/>
      <c r="AG282" s="468"/>
      <c r="AH282" s="468"/>
      <c r="AI282" s="614"/>
      <c r="AJ282" s="450"/>
      <c r="AK282" s="450"/>
      <c r="AL282" s="450"/>
      <c r="AM282" s="450"/>
      <c r="AN282" s="450"/>
      <c r="AO282" s="450"/>
      <c r="AP282" s="450"/>
      <c r="AQ282" s="450"/>
      <c r="AR282" s="450"/>
      <c r="AS282" s="468"/>
      <c r="AT282" s="449">
        <v>654382.54</v>
      </c>
      <c r="AU282" s="449">
        <v>646229.53</v>
      </c>
      <c r="AV282" s="450">
        <v>520420.63</v>
      </c>
      <c r="AW282" s="450">
        <v>605287.2</v>
      </c>
      <c r="AX282" s="450">
        <v>599043.92</v>
      </c>
      <c r="AY282" s="450">
        <v>597069.0</v>
      </c>
      <c r="AZ282" s="450">
        <v>620224.47</v>
      </c>
      <c r="BA282" s="450">
        <v>614050.87</v>
      </c>
      <c r="BB282" s="450">
        <v>293845.24</v>
      </c>
      <c r="BC282" s="450">
        <v>0.0</v>
      </c>
      <c r="BD282" s="450" t="s">
        <v>2566</v>
      </c>
      <c r="BE282" s="450" t="s">
        <v>2566</v>
      </c>
      <c r="BF282" s="450">
        <v>0.0</v>
      </c>
      <c r="BG282" s="450">
        <v>0.0</v>
      </c>
      <c r="BH282" s="450">
        <v>0.0</v>
      </c>
      <c r="BI282" s="450">
        <v>0.0</v>
      </c>
      <c r="BJ282" s="450">
        <v>0.0</v>
      </c>
      <c r="BK282" s="450">
        <v>0.0</v>
      </c>
      <c r="BL282" s="450">
        <v>0.0</v>
      </c>
      <c r="BM282" s="450">
        <v>0.0</v>
      </c>
      <c r="BN282" s="450">
        <v>0.0</v>
      </c>
      <c r="BO282" s="450">
        <v>0.0</v>
      </c>
      <c r="BP282" s="450">
        <v>0.0</v>
      </c>
      <c r="BQ282" s="450">
        <v>0.0</v>
      </c>
      <c r="BR282" s="450">
        <v>0.0</v>
      </c>
      <c r="BS282" s="615" t="str">
        <f t="array" ref="BS282">XLOOKUP(D282,'PL TOTAL XP'!A:A,'PL TOTAL XP'!C:C,"0")</f>
        <v>0</v>
      </c>
      <c r="BT282" s="616"/>
    </row>
    <row r="283" ht="15.75" customHeight="1">
      <c r="A283" s="183" t="s">
        <v>3820</v>
      </c>
      <c r="B283" s="78" t="s">
        <v>4707</v>
      </c>
      <c r="C283" s="617" t="s">
        <v>4708</v>
      </c>
      <c r="D283" s="522">
        <v>4697985.0</v>
      </c>
      <c r="E283" s="522" t="s">
        <v>105</v>
      </c>
      <c r="F283" s="522" t="s">
        <v>29</v>
      </c>
      <c r="G283" s="522" t="s">
        <v>4486</v>
      </c>
      <c r="H283" s="522" t="str">
        <f>IFERROR(VLOOKUP(G283,'Cadastro de assessores'!A:B,2,FALSE),"Não Cadastrado")</f>
        <v>14244</v>
      </c>
      <c r="I283" s="522"/>
      <c r="J283" s="51" t="s">
        <v>186</v>
      </c>
      <c r="K283" s="522" t="s">
        <v>2563</v>
      </c>
      <c r="L283" s="618">
        <v>44187.0</v>
      </c>
      <c r="M283" s="618">
        <v>44187.0</v>
      </c>
      <c r="N283" s="619">
        <v>44467.0</v>
      </c>
      <c r="O283" s="522" t="s">
        <v>3824</v>
      </c>
      <c r="P283" s="612">
        <v>0.02</v>
      </c>
      <c r="Q283" s="620" t="s">
        <v>4709</v>
      </c>
      <c r="R283" s="613"/>
      <c r="S283" s="522" t="str">
        <f t="shared" si="29"/>
        <v/>
      </c>
      <c r="T283" s="522" t="s">
        <v>108</v>
      </c>
      <c r="U283" s="522" t="s">
        <v>2565</v>
      </c>
      <c r="V283" s="522" t="s">
        <v>29</v>
      </c>
      <c r="W283" s="614"/>
      <c r="X283" s="614"/>
      <c r="Y283" s="614"/>
      <c r="Z283" s="614"/>
      <c r="AA283" s="614"/>
      <c r="AB283" s="614"/>
      <c r="AC283" s="614"/>
      <c r="AD283" s="614"/>
      <c r="AE283" s="614"/>
      <c r="AF283" s="614"/>
      <c r="AG283" s="614"/>
      <c r="AH283" s="614" t="s">
        <v>4710</v>
      </c>
      <c r="AI283" s="614" t="s">
        <v>3830</v>
      </c>
      <c r="AJ283" s="614"/>
      <c r="AK283" s="450"/>
      <c r="AL283" s="450">
        <v>197101.97</v>
      </c>
      <c r="AM283" s="450">
        <v>189095.63</v>
      </c>
      <c r="AN283" s="450">
        <v>188602.0</v>
      </c>
      <c r="AO283" s="450">
        <v>197598.81</v>
      </c>
      <c r="AP283" s="450">
        <v>199277.51</v>
      </c>
      <c r="AQ283" s="450">
        <v>198035.29</v>
      </c>
      <c r="AR283" s="450">
        <v>204318.87</v>
      </c>
      <c r="AS283" s="450">
        <v>202292.38</v>
      </c>
      <c r="AT283" s="450">
        <v>195625.85</v>
      </c>
      <c r="AU283" s="450">
        <v>193367.24</v>
      </c>
      <c r="AV283" s="450">
        <v>14442.36</v>
      </c>
      <c r="AW283" s="450"/>
      <c r="AX283" s="450"/>
      <c r="AY283" s="450"/>
      <c r="AZ283" s="450"/>
      <c r="BA283" s="450">
        <v>0.0</v>
      </c>
      <c r="BB283" s="450">
        <v>0.0</v>
      </c>
      <c r="BC283" s="450">
        <v>0.0</v>
      </c>
      <c r="BD283" s="450" t="s">
        <v>2566</v>
      </c>
      <c r="BE283" s="450" t="s">
        <v>2566</v>
      </c>
      <c r="BF283" s="450">
        <v>0.0</v>
      </c>
      <c r="BG283" s="450">
        <v>0.0</v>
      </c>
      <c r="BH283" s="450">
        <v>0.0</v>
      </c>
      <c r="BI283" s="450">
        <v>0.0</v>
      </c>
      <c r="BJ283" s="450">
        <v>0.0</v>
      </c>
      <c r="BK283" s="450">
        <v>0.0</v>
      </c>
      <c r="BL283" s="450">
        <v>0.0</v>
      </c>
      <c r="BM283" s="450">
        <v>0.0</v>
      </c>
      <c r="BN283" s="450">
        <v>0.0</v>
      </c>
      <c r="BO283" s="450">
        <v>0.0</v>
      </c>
      <c r="BP283" s="450">
        <v>0.0</v>
      </c>
      <c r="BQ283" s="450">
        <v>0.0</v>
      </c>
      <c r="BR283" s="450">
        <v>0.0</v>
      </c>
      <c r="BS283" s="615" t="str">
        <f t="array" ref="BS283">XLOOKUP(D283,'PL TOTAL XP'!A:A,'PL TOTAL XP'!C:C,"0")</f>
        <v>0</v>
      </c>
      <c r="BT283" s="616"/>
    </row>
    <row r="284" ht="15.75" customHeight="1">
      <c r="A284" s="183" t="s">
        <v>3820</v>
      </c>
      <c r="B284" s="78" t="s">
        <v>1465</v>
      </c>
      <c r="C284" s="564" t="s">
        <v>4711</v>
      </c>
      <c r="D284" s="623">
        <v>5927535.0</v>
      </c>
      <c r="E284" s="512" t="s">
        <v>18</v>
      </c>
      <c r="F284" s="512" t="s">
        <v>19</v>
      </c>
      <c r="G284" s="512" t="s">
        <v>4003</v>
      </c>
      <c r="H284" s="522">
        <f>IFERROR(VLOOKUP(G284,'Cadastro de assessores'!A:B,2,FALSE),"Não Cadastrado")</f>
        <v>12351</v>
      </c>
      <c r="I284" s="522"/>
      <c r="J284" s="51" t="s">
        <v>186</v>
      </c>
      <c r="K284" s="512" t="s">
        <v>107</v>
      </c>
      <c r="L284" s="624">
        <v>44776.0</v>
      </c>
      <c r="M284" s="624">
        <v>44776.0</v>
      </c>
      <c r="N284" s="522"/>
      <c r="O284" s="522" t="s">
        <v>3840</v>
      </c>
      <c r="P284" s="612">
        <v>0.025</v>
      </c>
      <c r="Q284" s="224" t="s">
        <v>4712</v>
      </c>
      <c r="R284" s="613"/>
      <c r="S284" s="522"/>
      <c r="T284" s="522" t="s">
        <v>108</v>
      </c>
      <c r="U284" s="522" t="s">
        <v>2652</v>
      </c>
      <c r="V284" s="522" t="s">
        <v>19</v>
      </c>
      <c r="W284" s="468"/>
      <c r="X284" s="468"/>
      <c r="Y284" s="468"/>
      <c r="Z284" s="468"/>
      <c r="AA284" s="468"/>
      <c r="AB284" s="468"/>
      <c r="AC284" s="468"/>
      <c r="AD284" s="468"/>
      <c r="AE284" s="468"/>
      <c r="AF284" s="468"/>
      <c r="AG284" s="468"/>
      <c r="AH284" s="468"/>
      <c r="AI284" s="614"/>
      <c r="AJ284" s="450"/>
      <c r="AK284" s="450"/>
      <c r="AL284" s="450"/>
      <c r="AM284" s="450"/>
      <c r="AN284" s="450"/>
      <c r="AO284" s="450"/>
      <c r="AP284" s="450"/>
      <c r="AQ284" s="450"/>
      <c r="AR284" s="450"/>
      <c r="AS284" s="468"/>
      <c r="AT284" s="449"/>
      <c r="AU284" s="449"/>
      <c r="AV284" s="450"/>
      <c r="AW284" s="450"/>
      <c r="AX284" s="450"/>
      <c r="AY284" s="450"/>
      <c r="AZ284" s="450"/>
      <c r="BA284" s="450"/>
      <c r="BB284" s="450"/>
      <c r="BC284" s="450"/>
      <c r="BD284" s="450"/>
      <c r="BE284" s="450"/>
      <c r="BF284" s="450">
        <v>0.0</v>
      </c>
      <c r="BG284" s="450">
        <v>133199.2</v>
      </c>
      <c r="BH284" s="450">
        <v>114473.53</v>
      </c>
      <c r="BI284" s="450">
        <v>117036.22</v>
      </c>
      <c r="BJ284" s="450">
        <v>110758.34</v>
      </c>
      <c r="BK284" s="450">
        <v>105900.0</v>
      </c>
      <c r="BL284" s="450">
        <v>108520.22</v>
      </c>
      <c r="BM284" s="450">
        <v>80469.37</v>
      </c>
      <c r="BN284" s="450">
        <v>46536.85</v>
      </c>
      <c r="BO284" s="450">
        <v>45594.43</v>
      </c>
      <c r="BP284" s="450">
        <v>40585.58</v>
      </c>
      <c r="BQ284" s="450">
        <v>41235.94</v>
      </c>
      <c r="BR284" s="450">
        <v>38930.21</v>
      </c>
      <c r="BS284" s="615" t="str">
        <f t="array" ref="BS284">XLOOKUP(D284,'PL TOTAL XP'!A:A,'PL TOTAL XP'!C:C,"0")</f>
        <v>0</v>
      </c>
      <c r="BT284" s="616"/>
    </row>
    <row r="285" ht="15.75" customHeight="1">
      <c r="A285" s="183" t="s">
        <v>3820</v>
      </c>
      <c r="B285" s="78" t="s">
        <v>1482</v>
      </c>
      <c r="C285" s="564" t="s">
        <v>1479</v>
      </c>
      <c r="D285" s="623">
        <v>218909.0</v>
      </c>
      <c r="E285" s="512" t="s">
        <v>18</v>
      </c>
      <c r="F285" s="512" t="s">
        <v>29</v>
      </c>
      <c r="G285" s="512" t="s">
        <v>704</v>
      </c>
      <c r="H285" s="566" t="str">
        <f>IFERROR(VLOOKUP(G285,'Cadastro de assessores'!A:B,2,FALSE),"Não Cadastrado")</f>
        <v>18467</v>
      </c>
      <c r="I285" s="566"/>
      <c r="J285" s="51" t="s">
        <v>3823</v>
      </c>
      <c r="K285" s="512" t="s">
        <v>107</v>
      </c>
      <c r="L285" s="624">
        <v>44658.0</v>
      </c>
      <c r="M285" s="624">
        <v>44659.0</v>
      </c>
      <c r="N285" s="522"/>
      <c r="O285" s="522" t="s">
        <v>3836</v>
      </c>
      <c r="P285" s="612">
        <v>0.012</v>
      </c>
      <c r="Q285" s="224"/>
      <c r="R285" s="613"/>
      <c r="S285" s="522" t="str">
        <f t="shared" ref="S285:S286" si="30">IF(BC285&lt;=0,"",IF(BC285&lt;=1000000,"Não Qualificado",IF(AND(BC285&gt;1000000,BC285&lt;=10000000),"Qualificado","Profissional")))</f>
        <v>Não Qualificado</v>
      </c>
      <c r="T285" s="522" t="s">
        <v>108</v>
      </c>
      <c r="U285" s="522" t="s">
        <v>2591</v>
      </c>
      <c r="V285" s="522" t="s">
        <v>29</v>
      </c>
      <c r="W285" s="468"/>
      <c r="X285" s="468"/>
      <c r="Y285" s="468"/>
      <c r="Z285" s="468"/>
      <c r="AA285" s="468"/>
      <c r="AB285" s="468"/>
      <c r="AC285" s="468"/>
      <c r="AD285" s="468"/>
      <c r="AE285" s="468"/>
      <c r="AF285" s="468"/>
      <c r="AG285" s="468"/>
      <c r="AH285" s="468"/>
      <c r="AI285" s="614"/>
      <c r="AJ285" s="450"/>
      <c r="AK285" s="450"/>
      <c r="AL285" s="450"/>
      <c r="AM285" s="450"/>
      <c r="AN285" s="450"/>
      <c r="AO285" s="450"/>
      <c r="AP285" s="450"/>
      <c r="AQ285" s="450"/>
      <c r="AR285" s="450"/>
      <c r="AS285" s="468"/>
      <c r="AT285" s="449"/>
      <c r="AU285" s="449"/>
      <c r="AV285" s="450"/>
      <c r="AW285" s="450"/>
      <c r="AX285" s="450"/>
      <c r="AY285" s="450"/>
      <c r="AZ285" s="450"/>
      <c r="BA285" s="450"/>
      <c r="BB285" s="450">
        <v>0.0</v>
      </c>
      <c r="BC285" s="450">
        <v>217869.46</v>
      </c>
      <c r="BD285" s="450">
        <v>192143.87</v>
      </c>
      <c r="BE285" s="450">
        <v>193510.01</v>
      </c>
      <c r="BF285" s="450">
        <v>294731.12</v>
      </c>
      <c r="BG285" s="450">
        <v>298330.8273</v>
      </c>
      <c r="BH285" s="450">
        <v>300545.15</v>
      </c>
      <c r="BI285" s="450">
        <v>302992.96</v>
      </c>
      <c r="BJ285" s="450">
        <v>303660.16</v>
      </c>
      <c r="BK285" s="450">
        <v>306660.45</v>
      </c>
      <c r="BL285" s="450">
        <v>125913.26</v>
      </c>
      <c r="BM285" s="450">
        <v>127308.38</v>
      </c>
      <c r="BN285" s="450">
        <v>129683.5</v>
      </c>
      <c r="BO285" s="450">
        <v>130999.58</v>
      </c>
      <c r="BP285" s="450">
        <v>132760.58</v>
      </c>
      <c r="BQ285" s="450">
        <v>133795.76</v>
      </c>
      <c r="BR285" s="450">
        <v>134527.94</v>
      </c>
      <c r="BS285" s="615">
        <f t="array" ref="BS285">XLOOKUP(D285,'PL TOTAL XP'!A:A,'PL TOTAL XP'!C:C,"0")</f>
        <v>0</v>
      </c>
      <c r="BT285" s="616"/>
    </row>
    <row r="286" ht="15.75" customHeight="1">
      <c r="A286" s="183" t="s">
        <v>3820</v>
      </c>
      <c r="B286" s="78" t="s">
        <v>3168</v>
      </c>
      <c r="C286" s="617" t="s">
        <v>3165</v>
      </c>
      <c r="D286" s="522">
        <v>2865175.0</v>
      </c>
      <c r="E286" s="522" t="s">
        <v>2550</v>
      </c>
      <c r="F286" s="522" t="s">
        <v>29</v>
      </c>
      <c r="G286" s="522" t="s">
        <v>2550</v>
      </c>
      <c r="H286" s="522" t="str">
        <f>IFERROR(VLOOKUP(G286,'Cadastro de assessores'!A:B,2,FALSE),"Não Cadastrado")</f>
        <v>18986</v>
      </c>
      <c r="I286" s="522"/>
      <c r="J286" s="51" t="s">
        <v>186</v>
      </c>
      <c r="K286" s="522" t="s">
        <v>2563</v>
      </c>
      <c r="L286" s="619">
        <v>43700.0</v>
      </c>
      <c r="M286" s="619">
        <v>43700.0</v>
      </c>
      <c r="N286" s="679">
        <v>44105.0</v>
      </c>
      <c r="O286" s="522" t="s">
        <v>3828</v>
      </c>
      <c r="P286" s="612">
        <v>0.01</v>
      </c>
      <c r="Q286" s="620" t="s">
        <v>4713</v>
      </c>
      <c r="R286" s="613"/>
      <c r="S286" s="522" t="str">
        <f t="shared" si="30"/>
        <v/>
      </c>
      <c r="T286" s="522" t="s">
        <v>108</v>
      </c>
      <c r="U286" s="522" t="s">
        <v>2565</v>
      </c>
      <c r="V286" s="522" t="s">
        <v>29</v>
      </c>
      <c r="W286" s="614" t="s">
        <v>4714</v>
      </c>
      <c r="X286" s="614"/>
      <c r="Y286" s="614" t="s">
        <v>4715</v>
      </c>
      <c r="Z286" s="614" t="s">
        <v>4716</v>
      </c>
      <c r="AA286" s="614" t="s">
        <v>4717</v>
      </c>
      <c r="AB286" s="614" t="s">
        <v>4718</v>
      </c>
      <c r="AC286" s="614" t="s">
        <v>4719</v>
      </c>
      <c r="AD286" s="614" t="s">
        <v>4720</v>
      </c>
      <c r="AE286" s="614" t="s">
        <v>4721</v>
      </c>
      <c r="AF286" s="614" t="s">
        <v>4722</v>
      </c>
      <c r="AG286" s="614" t="s">
        <v>4723</v>
      </c>
      <c r="AH286" s="614" t="s">
        <v>3830</v>
      </c>
      <c r="AI286" s="614" t="s">
        <v>3830</v>
      </c>
      <c r="AJ286" s="614" t="s">
        <v>3830</v>
      </c>
      <c r="AK286" s="450">
        <v>332098.88</v>
      </c>
      <c r="AL286" s="450">
        <v>324200.71</v>
      </c>
      <c r="AM286" s="450" t="s">
        <v>2600</v>
      </c>
      <c r="AN286" s="450"/>
      <c r="AO286" s="450"/>
      <c r="AP286" s="450"/>
      <c r="AQ286" s="450"/>
      <c r="AR286" s="450"/>
      <c r="AS286" s="450"/>
      <c r="AT286" s="450"/>
      <c r="AU286" s="450"/>
      <c r="AV286" s="450"/>
      <c r="AW286" s="450"/>
      <c r="AX286" s="450"/>
      <c r="AY286" s="450"/>
      <c r="AZ286" s="450"/>
      <c r="BA286" s="450">
        <v>0.0</v>
      </c>
      <c r="BB286" s="450">
        <v>0.0</v>
      </c>
      <c r="BC286" s="450">
        <v>0.0</v>
      </c>
      <c r="BD286" s="450" t="s">
        <v>2566</v>
      </c>
      <c r="BE286" s="450" t="s">
        <v>2566</v>
      </c>
      <c r="BF286" s="450">
        <v>0.0</v>
      </c>
      <c r="BG286" s="450">
        <v>0.0</v>
      </c>
      <c r="BH286" s="450">
        <v>0.0</v>
      </c>
      <c r="BI286" s="450">
        <v>0.0</v>
      </c>
      <c r="BJ286" s="450">
        <v>0.0</v>
      </c>
      <c r="BK286" s="450">
        <v>0.0</v>
      </c>
      <c r="BL286" s="450">
        <v>0.0</v>
      </c>
      <c r="BM286" s="450">
        <v>0.0</v>
      </c>
      <c r="BN286" s="450">
        <v>0.0</v>
      </c>
      <c r="BO286" s="450">
        <v>0.0</v>
      </c>
      <c r="BP286" s="450">
        <v>0.0</v>
      </c>
      <c r="BQ286" s="450">
        <v>0.0</v>
      </c>
      <c r="BR286" s="450">
        <v>0.0</v>
      </c>
      <c r="BS286" s="615" t="str">
        <f t="array" ref="BS286">XLOOKUP(D286,'PL TOTAL XP'!A:A,'PL TOTAL XP'!C:C,"0")</f>
        <v>0</v>
      </c>
      <c r="BT286" s="616"/>
    </row>
    <row r="287" ht="15.75" customHeight="1">
      <c r="A287" s="183" t="s">
        <v>3820</v>
      </c>
      <c r="B287" s="78" t="s">
        <v>1486</v>
      </c>
      <c r="C287" s="617" t="s">
        <v>1483</v>
      </c>
      <c r="D287" s="522">
        <v>4954616.0</v>
      </c>
      <c r="E287" s="522" t="s">
        <v>18</v>
      </c>
      <c r="F287" s="522" t="s">
        <v>19</v>
      </c>
      <c r="G287" s="522" t="s">
        <v>122</v>
      </c>
      <c r="H287" s="522"/>
      <c r="I287" s="522"/>
      <c r="J287" s="51" t="s">
        <v>3823</v>
      </c>
      <c r="K287" s="522"/>
      <c r="L287" s="619"/>
      <c r="M287" s="619"/>
      <c r="N287" s="618"/>
      <c r="O287" s="522" t="s">
        <v>3834</v>
      </c>
      <c r="P287" s="612">
        <v>0.01</v>
      </c>
      <c r="Q287" s="620"/>
      <c r="R287" s="613"/>
      <c r="S287" s="522"/>
      <c r="T287" s="522"/>
      <c r="U287" s="522"/>
      <c r="V287" s="522" t="s">
        <v>19</v>
      </c>
      <c r="W287" s="614"/>
      <c r="X287" s="614"/>
      <c r="Y287" s="614"/>
      <c r="Z287" s="614"/>
      <c r="AA287" s="614"/>
      <c r="AB287" s="614"/>
      <c r="AC287" s="614"/>
      <c r="AD287" s="614"/>
      <c r="AE287" s="614"/>
      <c r="AF287" s="614"/>
      <c r="AG287" s="614"/>
      <c r="AH287" s="614"/>
      <c r="AI287" s="614"/>
      <c r="AJ287" s="614"/>
      <c r="AK287" s="450"/>
      <c r="AL287" s="450"/>
      <c r="AM287" s="450"/>
      <c r="AN287" s="450"/>
      <c r="AO287" s="450"/>
      <c r="AP287" s="450"/>
      <c r="AQ287" s="450"/>
      <c r="AR287" s="450"/>
      <c r="AS287" s="450"/>
      <c r="AT287" s="450"/>
      <c r="AU287" s="450"/>
      <c r="AV287" s="450"/>
      <c r="AW287" s="450"/>
      <c r="AX287" s="450"/>
      <c r="AY287" s="450"/>
      <c r="AZ287" s="450"/>
      <c r="BA287" s="450"/>
      <c r="BB287" s="450"/>
      <c r="BC287" s="450"/>
      <c r="BD287" s="450"/>
      <c r="BE287" s="450"/>
      <c r="BF287" s="450"/>
      <c r="BG287" s="450"/>
      <c r="BH287" s="450"/>
      <c r="BI287" s="450">
        <v>0.0</v>
      </c>
      <c r="BJ287" s="450">
        <v>0.0</v>
      </c>
      <c r="BK287" s="450">
        <v>0.0</v>
      </c>
      <c r="BL287" s="450">
        <v>0.0</v>
      </c>
      <c r="BM287" s="450">
        <v>0.0</v>
      </c>
      <c r="BN287" s="450">
        <v>0.0</v>
      </c>
      <c r="BO287" s="450">
        <v>0.0</v>
      </c>
      <c r="BP287" s="450">
        <v>0.0</v>
      </c>
      <c r="BQ287" s="450">
        <v>0.0</v>
      </c>
      <c r="BR287" s="450">
        <v>0.0</v>
      </c>
      <c r="BS287" s="615">
        <f t="array" ref="BS287">XLOOKUP(D287,'PL TOTAL XP'!A:A,'PL TOTAL XP'!C:C,"0")</f>
        <v>0</v>
      </c>
      <c r="BT287" s="616"/>
    </row>
    <row r="288" ht="15.75" customHeight="1">
      <c r="A288" s="183" t="s">
        <v>3820</v>
      </c>
      <c r="B288" s="577" t="s">
        <v>4724</v>
      </c>
      <c r="C288" s="617" t="s">
        <v>4725</v>
      </c>
      <c r="D288" s="522">
        <v>9398037.0</v>
      </c>
      <c r="E288" s="522" t="s">
        <v>18</v>
      </c>
      <c r="F288" s="522" t="s">
        <v>29</v>
      </c>
      <c r="G288" s="522" t="s">
        <v>836</v>
      </c>
      <c r="H288" s="522"/>
      <c r="I288" s="522"/>
      <c r="J288" s="46" t="s">
        <v>107</v>
      </c>
      <c r="K288" s="522"/>
      <c r="L288" s="619"/>
      <c r="M288" s="619"/>
      <c r="N288" s="618"/>
      <c r="O288" s="522" t="s">
        <v>3828</v>
      </c>
      <c r="P288" s="612">
        <v>0.015</v>
      </c>
      <c r="Q288" s="620" t="s">
        <v>4726</v>
      </c>
      <c r="R288" s="613"/>
      <c r="S288" s="522"/>
      <c r="T288" s="522"/>
      <c r="U288" s="522"/>
      <c r="V288" s="522" t="s">
        <v>29</v>
      </c>
      <c r="W288" s="614"/>
      <c r="X288" s="614"/>
      <c r="Y288" s="614"/>
      <c r="Z288" s="614"/>
      <c r="AA288" s="614"/>
      <c r="AB288" s="614"/>
      <c r="AC288" s="614"/>
      <c r="AD288" s="614"/>
      <c r="AE288" s="614"/>
      <c r="AF288" s="614"/>
      <c r="AG288" s="614"/>
      <c r="AH288" s="614"/>
      <c r="AI288" s="614"/>
      <c r="AJ288" s="614"/>
      <c r="AK288" s="450"/>
      <c r="AL288" s="450"/>
      <c r="AM288" s="450"/>
      <c r="AN288" s="450"/>
      <c r="AO288" s="450"/>
      <c r="AP288" s="450"/>
      <c r="AQ288" s="450"/>
      <c r="AR288" s="450"/>
      <c r="AS288" s="450"/>
      <c r="AT288" s="450"/>
      <c r="AU288" s="450"/>
      <c r="AV288" s="450"/>
      <c r="AW288" s="450"/>
      <c r="AX288" s="450"/>
      <c r="AY288" s="450"/>
      <c r="AZ288" s="450"/>
      <c r="BA288" s="450"/>
      <c r="BB288" s="450"/>
      <c r="BC288" s="450"/>
      <c r="BD288" s="450"/>
      <c r="BE288" s="450"/>
      <c r="BF288" s="450"/>
      <c r="BG288" s="450"/>
      <c r="BH288" s="450"/>
      <c r="BI288" s="450"/>
      <c r="BJ288" s="450">
        <v>50128.04</v>
      </c>
      <c r="BK288" s="450">
        <v>50643.08</v>
      </c>
      <c r="BL288" s="450">
        <v>51296.25</v>
      </c>
      <c r="BM288" s="450">
        <v>51809.09</v>
      </c>
      <c r="BN288" s="450">
        <v>52436.09</v>
      </c>
      <c r="BO288" s="450">
        <v>52890.05</v>
      </c>
      <c r="BP288" s="450">
        <v>53362.71</v>
      </c>
      <c r="BQ288" s="450">
        <v>53778.16</v>
      </c>
      <c r="BR288" s="450">
        <v>54360.79</v>
      </c>
      <c r="BS288" s="615">
        <f t="array" ref="BS288">XLOOKUP(D288,'PL TOTAL XP'!A:A,'PL TOTAL XP'!C:C,"0")</f>
        <v>58975.24</v>
      </c>
      <c r="BT288" s="616"/>
    </row>
    <row r="289" ht="15.75" customHeight="1">
      <c r="A289" s="183" t="s">
        <v>3820</v>
      </c>
      <c r="B289" s="78" t="s">
        <v>4727</v>
      </c>
      <c r="C289" s="617" t="s">
        <v>4728</v>
      </c>
      <c r="D289" s="522">
        <v>4645513.0</v>
      </c>
      <c r="E289" s="522" t="s">
        <v>105</v>
      </c>
      <c r="F289" s="522" t="s">
        <v>29</v>
      </c>
      <c r="G289" s="522" t="s">
        <v>4075</v>
      </c>
      <c r="H289" s="522" t="str">
        <f>IFERROR(VLOOKUP(G289,'Cadastro de assessores'!A:B,2,FALSE),"Não Cadastrado")</f>
        <v>19634</v>
      </c>
      <c r="I289" s="522"/>
      <c r="J289" s="51" t="s">
        <v>186</v>
      </c>
      <c r="K289" s="522" t="s">
        <v>2563</v>
      </c>
      <c r="L289" s="619">
        <v>44172.0</v>
      </c>
      <c r="M289" s="619">
        <v>44172.0</v>
      </c>
      <c r="N289" s="618">
        <v>44495.0</v>
      </c>
      <c r="O289" s="522" t="s">
        <v>3824</v>
      </c>
      <c r="P289" s="612">
        <v>0.02</v>
      </c>
      <c r="Q289" s="620" t="s">
        <v>4729</v>
      </c>
      <c r="R289" s="613"/>
      <c r="S289" s="522" t="str">
        <f>IF(BC289&lt;=0,"",IF(BC289&lt;=1000000,"Não Qualificado",IF(AND(BC289&gt;1000000,BC289&lt;=10000000),"Qualificado","Profissional")))</f>
        <v>Não Qualificado</v>
      </c>
      <c r="T289" s="522" t="s">
        <v>108</v>
      </c>
      <c r="U289" s="522" t="s">
        <v>4730</v>
      </c>
      <c r="V289" s="522" t="s">
        <v>19</v>
      </c>
      <c r="W289" s="614" t="s">
        <v>3830</v>
      </c>
      <c r="X289" s="614" t="s">
        <v>3830</v>
      </c>
      <c r="Y289" s="614" t="s">
        <v>3830</v>
      </c>
      <c r="Z289" s="614" t="s">
        <v>3830</v>
      </c>
      <c r="AA289" s="614" t="s">
        <v>3830</v>
      </c>
      <c r="AB289" s="614" t="s">
        <v>3830</v>
      </c>
      <c r="AC289" s="614" t="s">
        <v>3830</v>
      </c>
      <c r="AD289" s="614" t="s">
        <v>3830</v>
      </c>
      <c r="AE289" s="614" t="s">
        <v>3830</v>
      </c>
      <c r="AF289" s="614" t="s">
        <v>3830</v>
      </c>
      <c r="AG289" s="614" t="s">
        <v>3830</v>
      </c>
      <c r="AH289" s="614" t="s">
        <v>3830</v>
      </c>
      <c r="AI289" s="614" t="s">
        <v>4731</v>
      </c>
      <c r="AJ289" s="614" t="s">
        <v>4732</v>
      </c>
      <c r="AK289" s="450">
        <v>329546.06</v>
      </c>
      <c r="AL289" s="450">
        <v>205365.62</v>
      </c>
      <c r="AM289" s="450">
        <v>305910.29</v>
      </c>
      <c r="AN289" s="450">
        <v>304267.98</v>
      </c>
      <c r="AO289" s="450">
        <v>319354.3</v>
      </c>
      <c r="AP289" s="450">
        <v>322065.12</v>
      </c>
      <c r="AQ289" s="450">
        <v>320049.4</v>
      </c>
      <c r="AR289" s="450">
        <v>331508.61</v>
      </c>
      <c r="AS289" s="450">
        <v>326746.71</v>
      </c>
      <c r="AT289" s="450">
        <v>316433.87</v>
      </c>
      <c r="AU289" s="450">
        <v>312831.21</v>
      </c>
      <c r="AV289" s="450">
        <v>302599.64</v>
      </c>
      <c r="AW289" s="450">
        <v>286912.63</v>
      </c>
      <c r="AX289" s="450"/>
      <c r="AY289" s="450"/>
      <c r="AZ289" s="450"/>
      <c r="BA289" s="450">
        <v>0.0</v>
      </c>
      <c r="BB289" s="450">
        <v>0.0</v>
      </c>
      <c r="BC289" s="450">
        <v>171033.57</v>
      </c>
      <c r="BD289" s="450" t="s">
        <v>2566</v>
      </c>
      <c r="BE289" s="450" t="s">
        <v>2566</v>
      </c>
      <c r="BF289" s="450">
        <v>0.0</v>
      </c>
      <c r="BG289" s="450">
        <v>0.0</v>
      </c>
      <c r="BH289" s="450">
        <v>0.0</v>
      </c>
      <c r="BI289" s="450">
        <v>0.0</v>
      </c>
      <c r="BJ289" s="450">
        <v>0.0</v>
      </c>
      <c r="BK289" s="450">
        <v>0.0</v>
      </c>
      <c r="BL289" s="450">
        <v>0.0</v>
      </c>
      <c r="BM289" s="450">
        <v>0.0</v>
      </c>
      <c r="BN289" s="450">
        <v>0.0</v>
      </c>
      <c r="BO289" s="450">
        <v>0.0</v>
      </c>
      <c r="BP289" s="450">
        <v>0.0</v>
      </c>
      <c r="BQ289" s="450">
        <v>0.0</v>
      </c>
      <c r="BR289" s="450">
        <v>0.0</v>
      </c>
      <c r="BS289" s="615" t="str">
        <f t="array" ref="BS289">XLOOKUP(D289,'PL TOTAL XP'!A:A,'PL TOTAL XP'!C:C,"0")</f>
        <v>0</v>
      </c>
      <c r="BT289" s="616"/>
    </row>
    <row r="290" ht="15.75" customHeight="1">
      <c r="A290" s="183" t="s">
        <v>3820</v>
      </c>
      <c r="B290" s="78" t="s">
        <v>1493</v>
      </c>
      <c r="C290" s="564" t="s">
        <v>3682</v>
      </c>
      <c r="D290" s="566">
        <v>8126020.0</v>
      </c>
      <c r="E290" s="512" t="s">
        <v>18</v>
      </c>
      <c r="F290" s="609" t="s">
        <v>29</v>
      </c>
      <c r="G290" s="566" t="s">
        <v>2213</v>
      </c>
      <c r="H290" s="566"/>
      <c r="I290" s="566"/>
      <c r="J290" s="51" t="s">
        <v>3823</v>
      </c>
      <c r="K290" s="512"/>
      <c r="L290" s="610"/>
      <c r="M290" s="610"/>
      <c r="N290" s="522"/>
      <c r="O290" s="522" t="s">
        <v>3828</v>
      </c>
      <c r="P290" s="612">
        <v>0.015</v>
      </c>
      <c r="Q290" s="224" t="s">
        <v>4733</v>
      </c>
      <c r="R290" s="613"/>
      <c r="S290" s="522"/>
      <c r="T290" s="522"/>
      <c r="U290" s="522"/>
      <c r="V290" s="522" t="s">
        <v>29</v>
      </c>
      <c r="W290" s="468"/>
      <c r="X290" s="468"/>
      <c r="Y290" s="468"/>
      <c r="Z290" s="468"/>
      <c r="AA290" s="468"/>
      <c r="AB290" s="468"/>
      <c r="AC290" s="468"/>
      <c r="AD290" s="468"/>
      <c r="AE290" s="468"/>
      <c r="AF290" s="468"/>
      <c r="AG290" s="468"/>
      <c r="AH290" s="468"/>
      <c r="AI290" s="614"/>
      <c r="AJ290" s="450"/>
      <c r="AK290" s="450"/>
      <c r="AL290" s="450"/>
      <c r="AM290" s="450"/>
      <c r="AN290" s="450"/>
      <c r="AO290" s="450"/>
      <c r="AP290" s="450"/>
      <c r="AQ290" s="450"/>
      <c r="AR290" s="450"/>
      <c r="AS290" s="468"/>
      <c r="AT290" s="449"/>
      <c r="AU290" s="449"/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>
        <v>7000.0</v>
      </c>
      <c r="BM290" s="450">
        <v>1000.0</v>
      </c>
      <c r="BN290" s="450">
        <v>0.0</v>
      </c>
      <c r="BO290" s="450">
        <v>0.0</v>
      </c>
      <c r="BP290" s="450">
        <v>0.0</v>
      </c>
      <c r="BQ290" s="450">
        <v>0.0</v>
      </c>
      <c r="BR290" s="450">
        <v>0.0</v>
      </c>
      <c r="BS290" s="615" t="str">
        <f t="array" ref="BS290">XLOOKUP(D290,'PL TOTAL XP'!A:A,'PL TOTAL XP'!C:C,"0")</f>
        <v>0</v>
      </c>
      <c r="BT290" s="616"/>
    </row>
    <row r="291" ht="15.75" customHeight="1">
      <c r="A291" s="183" t="s">
        <v>3820</v>
      </c>
      <c r="B291" s="78" t="s">
        <v>4734</v>
      </c>
      <c r="C291" s="564" t="s">
        <v>4735</v>
      </c>
      <c r="D291" s="566">
        <v>5905556.0</v>
      </c>
      <c r="E291" s="512" t="s">
        <v>18</v>
      </c>
      <c r="F291" s="609" t="s">
        <v>29</v>
      </c>
      <c r="G291" s="566" t="s">
        <v>2803</v>
      </c>
      <c r="H291" s="566" t="str">
        <f>IFERROR(VLOOKUP(G291,'Cadastro de assessores'!A:B,2,FALSE),"Não Cadastrado")</f>
        <v>18236</v>
      </c>
      <c r="I291" s="566"/>
      <c r="J291" s="51" t="s">
        <v>3823</v>
      </c>
      <c r="K291" s="512" t="s">
        <v>107</v>
      </c>
      <c r="L291" s="610">
        <v>44389.0</v>
      </c>
      <c r="M291" s="610">
        <v>44393.0</v>
      </c>
      <c r="N291" s="522"/>
      <c r="O291" s="522" t="s">
        <v>3824</v>
      </c>
      <c r="P291" s="612">
        <v>0.02</v>
      </c>
      <c r="Q291" s="224"/>
      <c r="R291" s="613"/>
      <c r="S291" s="522" t="str">
        <f t="shared" ref="S291:S293" si="31">IF(BC291&lt;=0,"",IF(BC291&lt;=1000000,"Não Qualificado",IF(AND(BC291&gt;1000000,BC291&lt;=10000000),"Qualificado","Profissional")))</f>
        <v/>
      </c>
      <c r="T291" s="522" t="s">
        <v>108</v>
      </c>
      <c r="U291" s="522" t="s">
        <v>2565</v>
      </c>
      <c r="V291" s="522" t="s">
        <v>29</v>
      </c>
      <c r="W291" s="468"/>
      <c r="X291" s="468"/>
      <c r="Y291" s="468"/>
      <c r="Z291" s="468"/>
      <c r="AA291" s="468"/>
      <c r="AB291" s="468"/>
      <c r="AC291" s="468"/>
      <c r="AD291" s="468"/>
      <c r="AE291" s="468"/>
      <c r="AF291" s="468"/>
      <c r="AG291" s="468"/>
      <c r="AH291" s="468"/>
      <c r="AI291" s="614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68"/>
      <c r="AT291" s="449">
        <v>96469.71</v>
      </c>
      <c r="AU291" s="449">
        <v>95332.49</v>
      </c>
      <c r="AV291" s="450">
        <v>92604.52</v>
      </c>
      <c r="AW291" s="450">
        <v>88372.16</v>
      </c>
      <c r="AX291" s="450">
        <v>88172.69</v>
      </c>
      <c r="AY291" s="450">
        <v>77546.64</v>
      </c>
      <c r="AZ291" s="450">
        <v>81352.37</v>
      </c>
      <c r="BA291" s="450">
        <v>87385.99</v>
      </c>
      <c r="BB291" s="450">
        <v>96671.79</v>
      </c>
      <c r="BC291" s="450">
        <v>0.0</v>
      </c>
      <c r="BD291" s="450">
        <v>94547.73</v>
      </c>
      <c r="BE291" s="450">
        <v>92679.64</v>
      </c>
      <c r="BF291" s="450">
        <v>90744.48</v>
      </c>
      <c r="BG291" s="450">
        <v>75280.12908</v>
      </c>
      <c r="BH291" s="450">
        <v>44144.69</v>
      </c>
      <c r="BI291" s="450">
        <v>198314.39</v>
      </c>
      <c r="BJ291" s="450">
        <v>159445.05</v>
      </c>
      <c r="BK291" s="450">
        <v>148951.53</v>
      </c>
      <c r="BL291" s="450">
        <v>120617.66</v>
      </c>
      <c r="BM291" s="450">
        <v>99306.6</v>
      </c>
      <c r="BN291" s="450">
        <v>91281.83</v>
      </c>
      <c r="BO291" s="450">
        <v>64272.01</v>
      </c>
      <c r="BP291" s="450">
        <v>57846.53</v>
      </c>
      <c r="BQ291" s="450">
        <v>32885.3</v>
      </c>
      <c r="BR291" s="450">
        <v>17389.31</v>
      </c>
      <c r="BS291" s="615" t="str">
        <f t="array" ref="BS291">XLOOKUP(D291,'PL TOTAL XP'!A:A,'PL TOTAL XP'!C:C,"0")</f>
        <v>0</v>
      </c>
      <c r="BT291" s="616"/>
    </row>
    <row r="292" ht="15.75" customHeight="1">
      <c r="A292" s="183" t="s">
        <v>3820</v>
      </c>
      <c r="B292" s="78" t="s">
        <v>4736</v>
      </c>
      <c r="C292" s="617" t="s">
        <v>4737</v>
      </c>
      <c r="D292" s="522">
        <v>4554462.0</v>
      </c>
      <c r="E292" s="522" t="s">
        <v>105</v>
      </c>
      <c r="F292" s="522" t="s">
        <v>29</v>
      </c>
      <c r="G292" s="522" t="s">
        <v>4738</v>
      </c>
      <c r="H292" s="522" t="str">
        <f>IFERROR(VLOOKUP(G292,'Cadastro de assessores'!A:B,2,FALSE),"Não Cadastrado")</f>
        <v>12639</v>
      </c>
      <c r="I292" s="522"/>
      <c r="J292" s="51" t="s">
        <v>186</v>
      </c>
      <c r="K292" s="522" t="s">
        <v>2563</v>
      </c>
      <c r="L292" s="618">
        <v>44130.0</v>
      </c>
      <c r="M292" s="618">
        <v>44130.0</v>
      </c>
      <c r="N292" s="619">
        <v>44538.0</v>
      </c>
      <c r="O292" s="522" t="s">
        <v>3828</v>
      </c>
      <c r="P292" s="612">
        <v>0.015</v>
      </c>
      <c r="Q292" s="620" t="s">
        <v>4739</v>
      </c>
      <c r="R292" s="613"/>
      <c r="S292" s="522" t="str">
        <f t="shared" si="31"/>
        <v>Não Qualificado</v>
      </c>
      <c r="T292" s="522" t="s">
        <v>108</v>
      </c>
      <c r="U292" s="522" t="s">
        <v>2623</v>
      </c>
      <c r="V292" s="522" t="s">
        <v>29</v>
      </c>
      <c r="W292" s="614"/>
      <c r="X292" s="614"/>
      <c r="Y292" s="614"/>
      <c r="Z292" s="614"/>
      <c r="AA292" s="614"/>
      <c r="AB292" s="614"/>
      <c r="AC292" s="614"/>
      <c r="AD292" s="614"/>
      <c r="AE292" s="614"/>
      <c r="AF292" s="614"/>
      <c r="AG292" s="614"/>
      <c r="AH292" s="614"/>
      <c r="AI292" s="614" t="s">
        <v>4740</v>
      </c>
      <c r="AJ292" s="614" t="s">
        <v>4732</v>
      </c>
      <c r="AK292" s="450"/>
      <c r="AL292" s="450"/>
      <c r="AM292" s="450"/>
      <c r="AN292" s="450"/>
      <c r="AO292" s="450">
        <v>203907.82</v>
      </c>
      <c r="AP292" s="450">
        <v>205118.43</v>
      </c>
      <c r="AQ292" s="450">
        <v>204270.83</v>
      </c>
      <c r="AR292" s="450">
        <v>208846.83</v>
      </c>
      <c r="AS292" s="450">
        <v>207230.32</v>
      </c>
      <c r="AT292" s="450">
        <v>203171.67</v>
      </c>
      <c r="AU292" s="450">
        <v>171690.54</v>
      </c>
      <c r="AV292" s="450">
        <v>168189.0</v>
      </c>
      <c r="AW292" s="450">
        <v>162503.43</v>
      </c>
      <c r="AX292" s="450">
        <v>162642.22</v>
      </c>
      <c r="AY292" s="450"/>
      <c r="AZ292" s="450"/>
      <c r="BA292" s="450"/>
      <c r="BB292" s="450"/>
      <c r="BC292" s="450">
        <v>135652.4</v>
      </c>
      <c r="BD292" s="450" t="s">
        <v>2566</v>
      </c>
      <c r="BE292" s="450" t="s">
        <v>2566</v>
      </c>
      <c r="BF292" s="450">
        <v>0.0</v>
      </c>
      <c r="BG292" s="450">
        <v>0.0</v>
      </c>
      <c r="BH292" s="450">
        <v>0.0</v>
      </c>
      <c r="BI292" s="450">
        <v>0.0</v>
      </c>
      <c r="BJ292" s="450">
        <v>0.0</v>
      </c>
      <c r="BK292" s="450">
        <v>0.0</v>
      </c>
      <c r="BL292" s="450">
        <v>0.0</v>
      </c>
      <c r="BM292" s="450">
        <v>0.0</v>
      </c>
      <c r="BN292" s="450">
        <v>0.0</v>
      </c>
      <c r="BO292" s="450">
        <v>0.0</v>
      </c>
      <c r="BP292" s="450">
        <v>0.0</v>
      </c>
      <c r="BQ292" s="450">
        <v>0.0</v>
      </c>
      <c r="BR292" s="450">
        <v>0.0</v>
      </c>
      <c r="BS292" s="615" t="str">
        <f t="array" ref="BS292">XLOOKUP(D292,'PL TOTAL XP'!A:A,'PL TOTAL XP'!C:C,"0")</f>
        <v>0</v>
      </c>
      <c r="BT292" s="616"/>
    </row>
    <row r="293" ht="15.75" customHeight="1">
      <c r="A293" s="183" t="s">
        <v>3820</v>
      </c>
      <c r="B293" s="78" t="s">
        <v>4741</v>
      </c>
      <c r="C293" s="564" t="s">
        <v>4742</v>
      </c>
      <c r="D293" s="609">
        <v>4988368.0</v>
      </c>
      <c r="E293" s="512" t="s">
        <v>18</v>
      </c>
      <c r="F293" s="512" t="s">
        <v>29</v>
      </c>
      <c r="G293" s="512" t="s">
        <v>2931</v>
      </c>
      <c r="H293" s="522" t="str">
        <f>IFERROR(VLOOKUP(G293,'Cadastro de assessores'!A:B,2,FALSE),"Não Cadastrado")</f>
        <v>13444</v>
      </c>
      <c r="I293" s="522"/>
      <c r="J293" s="46" t="s">
        <v>107</v>
      </c>
      <c r="K293" s="512" t="s">
        <v>107</v>
      </c>
      <c r="L293" s="672">
        <v>44293.0</v>
      </c>
      <c r="M293" s="672">
        <v>44293.0</v>
      </c>
      <c r="N293" s="566"/>
      <c r="O293" s="566" t="s">
        <v>3869</v>
      </c>
      <c r="P293" s="568">
        <v>0.008</v>
      </c>
      <c r="Q293" s="224"/>
      <c r="R293" s="613"/>
      <c r="S293" s="522" t="str">
        <f t="shared" si="31"/>
        <v>Não Qualificado</v>
      </c>
      <c r="T293" s="522" t="s">
        <v>108</v>
      </c>
      <c r="U293" s="522" t="s">
        <v>2656</v>
      </c>
      <c r="V293" s="522" t="s">
        <v>29</v>
      </c>
      <c r="W293" s="468"/>
      <c r="X293" s="468"/>
      <c r="Y293" s="468"/>
      <c r="Z293" s="468"/>
      <c r="AA293" s="468"/>
      <c r="AB293" s="468"/>
      <c r="AC293" s="468"/>
      <c r="AD293" s="468"/>
      <c r="AE293" s="468"/>
      <c r="AF293" s="468"/>
      <c r="AG293" s="468"/>
      <c r="AH293" s="468"/>
      <c r="AI293" s="468"/>
      <c r="AJ293" s="468"/>
      <c r="AK293" s="468"/>
      <c r="AL293" s="450"/>
      <c r="AM293" s="450"/>
      <c r="AN293" s="450"/>
      <c r="AO293" s="450"/>
      <c r="AP293" s="450">
        <v>99963.06</v>
      </c>
      <c r="AQ293" s="450">
        <v>100443.57</v>
      </c>
      <c r="AR293" s="450">
        <v>98241.13</v>
      </c>
      <c r="AS293" s="450">
        <v>97049.53</v>
      </c>
      <c r="AT293" s="450">
        <v>99209.56</v>
      </c>
      <c r="AU293" s="450">
        <v>96163.76</v>
      </c>
      <c r="AV293" s="450">
        <v>95085.21</v>
      </c>
      <c r="AW293" s="450">
        <v>94158.86</v>
      </c>
      <c r="AX293" s="450">
        <v>89477.18</v>
      </c>
      <c r="AY293" s="450">
        <v>95178.71</v>
      </c>
      <c r="AZ293" s="450">
        <v>95488.6</v>
      </c>
      <c r="BA293" s="450">
        <v>95495.22</v>
      </c>
      <c r="BB293" s="450">
        <v>96453.63</v>
      </c>
      <c r="BC293" s="450">
        <v>197226.95</v>
      </c>
      <c r="BD293" s="450">
        <v>97352.08</v>
      </c>
      <c r="BE293" s="450">
        <v>97349.84</v>
      </c>
      <c r="BF293" s="450">
        <v>98428.14</v>
      </c>
      <c r="BG293" s="450">
        <v>100785.74</v>
      </c>
      <c r="BH293" s="450">
        <v>100695.83</v>
      </c>
      <c r="BI293" s="450">
        <v>101678.19</v>
      </c>
      <c r="BJ293" s="450">
        <v>98640.43</v>
      </c>
      <c r="BK293" s="450">
        <v>98152.54</v>
      </c>
      <c r="BL293" s="450">
        <v>88635.97</v>
      </c>
      <c r="BM293" s="450">
        <v>87842.73</v>
      </c>
      <c r="BN293" s="450">
        <v>86492.87</v>
      </c>
      <c r="BO293" s="450">
        <v>89374.16</v>
      </c>
      <c r="BP293" s="450">
        <v>92952.14</v>
      </c>
      <c r="BQ293" s="450">
        <v>96941.44</v>
      </c>
      <c r="BR293" s="450">
        <v>99749.18</v>
      </c>
      <c r="BS293" s="615">
        <f t="array" ref="BS293">XLOOKUP(D293,'PL TOTAL XP'!A:A,'PL TOTAL XP'!C:C,"0")</f>
        <v>106000.54</v>
      </c>
      <c r="BT293" s="616"/>
    </row>
    <row r="294" ht="15.75" customHeight="1">
      <c r="A294" s="183" t="s">
        <v>3820</v>
      </c>
      <c r="B294" s="78" t="s">
        <v>1500</v>
      </c>
      <c r="C294" s="564" t="s">
        <v>4743</v>
      </c>
      <c r="D294" s="623">
        <v>4823267.0</v>
      </c>
      <c r="E294" s="609" t="s">
        <v>18</v>
      </c>
      <c r="F294" s="609" t="s">
        <v>29</v>
      </c>
      <c r="G294" s="512" t="s">
        <v>168</v>
      </c>
      <c r="H294" s="512"/>
      <c r="I294" s="512"/>
      <c r="J294" s="51" t="s">
        <v>3823</v>
      </c>
      <c r="K294" s="512"/>
      <c r="L294" s="624"/>
      <c r="M294" s="624">
        <v>44945.0</v>
      </c>
      <c r="N294" s="522"/>
      <c r="O294" s="522" t="s">
        <v>3834</v>
      </c>
      <c r="P294" s="612">
        <v>0.012</v>
      </c>
      <c r="Q294" s="620"/>
      <c r="R294" s="613"/>
      <c r="S294" s="522"/>
      <c r="T294" s="522"/>
      <c r="U294" s="522"/>
      <c r="V294" s="522" t="s">
        <v>34</v>
      </c>
      <c r="W294" s="614"/>
      <c r="X294" s="614"/>
      <c r="Y294" s="614"/>
      <c r="Z294" s="614"/>
      <c r="AA294" s="614"/>
      <c r="AB294" s="614"/>
      <c r="AC294" s="614"/>
      <c r="AD294" s="614"/>
      <c r="AE294" s="614"/>
      <c r="AF294" s="614"/>
      <c r="AG294" s="614"/>
      <c r="AH294" s="614"/>
      <c r="AI294" s="614"/>
      <c r="AJ294" s="614"/>
      <c r="AK294" s="450"/>
      <c r="AL294" s="450"/>
      <c r="AM294" s="450"/>
      <c r="AN294" s="450"/>
      <c r="AO294" s="450"/>
      <c r="AP294" s="450"/>
      <c r="AQ294" s="450"/>
      <c r="AR294" s="450"/>
      <c r="AS294" s="450"/>
      <c r="AT294" s="450"/>
      <c r="AU294" s="450"/>
      <c r="AV294" s="450"/>
      <c r="AW294" s="450"/>
      <c r="AX294" s="450"/>
      <c r="AY294" s="450"/>
      <c r="AZ294" s="450"/>
      <c r="BA294" s="450"/>
      <c r="BB294" s="450"/>
      <c r="BC294" s="450"/>
      <c r="BD294" s="450"/>
      <c r="BE294" s="450"/>
      <c r="BF294" s="450"/>
      <c r="BG294" s="450"/>
      <c r="BH294" s="450"/>
      <c r="BI294" s="450"/>
      <c r="BJ294" s="450"/>
      <c r="BK294" s="450"/>
      <c r="BL294" s="450">
        <v>86558.3</v>
      </c>
      <c r="BM294" s="450">
        <v>45116.4</v>
      </c>
      <c r="BN294" s="450">
        <v>0.0</v>
      </c>
      <c r="BO294" s="450">
        <v>0.0</v>
      </c>
      <c r="BP294" s="450">
        <v>0.0</v>
      </c>
      <c r="BQ294" s="450">
        <v>0.0</v>
      </c>
      <c r="BR294" s="450">
        <v>0.0</v>
      </c>
      <c r="BS294" s="615" t="str">
        <f t="array" ref="BS294">XLOOKUP(D294,'PL TOTAL XP'!A:A,'PL TOTAL XP'!C:C,"0")</f>
        <v>0</v>
      </c>
      <c r="BT294" s="616"/>
    </row>
    <row r="295" ht="15.75" customHeight="1">
      <c r="A295" s="183" t="s">
        <v>3820</v>
      </c>
      <c r="B295" s="78" t="s">
        <v>4744</v>
      </c>
      <c r="C295" s="564" t="s">
        <v>4745</v>
      </c>
      <c r="D295" s="623">
        <v>8023410.0</v>
      </c>
      <c r="E295" s="609" t="s">
        <v>18</v>
      </c>
      <c r="F295" s="609" t="s">
        <v>19</v>
      </c>
      <c r="G295" s="512" t="s">
        <v>213</v>
      </c>
      <c r="H295" s="512" t="str">
        <f>IFERROR(VLOOKUP(G295,'Cadastro de assessores'!A:B,2,FALSE),"Não Cadastrado")</f>
        <v>17831</v>
      </c>
      <c r="I295" s="512"/>
      <c r="J295" s="51" t="s">
        <v>3823</v>
      </c>
      <c r="K295" s="512" t="s">
        <v>107</v>
      </c>
      <c r="L295" s="624">
        <v>44617.0</v>
      </c>
      <c r="M295" s="624">
        <v>44642.0</v>
      </c>
      <c r="N295" s="522"/>
      <c r="O295" s="522" t="s">
        <v>3836</v>
      </c>
      <c r="P295" s="612">
        <v>0.012</v>
      </c>
      <c r="Q295" s="620" t="s">
        <v>4746</v>
      </c>
      <c r="R295" s="613"/>
      <c r="S295" s="522" t="str">
        <f t="shared" ref="S295:S297" si="32">IF(BC295&lt;=0,"",IF(BC295&lt;=1000000,"Não Qualificado",IF(AND(BC295&gt;1000000,BC295&lt;=10000000),"Qualificado","Profissional")))</f>
        <v>Não Qualificado</v>
      </c>
      <c r="T295" s="522" t="s">
        <v>108</v>
      </c>
      <c r="U295" s="522" t="s">
        <v>2652</v>
      </c>
      <c r="V295" s="522" t="s">
        <v>19</v>
      </c>
      <c r="W295" s="614"/>
      <c r="X295" s="614"/>
      <c r="Y295" s="614"/>
      <c r="Z295" s="614"/>
      <c r="AA295" s="614"/>
      <c r="AB295" s="614"/>
      <c r="AC295" s="614"/>
      <c r="AD295" s="614"/>
      <c r="AE295" s="614"/>
      <c r="AF295" s="614"/>
      <c r="AG295" s="614"/>
      <c r="AH295" s="614"/>
      <c r="AI295" s="614"/>
      <c r="AJ295" s="614"/>
      <c r="AK295" s="450"/>
      <c r="AL295" s="450"/>
      <c r="AM295" s="450"/>
      <c r="AN295" s="450"/>
      <c r="AO295" s="450"/>
      <c r="AP295" s="450"/>
      <c r="AQ295" s="450"/>
      <c r="AR295" s="450"/>
      <c r="AS295" s="450"/>
      <c r="AT295" s="450"/>
      <c r="AU295" s="450"/>
      <c r="AV295" s="450"/>
      <c r="AW295" s="450"/>
      <c r="AX295" s="450"/>
      <c r="AY295" s="450"/>
      <c r="AZ295" s="450"/>
      <c r="BA295" s="450"/>
      <c r="BB295" s="450">
        <v>303257.45</v>
      </c>
      <c r="BC295" s="450">
        <v>101888.22</v>
      </c>
      <c r="BD295" s="450">
        <v>306956.53</v>
      </c>
      <c r="BE295" s="450">
        <v>307940.17</v>
      </c>
      <c r="BF295" s="450">
        <v>311174.01</v>
      </c>
      <c r="BG295" s="450">
        <v>313031.4226</v>
      </c>
      <c r="BH295" s="450">
        <v>314766.33</v>
      </c>
      <c r="BI295" s="450">
        <v>319192.21</v>
      </c>
      <c r="BJ295" s="450">
        <v>321469.84</v>
      </c>
      <c r="BK295" s="450">
        <v>324233.77</v>
      </c>
      <c r="BL295" s="450">
        <v>123118.27</v>
      </c>
      <c r="BM295" s="450">
        <v>93189.76</v>
      </c>
      <c r="BN295" s="450">
        <v>94201.17</v>
      </c>
      <c r="BO295" s="450">
        <v>95080.43</v>
      </c>
      <c r="BP295" s="450">
        <v>96062.0</v>
      </c>
      <c r="BQ295" s="450">
        <v>96222.37</v>
      </c>
      <c r="BR295" s="450">
        <v>97011.92</v>
      </c>
      <c r="BS295" s="615">
        <f t="array" ref="BS295">XLOOKUP(D295,'PL TOTAL XP'!A:A,'PL TOTAL XP'!C:C,"0")</f>
        <v>0</v>
      </c>
      <c r="BT295" s="616"/>
    </row>
    <row r="296" ht="15.75" customHeight="1">
      <c r="A296" s="183" t="s">
        <v>3820</v>
      </c>
      <c r="B296" s="78" t="s">
        <v>1511</v>
      </c>
      <c r="C296" s="617" t="s">
        <v>4747</v>
      </c>
      <c r="D296" s="490">
        <v>4680314.0</v>
      </c>
      <c r="E296" s="512" t="s">
        <v>18</v>
      </c>
      <c r="F296" s="512" t="s">
        <v>29</v>
      </c>
      <c r="G296" s="512" t="s">
        <v>4748</v>
      </c>
      <c r="H296" s="512">
        <f>IFERROR(VLOOKUP(G296,'Cadastro de assessores'!A:B,2,FALSE),"Não Cadastrado")</f>
        <v>12340</v>
      </c>
      <c r="I296" s="512"/>
      <c r="J296" s="51" t="s">
        <v>3823</v>
      </c>
      <c r="K296" s="512" t="s">
        <v>107</v>
      </c>
      <c r="L296" s="611">
        <v>44181.0</v>
      </c>
      <c r="M296" s="611">
        <v>44186.0</v>
      </c>
      <c r="N296" s="522"/>
      <c r="O296" s="522" t="s">
        <v>3828</v>
      </c>
      <c r="P296" s="612">
        <v>0.015</v>
      </c>
      <c r="Q296" s="620"/>
      <c r="R296" s="613"/>
      <c r="S296" s="522" t="str">
        <f t="shared" si="32"/>
        <v/>
      </c>
      <c r="T296" s="522" t="s">
        <v>108</v>
      </c>
      <c r="U296" s="522" t="s">
        <v>2614</v>
      </c>
      <c r="V296" s="522" t="s">
        <v>29</v>
      </c>
      <c r="W296" s="614" t="s">
        <v>3830</v>
      </c>
      <c r="X296" s="614" t="s">
        <v>3830</v>
      </c>
      <c r="Y296" s="614" t="s">
        <v>3830</v>
      </c>
      <c r="Z296" s="614" t="s">
        <v>3830</v>
      </c>
      <c r="AA296" s="614" t="s">
        <v>3830</v>
      </c>
      <c r="AB296" s="614" t="s">
        <v>3830</v>
      </c>
      <c r="AC296" s="614" t="s">
        <v>3830</v>
      </c>
      <c r="AD296" s="614" t="s">
        <v>3830</v>
      </c>
      <c r="AE296" s="614" t="s">
        <v>3830</v>
      </c>
      <c r="AF296" s="614" t="s">
        <v>3830</v>
      </c>
      <c r="AG296" s="614" t="s">
        <v>3830</v>
      </c>
      <c r="AH296" s="614"/>
      <c r="AI296" s="614"/>
      <c r="AJ296" s="614"/>
      <c r="AK296" s="450">
        <v>100577.3</v>
      </c>
      <c r="AL296" s="450">
        <v>148725.97</v>
      </c>
      <c r="AM296" s="450">
        <v>144618.28</v>
      </c>
      <c r="AN296" s="450">
        <v>144412.38</v>
      </c>
      <c r="AO296" s="450">
        <v>149013.5</v>
      </c>
      <c r="AP296" s="450">
        <v>150002.52</v>
      </c>
      <c r="AQ296" s="450">
        <v>149416.74</v>
      </c>
      <c r="AR296" s="450">
        <v>152967.25</v>
      </c>
      <c r="AS296" s="450">
        <v>151735.84</v>
      </c>
      <c r="AT296" s="450">
        <v>148679.12</v>
      </c>
      <c r="AU296" s="450">
        <v>147757.02</v>
      </c>
      <c r="AV296" s="450">
        <v>144961.65</v>
      </c>
      <c r="AW296" s="450">
        <v>139301.15</v>
      </c>
      <c r="AX296" s="450">
        <v>139573.37</v>
      </c>
      <c r="AY296" s="450">
        <v>141521.42</v>
      </c>
      <c r="AZ296" s="450">
        <v>144725.21</v>
      </c>
      <c r="BA296" s="450">
        <v>145999.25</v>
      </c>
      <c r="BB296" s="450">
        <v>150946.87</v>
      </c>
      <c r="BC296" s="450"/>
      <c r="BD296" s="450">
        <v>150667.94</v>
      </c>
      <c r="BE296" s="450">
        <v>150146.3</v>
      </c>
      <c r="BF296" s="450">
        <v>152483.67</v>
      </c>
      <c r="BG296" s="450">
        <v>153180.1266</v>
      </c>
      <c r="BH296" s="450">
        <v>153671.85</v>
      </c>
      <c r="BI296" s="450">
        <v>159076.24</v>
      </c>
      <c r="BJ296" s="450">
        <v>158272.2</v>
      </c>
      <c r="BK296" s="450">
        <v>182891.96</v>
      </c>
      <c r="BL296" s="450">
        <v>160998.76</v>
      </c>
      <c r="BM296" s="450">
        <v>161990.96</v>
      </c>
      <c r="BN296" s="450">
        <v>0.0</v>
      </c>
      <c r="BO296" s="450">
        <v>0.0</v>
      </c>
      <c r="BP296" s="450">
        <v>0.0</v>
      </c>
      <c r="BQ296" s="450">
        <v>0.0</v>
      </c>
      <c r="BR296" s="450">
        <v>0.0</v>
      </c>
      <c r="BS296" s="615">
        <f t="array" ref="BS296">XLOOKUP(D296,'PL TOTAL XP'!A:A,'PL TOTAL XP'!C:C,"0")</f>
        <v>0</v>
      </c>
      <c r="BT296" s="616"/>
    </row>
    <row r="297" ht="15.75" customHeight="1">
      <c r="A297" s="183" t="s">
        <v>3820</v>
      </c>
      <c r="B297" s="78" t="s">
        <v>4749</v>
      </c>
      <c r="C297" s="564" t="s">
        <v>4750</v>
      </c>
      <c r="D297" s="623">
        <v>7667659.0</v>
      </c>
      <c r="E297" s="609" t="s">
        <v>18</v>
      </c>
      <c r="F297" s="609" t="s">
        <v>19</v>
      </c>
      <c r="G297" s="512" t="s">
        <v>122</v>
      </c>
      <c r="H297" s="512" t="str">
        <f>IFERROR(VLOOKUP(G297,'Cadastro de assessores'!A:B,2,FALSE),"Não Cadastrado")</f>
        <v>18890</v>
      </c>
      <c r="I297" s="512"/>
      <c r="J297" s="46" t="s">
        <v>107</v>
      </c>
      <c r="K297" s="512" t="s">
        <v>107</v>
      </c>
      <c r="L297" s="624">
        <v>44641.0</v>
      </c>
      <c r="M297" s="624">
        <v>44645.0</v>
      </c>
      <c r="N297" s="522"/>
      <c r="O297" s="522" t="s">
        <v>3834</v>
      </c>
      <c r="P297" s="612">
        <v>0.007</v>
      </c>
      <c r="Q297" s="620"/>
      <c r="R297" s="613"/>
      <c r="S297" s="522" t="str">
        <f t="shared" si="32"/>
        <v>Não Qualificado</v>
      </c>
      <c r="T297" s="522" t="s">
        <v>108</v>
      </c>
      <c r="U297" s="522" t="s">
        <v>4751</v>
      </c>
      <c r="V297" s="522" t="s">
        <v>19</v>
      </c>
      <c r="W297" s="614"/>
      <c r="X297" s="614"/>
      <c r="Y297" s="614"/>
      <c r="Z297" s="614"/>
      <c r="AA297" s="614"/>
      <c r="AB297" s="614"/>
      <c r="AC297" s="614"/>
      <c r="AD297" s="614"/>
      <c r="AE297" s="614"/>
      <c r="AF297" s="614"/>
      <c r="AG297" s="614"/>
      <c r="AH297" s="614"/>
      <c r="AI297" s="614"/>
      <c r="AJ297" s="614"/>
      <c r="AK297" s="450"/>
      <c r="AL297" s="450"/>
      <c r="AM297" s="450"/>
      <c r="AN297" s="450"/>
      <c r="AO297" s="450"/>
      <c r="AP297" s="450"/>
      <c r="AQ297" s="450"/>
      <c r="AR297" s="450"/>
      <c r="AS297" s="450"/>
      <c r="AT297" s="450"/>
      <c r="AU297" s="450"/>
      <c r="AV297" s="450"/>
      <c r="AW297" s="450"/>
      <c r="AX297" s="450"/>
      <c r="AY297" s="450"/>
      <c r="AZ297" s="450"/>
      <c r="BA297" s="450"/>
      <c r="BB297" s="450">
        <v>0.0</v>
      </c>
      <c r="BC297" s="450">
        <v>272.08</v>
      </c>
      <c r="BD297" s="450">
        <v>51093.96</v>
      </c>
      <c r="BE297" s="450">
        <v>51406.68</v>
      </c>
      <c r="BF297" s="450">
        <v>51520.96</v>
      </c>
      <c r="BG297" s="450">
        <v>36542.71222</v>
      </c>
      <c r="BH297" s="450">
        <v>36571.84</v>
      </c>
      <c r="BI297" s="450">
        <v>36792.46</v>
      </c>
      <c r="BJ297" s="450">
        <v>36809.5</v>
      </c>
      <c r="BK297" s="450">
        <v>37105.89</v>
      </c>
      <c r="BL297" s="450">
        <v>37621.99</v>
      </c>
      <c r="BM297" s="450">
        <v>16417.9</v>
      </c>
      <c r="BN297" s="450">
        <v>38561.89</v>
      </c>
      <c r="BO297" s="450">
        <v>38950.61</v>
      </c>
      <c r="BP297" s="450">
        <v>39398.3</v>
      </c>
      <c r="BQ297" s="450">
        <v>39411.26</v>
      </c>
      <c r="BR297" s="450">
        <v>27250.95</v>
      </c>
      <c r="BS297" s="615">
        <f t="array" ref="BS297">XLOOKUP(D297,'PL TOTAL XP'!A:A,'PL TOTAL XP'!C:C,"0")</f>
        <v>22419.55</v>
      </c>
      <c r="BT297" s="616"/>
    </row>
    <row r="298" ht="15.75" customHeight="1">
      <c r="A298" s="183" t="s">
        <v>3820</v>
      </c>
      <c r="B298" s="78" t="s">
        <v>4752</v>
      </c>
      <c r="C298" s="617" t="s">
        <v>4753</v>
      </c>
      <c r="D298" s="609">
        <v>2417083.0</v>
      </c>
      <c r="E298" s="512" t="s">
        <v>18</v>
      </c>
      <c r="F298" s="512" t="s">
        <v>19</v>
      </c>
      <c r="G298" s="512" t="s">
        <v>213</v>
      </c>
      <c r="H298" s="512" t="str">
        <f>IFERROR(VLOOKUP(G298,'Cadastro de assessores'!A:B,2,FALSE),"Não Cadastrado")</f>
        <v>17831</v>
      </c>
      <c r="I298" s="512"/>
      <c r="J298" s="51" t="s">
        <v>186</v>
      </c>
      <c r="K298" s="512" t="s">
        <v>107</v>
      </c>
      <c r="L298" s="611">
        <v>44762.0</v>
      </c>
      <c r="M298" s="611">
        <v>44790.0</v>
      </c>
      <c r="N298" s="619">
        <v>44939.0</v>
      </c>
      <c r="O298" s="522" t="s">
        <v>3836</v>
      </c>
      <c r="P298" s="612">
        <v>0.012</v>
      </c>
      <c r="Q298" s="620" t="s">
        <v>4754</v>
      </c>
      <c r="R298" s="613"/>
      <c r="S298" s="522"/>
      <c r="T298" s="522"/>
      <c r="U298" s="522"/>
      <c r="V298" s="522" t="s">
        <v>2600</v>
      </c>
      <c r="W298" s="614"/>
      <c r="X298" s="614"/>
      <c r="Y298" s="614"/>
      <c r="Z298" s="614"/>
      <c r="AA298" s="614"/>
      <c r="AB298" s="614"/>
      <c r="AC298" s="614"/>
      <c r="AD298" s="614"/>
      <c r="AE298" s="614"/>
      <c r="AF298" s="614"/>
      <c r="AG298" s="614"/>
      <c r="AH298" s="614"/>
      <c r="AI298" s="614"/>
      <c r="AJ298" s="614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>
        <v>663134.8764</v>
      </c>
      <c r="BH298" s="450">
        <v>668723.0</v>
      </c>
      <c r="BI298" s="450">
        <v>575232.35</v>
      </c>
      <c r="BJ298" s="450">
        <v>377849.86</v>
      </c>
      <c r="BK298" s="450">
        <v>310831.65</v>
      </c>
      <c r="BL298" s="450">
        <v>0.0</v>
      </c>
      <c r="BM298" s="450">
        <v>0.0</v>
      </c>
      <c r="BN298" s="450">
        <v>0.0</v>
      </c>
      <c r="BO298" s="450">
        <v>0.0</v>
      </c>
      <c r="BP298" s="450">
        <v>0.0</v>
      </c>
      <c r="BQ298" s="450">
        <v>0.0</v>
      </c>
      <c r="BR298" s="450">
        <v>0.0</v>
      </c>
      <c r="BS298" s="615" t="str">
        <f t="array" ref="BS298">XLOOKUP(D298,'PL TOTAL XP'!A:A,'PL TOTAL XP'!C:C,"0")</f>
        <v>0</v>
      </c>
      <c r="BT298" s="616"/>
    </row>
    <row r="299" ht="15.75" customHeight="1">
      <c r="A299" s="183" t="s">
        <v>3820</v>
      </c>
      <c r="B299" s="78" t="s">
        <v>1516</v>
      </c>
      <c r="C299" s="564" t="s">
        <v>4755</v>
      </c>
      <c r="D299" s="488">
        <v>2114710.0</v>
      </c>
      <c r="E299" s="609" t="s">
        <v>18</v>
      </c>
      <c r="F299" s="609" t="s">
        <v>19</v>
      </c>
      <c r="G299" s="680" t="s">
        <v>4756</v>
      </c>
      <c r="H299" s="512" t="str">
        <f>IFERROR(VLOOKUP(G299,'Cadastro de assessores'!A:B,2,FALSE),"Não Cadastrado")</f>
        <v>Não Cadastrado</v>
      </c>
      <c r="I299" s="512"/>
      <c r="J299" s="51" t="s">
        <v>3823</v>
      </c>
      <c r="K299" s="512" t="s">
        <v>107</v>
      </c>
      <c r="L299" s="624">
        <v>44799.0</v>
      </c>
      <c r="M299" s="624">
        <v>44799.0</v>
      </c>
      <c r="N299" s="522"/>
      <c r="O299" s="522" t="s">
        <v>3836</v>
      </c>
      <c r="P299" s="612">
        <v>0.012</v>
      </c>
      <c r="Q299" s="620" t="s">
        <v>4757</v>
      </c>
      <c r="R299" s="613"/>
      <c r="S299" s="522"/>
      <c r="T299" s="522"/>
      <c r="U299" s="522"/>
      <c r="V299" s="522" t="s">
        <v>19</v>
      </c>
      <c r="W299" s="614"/>
      <c r="X299" s="614"/>
      <c r="Y299" s="614"/>
      <c r="Z299" s="614"/>
      <c r="AA299" s="614"/>
      <c r="AB299" s="614"/>
      <c r="AC299" s="614"/>
      <c r="AD299" s="614"/>
      <c r="AE299" s="614"/>
      <c r="AF299" s="614"/>
      <c r="AG299" s="614"/>
      <c r="AH299" s="614"/>
      <c r="AI299" s="614"/>
      <c r="AJ299" s="614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0"/>
      <c r="AY299" s="450"/>
      <c r="AZ299" s="450"/>
      <c r="BA299" s="450"/>
      <c r="BB299" s="450"/>
      <c r="BC299" s="450"/>
      <c r="BD299" s="450"/>
      <c r="BE299" s="450"/>
      <c r="BF299" s="450"/>
      <c r="BG299" s="450">
        <v>789698.476</v>
      </c>
      <c r="BH299" s="450">
        <v>1579134.65</v>
      </c>
      <c r="BI299" s="450">
        <v>1607902.23</v>
      </c>
      <c r="BJ299" s="450">
        <v>2088836.05</v>
      </c>
      <c r="BK299" s="450">
        <v>2107549.47</v>
      </c>
      <c r="BL299" s="450">
        <v>2131749.16</v>
      </c>
      <c r="BM299" s="450">
        <v>111795.82</v>
      </c>
      <c r="BN299" s="450">
        <v>111758.99</v>
      </c>
      <c r="BO299" s="450">
        <v>113097.52</v>
      </c>
      <c r="BP299" s="450">
        <v>112074.57</v>
      </c>
      <c r="BQ299" s="450">
        <v>112443.37</v>
      </c>
      <c r="BR299" s="450">
        <v>113575.74</v>
      </c>
      <c r="BS299" s="615" t="str">
        <f t="array" ref="BS299">XLOOKUP(D299,'PL TOTAL XP'!A:A,'PL TOTAL XP'!C:C,"0")</f>
        <v>0</v>
      </c>
      <c r="BT299" s="616"/>
    </row>
    <row r="300" ht="15.75" customHeight="1">
      <c r="A300" s="183" t="s">
        <v>3820</v>
      </c>
      <c r="B300" s="78" t="s">
        <v>1525</v>
      </c>
      <c r="C300" s="564" t="s">
        <v>1523</v>
      </c>
      <c r="D300" s="623">
        <v>7772568.0</v>
      </c>
      <c r="E300" s="609" t="s">
        <v>18</v>
      </c>
      <c r="F300" s="609" t="s">
        <v>29</v>
      </c>
      <c r="G300" s="512" t="s">
        <v>60</v>
      </c>
      <c r="H300" s="512">
        <f>IFERROR(VLOOKUP(G300,'Cadastro de assessores'!A:B,2,FALSE),"Não Cadastrado")</f>
        <v>12332</v>
      </c>
      <c r="I300" s="512"/>
      <c r="J300" s="51" t="s">
        <v>186</v>
      </c>
      <c r="K300" s="512" t="s">
        <v>107</v>
      </c>
      <c r="L300" s="624">
        <v>44636.0</v>
      </c>
      <c r="M300" s="624">
        <v>44637.0</v>
      </c>
      <c r="N300" s="522"/>
      <c r="O300" s="522" t="s">
        <v>3834</v>
      </c>
      <c r="P300" s="612">
        <v>0.007</v>
      </c>
      <c r="Q300" s="620" t="s">
        <v>4758</v>
      </c>
      <c r="R300" s="613"/>
      <c r="S300" s="522" t="str">
        <f t="shared" ref="S300:S313" si="33">IF(BC300&lt;=0,"",IF(BC300&lt;=1000000,"Não Qualificado",IF(AND(BC300&gt;1000000,BC300&lt;=10000000),"Qualificado","Profissional")))</f>
        <v>Não Qualificado</v>
      </c>
      <c r="T300" s="522" t="s">
        <v>108</v>
      </c>
      <c r="U300" s="522" t="s">
        <v>4759</v>
      </c>
      <c r="V300" s="522" t="s">
        <v>504</v>
      </c>
      <c r="W300" s="614"/>
      <c r="X300" s="614"/>
      <c r="Y300" s="614"/>
      <c r="Z300" s="614"/>
      <c r="AA300" s="614"/>
      <c r="AB300" s="614"/>
      <c r="AC300" s="614"/>
      <c r="AD300" s="614"/>
      <c r="AE300" s="614"/>
      <c r="AF300" s="614"/>
      <c r="AG300" s="614"/>
      <c r="AH300" s="614"/>
      <c r="AI300" s="614"/>
      <c r="AJ300" s="614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0"/>
      <c r="AY300" s="450"/>
      <c r="AZ300" s="450"/>
      <c r="BA300" s="450"/>
      <c r="BB300" s="450">
        <v>173135.52</v>
      </c>
      <c r="BC300" s="450">
        <v>85183.01</v>
      </c>
      <c r="BD300" s="450">
        <v>227085.75</v>
      </c>
      <c r="BE300" s="450">
        <v>245364.84</v>
      </c>
      <c r="BF300" s="450">
        <v>247624.39</v>
      </c>
      <c r="BG300" s="450">
        <v>249896.468</v>
      </c>
      <c r="BH300" s="450">
        <v>252013.51</v>
      </c>
      <c r="BI300" s="450">
        <v>254348.71</v>
      </c>
      <c r="BJ300" s="450">
        <v>256659.96</v>
      </c>
      <c r="BK300" s="450">
        <v>259057.35</v>
      </c>
      <c r="BL300" s="450">
        <v>261952.89</v>
      </c>
      <c r="BM300" s="450">
        <v>264187.52</v>
      </c>
      <c r="BN300" s="450">
        <v>0.0</v>
      </c>
      <c r="BO300" s="450">
        <v>0.0</v>
      </c>
      <c r="BP300" s="450">
        <v>0.0</v>
      </c>
      <c r="BQ300" s="450">
        <v>0.0</v>
      </c>
      <c r="BR300" s="450">
        <v>0.0</v>
      </c>
      <c r="BS300" s="615" t="str">
        <f t="array" ref="BS300">XLOOKUP(D300,'PL TOTAL XP'!A:A,'PL TOTAL XP'!C:C,"0")</f>
        <v>0</v>
      </c>
      <c r="BT300" s="616"/>
    </row>
    <row r="301" ht="15.75" customHeight="1">
      <c r="A301" s="183" t="s">
        <v>3820</v>
      </c>
      <c r="B301" s="78" t="s">
        <v>1528</v>
      </c>
      <c r="C301" s="564" t="s">
        <v>1526</v>
      </c>
      <c r="D301" s="623">
        <v>5702220.0</v>
      </c>
      <c r="E301" s="512" t="s">
        <v>18</v>
      </c>
      <c r="F301" s="512" t="s">
        <v>29</v>
      </c>
      <c r="G301" s="512" t="s">
        <v>294</v>
      </c>
      <c r="H301" s="512">
        <f>IFERROR(VLOOKUP(G301,'Cadastro de assessores'!A:B,2,FALSE),"Não Cadastrado")</f>
        <v>12359</v>
      </c>
      <c r="I301" s="512"/>
      <c r="J301" s="46" t="s">
        <v>107</v>
      </c>
      <c r="K301" s="512" t="s">
        <v>107</v>
      </c>
      <c r="L301" s="624">
        <v>44655.0</v>
      </c>
      <c r="M301" s="624">
        <v>44656.0</v>
      </c>
      <c r="N301" s="522"/>
      <c r="O301" s="522" t="s">
        <v>3824</v>
      </c>
      <c r="P301" s="612">
        <v>0.007</v>
      </c>
      <c r="Q301" s="620"/>
      <c r="R301" s="613"/>
      <c r="S301" s="522" t="str">
        <f t="shared" si="33"/>
        <v>Não Qualificado</v>
      </c>
      <c r="T301" s="522" t="s">
        <v>108</v>
      </c>
      <c r="U301" s="522" t="s">
        <v>2591</v>
      </c>
      <c r="V301" s="522" t="s">
        <v>29</v>
      </c>
      <c r="W301" s="614"/>
      <c r="X301" s="614"/>
      <c r="Y301" s="614"/>
      <c r="Z301" s="614"/>
      <c r="AA301" s="614"/>
      <c r="AB301" s="614"/>
      <c r="AC301" s="614"/>
      <c r="AD301" s="614"/>
      <c r="AE301" s="614"/>
      <c r="AF301" s="614"/>
      <c r="AG301" s="614"/>
      <c r="AH301" s="614"/>
      <c r="AI301" s="614"/>
      <c r="AJ301" s="614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450">
        <v>303227.44</v>
      </c>
      <c r="BD301" s="450" t="s">
        <v>2566</v>
      </c>
      <c r="BE301" s="450">
        <v>59550.3</v>
      </c>
      <c r="BF301" s="450">
        <v>60121.7</v>
      </c>
      <c r="BG301" s="450">
        <v>69062.60341</v>
      </c>
      <c r="BH301" s="450">
        <v>64055.88</v>
      </c>
      <c r="BI301" s="450">
        <v>67335.86</v>
      </c>
      <c r="BJ301" s="450">
        <v>67290.16</v>
      </c>
      <c r="BK301" s="450">
        <v>67728.27</v>
      </c>
      <c r="BL301" s="450">
        <v>65216.69</v>
      </c>
      <c r="BM301" s="450">
        <v>68777.16</v>
      </c>
      <c r="BN301" s="450">
        <v>16221.67</v>
      </c>
      <c r="BO301" s="450">
        <v>16405.5</v>
      </c>
      <c r="BP301" s="450">
        <v>16467.21</v>
      </c>
      <c r="BQ301" s="450">
        <v>16753.27</v>
      </c>
      <c r="BR301" s="450">
        <v>17125.53</v>
      </c>
      <c r="BS301" s="615">
        <f t="array" ref="BS301">XLOOKUP(D301,'PL TOTAL XP'!A:A,'PL TOTAL XP'!C:C,"0")</f>
        <v>18071.75</v>
      </c>
      <c r="BT301" s="616"/>
    </row>
    <row r="302" ht="15.75" customHeight="1">
      <c r="A302" s="183" t="s">
        <v>3820</v>
      </c>
      <c r="B302" s="78" t="s">
        <v>4760</v>
      </c>
      <c r="C302" s="564" t="s">
        <v>4761</v>
      </c>
      <c r="D302" s="623">
        <v>8450642.0</v>
      </c>
      <c r="E302" s="609" t="s">
        <v>18</v>
      </c>
      <c r="F302" s="609" t="s">
        <v>19</v>
      </c>
      <c r="G302" s="512" t="s">
        <v>256</v>
      </c>
      <c r="H302" s="512" t="str">
        <f>IFERROR(VLOOKUP(G302,'Cadastro de assessores'!A:B,2,FALSE),"Não Cadastrado")</f>
        <v>18009</v>
      </c>
      <c r="I302" s="512"/>
      <c r="J302" s="51" t="s">
        <v>186</v>
      </c>
      <c r="K302" s="512" t="s">
        <v>107</v>
      </c>
      <c r="L302" s="624">
        <v>44671.0</v>
      </c>
      <c r="M302" s="624">
        <v>44679.0</v>
      </c>
      <c r="N302" s="618">
        <v>44890.0</v>
      </c>
      <c r="O302" s="522" t="s">
        <v>3828</v>
      </c>
      <c r="P302" s="612">
        <v>0.015</v>
      </c>
      <c r="Q302" s="681" t="s">
        <v>4762</v>
      </c>
      <c r="R302" s="613"/>
      <c r="S302" s="522" t="str">
        <f t="shared" si="33"/>
        <v>Não Qualificado</v>
      </c>
      <c r="T302" s="522" t="s">
        <v>108</v>
      </c>
      <c r="U302" s="522" t="s">
        <v>2652</v>
      </c>
      <c r="V302" s="522" t="s">
        <v>29</v>
      </c>
      <c r="W302" s="614"/>
      <c r="X302" s="614"/>
      <c r="Y302" s="614"/>
      <c r="Z302" s="614"/>
      <c r="AA302" s="614"/>
      <c r="AB302" s="614"/>
      <c r="AC302" s="614"/>
      <c r="AD302" s="614"/>
      <c r="AE302" s="614"/>
      <c r="AF302" s="614"/>
      <c r="AG302" s="614"/>
      <c r="AH302" s="614"/>
      <c r="AI302" s="614"/>
      <c r="AJ302" s="614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0"/>
      <c r="AX302" s="450"/>
      <c r="AY302" s="450"/>
      <c r="AZ302" s="450"/>
      <c r="BA302" s="450"/>
      <c r="BB302" s="450"/>
      <c r="BC302" s="450">
        <v>289261.08</v>
      </c>
      <c r="BD302" s="450">
        <v>253373.37</v>
      </c>
      <c r="BE302" s="450">
        <v>240581.69</v>
      </c>
      <c r="BF302" s="450">
        <v>242687.63</v>
      </c>
      <c r="BG302" s="450">
        <v>243726.4447</v>
      </c>
      <c r="BH302" s="450">
        <v>245121.41</v>
      </c>
      <c r="BI302" s="450">
        <v>248592.94</v>
      </c>
      <c r="BJ302" s="450">
        <v>250265.26</v>
      </c>
      <c r="BK302" s="450">
        <v>0.0</v>
      </c>
      <c r="BL302" s="450">
        <v>0.0</v>
      </c>
      <c r="BM302" s="450">
        <v>0.0</v>
      </c>
      <c r="BN302" s="450">
        <v>0.0</v>
      </c>
      <c r="BO302" s="450">
        <v>0.0</v>
      </c>
      <c r="BP302" s="450">
        <v>0.0</v>
      </c>
      <c r="BQ302" s="450">
        <v>0.0</v>
      </c>
      <c r="BR302" s="450">
        <v>0.0</v>
      </c>
      <c r="BS302" s="615" t="str">
        <f t="array" ref="BS302">XLOOKUP(D302,'PL TOTAL XP'!A:A,'PL TOTAL XP'!C:C,"0")</f>
        <v>0</v>
      </c>
      <c r="BT302" s="616"/>
    </row>
    <row r="303" ht="15.75" customHeight="1">
      <c r="A303" s="183" t="s">
        <v>3820</v>
      </c>
      <c r="B303" s="78" t="s">
        <v>4763</v>
      </c>
      <c r="C303" s="617" t="s">
        <v>4764</v>
      </c>
      <c r="D303" s="522">
        <v>4859807.0</v>
      </c>
      <c r="E303" s="522" t="s">
        <v>105</v>
      </c>
      <c r="F303" s="522" t="s">
        <v>1818</v>
      </c>
      <c r="G303" s="522" t="s">
        <v>4765</v>
      </c>
      <c r="H303" s="522" t="str">
        <f>IFERROR(VLOOKUP(G303,'Cadastro de assessores'!A:B,2,FALSE),"Não Cadastrado")</f>
        <v>1449</v>
      </c>
      <c r="I303" s="522"/>
      <c r="J303" s="51" t="s">
        <v>186</v>
      </c>
      <c r="K303" s="522" t="s">
        <v>2563</v>
      </c>
      <c r="L303" s="619">
        <v>44246.0</v>
      </c>
      <c r="M303" s="619">
        <v>44246.0</v>
      </c>
      <c r="N303" s="619">
        <v>44319.0</v>
      </c>
      <c r="O303" s="522" t="s">
        <v>3824</v>
      </c>
      <c r="P303" s="612">
        <v>0.02</v>
      </c>
      <c r="Q303" s="620" t="s">
        <v>4766</v>
      </c>
      <c r="R303" s="613"/>
      <c r="S303" s="522" t="str">
        <f t="shared" si="33"/>
        <v>Não Qualificado</v>
      </c>
      <c r="T303" s="522" t="s">
        <v>108</v>
      </c>
      <c r="U303" s="522" t="s">
        <v>2623</v>
      </c>
      <c r="V303" s="522" t="s">
        <v>29</v>
      </c>
      <c r="W303" s="614"/>
      <c r="X303" s="614"/>
      <c r="Y303" s="614"/>
      <c r="Z303" s="614"/>
      <c r="AA303" s="614"/>
      <c r="AB303" s="614"/>
      <c r="AC303" s="614"/>
      <c r="AD303" s="614"/>
      <c r="AE303" s="614"/>
      <c r="AF303" s="614"/>
      <c r="AG303" s="614"/>
      <c r="AH303" s="614" t="s">
        <v>4767</v>
      </c>
      <c r="AI303" s="614" t="s">
        <v>4768</v>
      </c>
      <c r="AJ303" s="614" t="s">
        <v>4769</v>
      </c>
      <c r="AK303" s="450">
        <v>237505.21</v>
      </c>
      <c r="AL303" s="450">
        <v>233618.04</v>
      </c>
      <c r="AM303" s="450">
        <v>153929.73</v>
      </c>
      <c r="AN303" s="450">
        <v>153958.42</v>
      </c>
      <c r="AO303" s="450">
        <v>161660.97</v>
      </c>
      <c r="AP303" s="450">
        <v>162819.56</v>
      </c>
      <c r="AQ303" s="450">
        <v>162050.69</v>
      </c>
      <c r="AR303" s="450"/>
      <c r="AS303" s="450"/>
      <c r="AT303" s="450"/>
      <c r="AU303" s="450"/>
      <c r="AV303" s="450"/>
      <c r="AW303" s="450"/>
      <c r="AX303" s="450"/>
      <c r="AY303" s="450"/>
      <c r="AZ303" s="450"/>
      <c r="BA303" s="450">
        <v>0.0</v>
      </c>
      <c r="BB303" s="450">
        <v>0.0</v>
      </c>
      <c r="BC303" s="450">
        <v>110406.99</v>
      </c>
      <c r="BD303" s="450" t="s">
        <v>2566</v>
      </c>
      <c r="BE303" s="450" t="s">
        <v>2566</v>
      </c>
      <c r="BF303" s="450">
        <v>0.0</v>
      </c>
      <c r="BG303" s="450">
        <v>0.0</v>
      </c>
      <c r="BH303" s="450">
        <v>0.0</v>
      </c>
      <c r="BI303" s="450">
        <v>0.0</v>
      </c>
      <c r="BJ303" s="450">
        <v>0.0</v>
      </c>
      <c r="BK303" s="450">
        <v>0.0</v>
      </c>
      <c r="BL303" s="450">
        <v>0.0</v>
      </c>
      <c r="BM303" s="450">
        <v>0.0</v>
      </c>
      <c r="BN303" s="450">
        <v>0.0</v>
      </c>
      <c r="BO303" s="450">
        <v>0.0</v>
      </c>
      <c r="BP303" s="450">
        <v>0.0</v>
      </c>
      <c r="BQ303" s="450">
        <v>0.0</v>
      </c>
      <c r="BR303" s="450">
        <v>0.0</v>
      </c>
      <c r="BS303" s="615" t="str">
        <f t="array" ref="BS303">XLOOKUP(D303,'PL TOTAL XP'!A:A,'PL TOTAL XP'!C:C,"0")</f>
        <v>0</v>
      </c>
      <c r="BT303" s="616"/>
    </row>
    <row r="304" ht="15.75" customHeight="1">
      <c r="A304" s="183" t="s">
        <v>3820</v>
      </c>
      <c r="B304" s="78" t="s">
        <v>4770</v>
      </c>
      <c r="C304" s="564" t="s">
        <v>4771</v>
      </c>
      <c r="D304" s="566">
        <v>5627240.0</v>
      </c>
      <c r="E304" s="512" t="s">
        <v>18</v>
      </c>
      <c r="F304" s="609" t="s">
        <v>19</v>
      </c>
      <c r="G304" s="512" t="s">
        <v>256</v>
      </c>
      <c r="H304" s="609" t="str">
        <f>IFERROR(VLOOKUP(G304,'Cadastro de assessores'!A:B,2,FALSE),"Não Cadastrado")</f>
        <v>18009</v>
      </c>
      <c r="I304" s="609"/>
      <c r="J304" s="51" t="s">
        <v>3823</v>
      </c>
      <c r="K304" s="512" t="s">
        <v>107</v>
      </c>
      <c r="L304" s="610">
        <v>44361.0</v>
      </c>
      <c r="M304" s="610">
        <v>44362.0</v>
      </c>
      <c r="N304" s="566"/>
      <c r="O304" s="566" t="s">
        <v>3834</v>
      </c>
      <c r="P304" s="612">
        <v>0.012</v>
      </c>
      <c r="Q304" s="224" t="s">
        <v>4772</v>
      </c>
      <c r="R304" s="613"/>
      <c r="S304" s="522" t="str">
        <f t="shared" si="33"/>
        <v/>
      </c>
      <c r="T304" s="522" t="s">
        <v>108</v>
      </c>
      <c r="U304" s="522" t="s">
        <v>2619</v>
      </c>
      <c r="V304" s="522" t="s">
        <v>152</v>
      </c>
      <c r="W304" s="468"/>
      <c r="X304" s="468"/>
      <c r="Y304" s="468"/>
      <c r="Z304" s="468"/>
      <c r="AA304" s="468"/>
      <c r="AB304" s="468"/>
      <c r="AC304" s="468"/>
      <c r="AD304" s="468"/>
      <c r="AE304" s="468"/>
      <c r="AF304" s="468"/>
      <c r="AG304" s="468"/>
      <c r="AH304" s="468"/>
      <c r="AI304" s="468"/>
      <c r="AJ304" s="468"/>
      <c r="AK304" s="450"/>
      <c r="AL304" s="450"/>
      <c r="AM304" s="450"/>
      <c r="AN304" s="450"/>
      <c r="AO304" s="450"/>
      <c r="AP304" s="450"/>
      <c r="AQ304" s="468"/>
      <c r="AR304" s="468"/>
      <c r="AS304" s="450">
        <v>63732.03</v>
      </c>
      <c r="AT304" s="450">
        <v>97202.55</v>
      </c>
      <c r="AU304" s="450">
        <v>96046.65</v>
      </c>
      <c r="AV304" s="450">
        <v>93349.35</v>
      </c>
      <c r="AW304" s="450">
        <v>88921.6</v>
      </c>
      <c r="AX304" s="450">
        <v>88591.58</v>
      </c>
      <c r="AY304" s="450">
        <v>89582.76</v>
      </c>
      <c r="AZ304" s="450">
        <v>93531.67</v>
      </c>
      <c r="BA304" s="450">
        <v>94268.69</v>
      </c>
      <c r="BB304" s="450">
        <v>98598.34</v>
      </c>
      <c r="BC304" s="450"/>
      <c r="BD304" s="450">
        <v>95561.64</v>
      </c>
      <c r="BE304" s="450">
        <v>93586.05</v>
      </c>
      <c r="BF304" s="450">
        <v>96544.67</v>
      </c>
      <c r="BG304" s="450">
        <v>98348.92281</v>
      </c>
      <c r="BH304" s="450">
        <v>97585.07</v>
      </c>
      <c r="BI304" s="450">
        <v>103101.74</v>
      </c>
      <c r="BJ304" s="450">
        <v>103016.55</v>
      </c>
      <c r="BK304" s="450">
        <v>103357.08</v>
      </c>
      <c r="BL304" s="450">
        <v>104732.11</v>
      </c>
      <c r="BM304" s="450">
        <v>104879.03</v>
      </c>
      <c r="BN304" s="450">
        <v>0.0</v>
      </c>
      <c r="BO304" s="450">
        <v>0.0</v>
      </c>
      <c r="BP304" s="450">
        <v>0.0</v>
      </c>
      <c r="BQ304" s="450">
        <v>0.0</v>
      </c>
      <c r="BR304" s="450">
        <v>0.0</v>
      </c>
      <c r="BS304" s="615" t="str">
        <f t="array" ref="BS304">XLOOKUP(D304,'PL TOTAL XP'!A:A,'PL TOTAL XP'!C:C,"0")</f>
        <v>0</v>
      </c>
      <c r="BT304" s="616"/>
    </row>
    <row r="305" ht="15.75" customHeight="1">
      <c r="A305" s="183" t="s">
        <v>3820</v>
      </c>
      <c r="B305" s="78" t="s">
        <v>4773</v>
      </c>
      <c r="C305" s="564" t="s">
        <v>4774</v>
      </c>
      <c r="D305" s="566">
        <v>5634110.0</v>
      </c>
      <c r="E305" s="522" t="s">
        <v>18</v>
      </c>
      <c r="F305" s="511" t="s">
        <v>19</v>
      </c>
      <c r="G305" s="522" t="s">
        <v>256</v>
      </c>
      <c r="H305" s="511" t="str">
        <f>IFERROR(VLOOKUP(G305,'Cadastro de assessores'!A:B,2,FALSE),"Não Cadastrado")</f>
        <v>18009</v>
      </c>
      <c r="I305" s="511"/>
      <c r="J305" s="51" t="s">
        <v>186</v>
      </c>
      <c r="K305" s="522" t="s">
        <v>2563</v>
      </c>
      <c r="L305" s="619">
        <v>44356.0</v>
      </c>
      <c r="M305" s="619">
        <v>44356.0</v>
      </c>
      <c r="N305" s="567">
        <v>44714.0</v>
      </c>
      <c r="O305" s="566" t="s">
        <v>3824</v>
      </c>
      <c r="P305" s="612">
        <v>0.02</v>
      </c>
      <c r="Q305" s="224" t="s">
        <v>4775</v>
      </c>
      <c r="R305" s="613"/>
      <c r="S305" s="522" t="str">
        <f t="shared" si="33"/>
        <v>Não Qualificado</v>
      </c>
      <c r="T305" s="522" t="s">
        <v>108</v>
      </c>
      <c r="U305" s="511" t="s">
        <v>2842</v>
      </c>
      <c r="V305" s="511" t="s">
        <v>19</v>
      </c>
      <c r="W305" s="468"/>
      <c r="X305" s="468"/>
      <c r="Y305" s="468"/>
      <c r="Z305" s="468"/>
      <c r="AA305" s="468"/>
      <c r="AB305" s="468"/>
      <c r="AC305" s="468"/>
      <c r="AD305" s="468"/>
      <c r="AE305" s="468"/>
      <c r="AF305" s="468"/>
      <c r="AG305" s="468"/>
      <c r="AH305" s="468"/>
      <c r="AI305" s="468"/>
      <c r="AJ305" s="468"/>
      <c r="AK305" s="450"/>
      <c r="AL305" s="450"/>
      <c r="AM305" s="450"/>
      <c r="AN305" s="450"/>
      <c r="AO305" s="450"/>
      <c r="AP305" s="450"/>
      <c r="AQ305" s="450"/>
      <c r="AR305" s="468"/>
      <c r="AS305" s="450">
        <v>98702.31</v>
      </c>
      <c r="AT305" s="450">
        <v>95587.12</v>
      </c>
      <c r="AU305" s="450">
        <v>94370.88</v>
      </c>
      <c r="AV305" s="450">
        <v>91737.24</v>
      </c>
      <c r="AW305" s="450">
        <v>86822.36</v>
      </c>
      <c r="AX305" s="450">
        <v>86295.75</v>
      </c>
      <c r="AY305" s="450">
        <v>87434.35</v>
      </c>
      <c r="AZ305" s="450">
        <v>88096.89</v>
      </c>
      <c r="BA305" s="450">
        <v>88821.96</v>
      </c>
      <c r="BB305" s="450">
        <v>92875.76</v>
      </c>
      <c r="BC305" s="450">
        <v>15258.01</v>
      </c>
      <c r="BD305" s="450">
        <v>90290.48</v>
      </c>
      <c r="BE305" s="450" t="s">
        <v>2566</v>
      </c>
      <c r="BF305" s="450">
        <v>0.0</v>
      </c>
      <c r="BG305" s="450">
        <v>0.0</v>
      </c>
      <c r="BH305" s="450">
        <v>0.0</v>
      </c>
      <c r="BI305" s="450">
        <v>0.0</v>
      </c>
      <c r="BJ305" s="450">
        <v>0.0</v>
      </c>
      <c r="BK305" s="450">
        <v>0.0</v>
      </c>
      <c r="BL305" s="450">
        <v>0.0</v>
      </c>
      <c r="BM305" s="450">
        <v>0.0</v>
      </c>
      <c r="BN305" s="450">
        <v>0.0</v>
      </c>
      <c r="BO305" s="450">
        <v>0.0</v>
      </c>
      <c r="BP305" s="450">
        <v>0.0</v>
      </c>
      <c r="BQ305" s="450">
        <v>0.0</v>
      </c>
      <c r="BR305" s="450">
        <v>0.0</v>
      </c>
      <c r="BS305" s="615" t="str">
        <f t="array" ref="BS305">XLOOKUP(D305,'PL TOTAL XP'!A:A,'PL TOTAL XP'!C:C,"0")</f>
        <v>0</v>
      </c>
      <c r="BT305" s="616"/>
    </row>
    <row r="306" ht="15.75" customHeight="1">
      <c r="A306" s="183" t="s">
        <v>3820</v>
      </c>
      <c r="B306" s="78" t="s">
        <v>1539</v>
      </c>
      <c r="C306" s="617" t="s">
        <v>1537</v>
      </c>
      <c r="D306" s="522">
        <v>2866620.0</v>
      </c>
      <c r="E306" s="512" t="s">
        <v>18</v>
      </c>
      <c r="F306" s="512" t="s">
        <v>29</v>
      </c>
      <c r="G306" s="512" t="s">
        <v>18</v>
      </c>
      <c r="H306" s="512" t="str">
        <f>IFERROR(VLOOKUP(G306,'Cadastro de assessores'!A:B,2,FALSE),"Não Cadastrado")</f>
        <v>Não Cadastrado</v>
      </c>
      <c r="I306" s="512"/>
      <c r="J306" s="51" t="s">
        <v>3823</v>
      </c>
      <c r="K306" s="512" t="s">
        <v>107</v>
      </c>
      <c r="L306" s="610">
        <v>44000.0</v>
      </c>
      <c r="M306" s="610">
        <v>44000.0</v>
      </c>
      <c r="N306" s="522"/>
      <c r="O306" s="522" t="s">
        <v>3828</v>
      </c>
      <c r="P306" s="612">
        <v>0.015</v>
      </c>
      <c r="Q306" s="620"/>
      <c r="R306" s="613"/>
      <c r="S306" s="522" t="str">
        <f t="shared" si="33"/>
        <v/>
      </c>
      <c r="T306" s="522" t="s">
        <v>108</v>
      </c>
      <c r="U306" s="522" t="s">
        <v>2580</v>
      </c>
      <c r="V306" s="522" t="s">
        <v>29</v>
      </c>
      <c r="W306" s="614" t="s">
        <v>3830</v>
      </c>
      <c r="X306" s="614" t="s">
        <v>3830</v>
      </c>
      <c r="Y306" s="614" t="s">
        <v>3830</v>
      </c>
      <c r="Z306" s="614" t="s">
        <v>3830</v>
      </c>
      <c r="AA306" s="614" t="s">
        <v>3830</v>
      </c>
      <c r="AB306" s="614" t="s">
        <v>3830</v>
      </c>
      <c r="AC306" s="614" t="s">
        <v>3830</v>
      </c>
      <c r="AD306" s="614" t="s">
        <v>4776</v>
      </c>
      <c r="AE306" s="614" t="s">
        <v>4777</v>
      </c>
      <c r="AF306" s="614" t="s">
        <v>4778</v>
      </c>
      <c r="AG306" s="614" t="s">
        <v>4779</v>
      </c>
      <c r="AH306" s="614" t="s">
        <v>3830</v>
      </c>
      <c r="AI306" s="614" t="s">
        <v>4780</v>
      </c>
      <c r="AJ306" s="614" t="s">
        <v>4781</v>
      </c>
      <c r="AK306" s="450">
        <v>307680.36</v>
      </c>
      <c r="AL306" s="450">
        <v>302881.37</v>
      </c>
      <c r="AM306" s="450">
        <v>225754.68</v>
      </c>
      <c r="AN306" s="450">
        <v>225572.05</v>
      </c>
      <c r="AO306" s="450">
        <v>232792.13</v>
      </c>
      <c r="AP306" s="450">
        <v>234114.84</v>
      </c>
      <c r="AQ306" s="450">
        <v>233087.65</v>
      </c>
      <c r="AR306" s="450">
        <v>239006.34</v>
      </c>
      <c r="AS306" s="450">
        <v>237105.75</v>
      </c>
      <c r="AT306" s="450">
        <v>232288.84</v>
      </c>
      <c r="AU306" s="450">
        <v>230839.93</v>
      </c>
      <c r="AV306" s="450">
        <v>226786.52</v>
      </c>
      <c r="AW306" s="450">
        <v>218987.37</v>
      </c>
      <c r="AX306" s="450">
        <v>219103.78</v>
      </c>
      <c r="AY306" s="450">
        <v>222006.35</v>
      </c>
      <c r="AZ306" s="450">
        <v>227734.28</v>
      </c>
      <c r="BA306" s="450">
        <v>222275.17</v>
      </c>
      <c r="BB306" s="450">
        <v>238157.15</v>
      </c>
      <c r="BC306" s="450"/>
      <c r="BD306" s="450">
        <v>236058.35</v>
      </c>
      <c r="BE306" s="450">
        <v>234923.9</v>
      </c>
      <c r="BF306" s="450">
        <v>239849.5</v>
      </c>
      <c r="BG306" s="450">
        <v>241987.9483</v>
      </c>
      <c r="BH306" s="450">
        <v>242893.07</v>
      </c>
      <c r="BI306" s="450">
        <v>253322.28</v>
      </c>
      <c r="BJ306" s="450">
        <v>251207.17</v>
      </c>
      <c r="BK306" s="450">
        <v>252803.42</v>
      </c>
      <c r="BL306" s="450">
        <v>245320.63</v>
      </c>
      <c r="BM306" s="450">
        <v>246710.72</v>
      </c>
      <c r="BN306" s="450">
        <v>248980.74</v>
      </c>
      <c r="BO306" s="450">
        <v>71052.73</v>
      </c>
      <c r="BP306" s="450">
        <v>867.48</v>
      </c>
      <c r="BQ306" s="450">
        <v>0.0</v>
      </c>
      <c r="BR306" s="450">
        <v>0.0</v>
      </c>
      <c r="BS306" s="615">
        <f t="array" ref="BS306">XLOOKUP(D306,'PL TOTAL XP'!A:A,'PL TOTAL XP'!C:C,"0")</f>
        <v>0</v>
      </c>
      <c r="BT306" s="616"/>
    </row>
    <row r="307" ht="15.75" customHeight="1">
      <c r="A307" s="183" t="s">
        <v>3820</v>
      </c>
      <c r="B307" s="78" t="s">
        <v>4782</v>
      </c>
      <c r="C307" s="617" t="s">
        <v>4783</v>
      </c>
      <c r="D307" s="682">
        <v>4990009.0</v>
      </c>
      <c r="E307" s="522" t="s">
        <v>18</v>
      </c>
      <c r="F307" s="511" t="s">
        <v>19</v>
      </c>
      <c r="G307" s="522" t="s">
        <v>256</v>
      </c>
      <c r="H307" s="522" t="str">
        <f>IFERROR(VLOOKUP(G307,'Cadastro de assessores'!A:B,2,FALSE),"Não Cadastrado")</f>
        <v>18009</v>
      </c>
      <c r="I307" s="522"/>
      <c r="J307" s="51" t="s">
        <v>186</v>
      </c>
      <c r="K307" s="522" t="s">
        <v>2563</v>
      </c>
      <c r="L307" s="619">
        <v>44274.0</v>
      </c>
      <c r="M307" s="619">
        <v>44274.0</v>
      </c>
      <c r="N307" s="619">
        <v>44649.0</v>
      </c>
      <c r="O307" s="522" t="s">
        <v>3828</v>
      </c>
      <c r="P307" s="612">
        <v>0.015</v>
      </c>
      <c r="Q307" s="620" t="s">
        <v>4784</v>
      </c>
      <c r="R307" s="613"/>
      <c r="S307" s="522" t="str">
        <f t="shared" si="33"/>
        <v/>
      </c>
      <c r="T307" s="522" t="s">
        <v>108</v>
      </c>
      <c r="U307" s="522" t="s">
        <v>2619</v>
      </c>
      <c r="V307" s="522" t="s">
        <v>152</v>
      </c>
      <c r="W307" s="614"/>
      <c r="X307" s="614"/>
      <c r="Y307" s="614"/>
      <c r="Z307" s="614"/>
      <c r="AA307" s="614"/>
      <c r="AB307" s="614"/>
      <c r="AC307" s="614"/>
      <c r="AD307" s="614"/>
      <c r="AE307" s="614"/>
      <c r="AF307" s="614"/>
      <c r="AG307" s="614"/>
      <c r="AH307" s="614"/>
      <c r="AI307" s="614"/>
      <c r="AJ307" s="614"/>
      <c r="AK307" s="450"/>
      <c r="AL307" s="450"/>
      <c r="AM307" s="450"/>
      <c r="AN307" s="450"/>
      <c r="AO307" s="450">
        <v>101127.26</v>
      </c>
      <c r="AP307" s="450">
        <v>131865.28</v>
      </c>
      <c r="AQ307" s="450">
        <v>131359.94</v>
      </c>
      <c r="AR307" s="450">
        <v>149552.95</v>
      </c>
      <c r="AS307" s="450">
        <v>148551.9</v>
      </c>
      <c r="AT307" s="450">
        <v>145846.78</v>
      </c>
      <c r="AU307" s="450">
        <v>144922.59</v>
      </c>
      <c r="AV307" s="450">
        <v>142336.99</v>
      </c>
      <c r="AW307" s="450">
        <v>138407.17</v>
      </c>
      <c r="AX307" s="450">
        <v>137788.14</v>
      </c>
      <c r="AY307" s="450">
        <v>139411.66</v>
      </c>
      <c r="AZ307" s="450">
        <v>164082.69</v>
      </c>
      <c r="BA307" s="450">
        <v>165142.25</v>
      </c>
      <c r="BB307" s="450">
        <v>171004.94</v>
      </c>
      <c r="BC307" s="450">
        <v>-177.81</v>
      </c>
      <c r="BD307" s="450" t="s">
        <v>2566</v>
      </c>
      <c r="BE307" s="450" t="s">
        <v>2566</v>
      </c>
      <c r="BF307" s="450">
        <v>0.0</v>
      </c>
      <c r="BG307" s="450">
        <v>0.0</v>
      </c>
      <c r="BH307" s="450">
        <v>0.0</v>
      </c>
      <c r="BI307" s="450">
        <v>0.0</v>
      </c>
      <c r="BJ307" s="450">
        <v>0.0</v>
      </c>
      <c r="BK307" s="450">
        <v>0.0</v>
      </c>
      <c r="BL307" s="450">
        <v>0.0</v>
      </c>
      <c r="BM307" s="450">
        <v>0.0</v>
      </c>
      <c r="BN307" s="450">
        <v>0.0</v>
      </c>
      <c r="BO307" s="450">
        <v>0.0</v>
      </c>
      <c r="BP307" s="450">
        <v>0.0</v>
      </c>
      <c r="BQ307" s="450">
        <v>0.0</v>
      </c>
      <c r="BR307" s="450">
        <v>0.0</v>
      </c>
      <c r="BS307" s="615" t="str">
        <f t="array" ref="BS307">XLOOKUP(D307,'PL TOTAL XP'!A:A,'PL TOTAL XP'!C:C,"0")</f>
        <v>0</v>
      </c>
      <c r="BT307" s="616"/>
    </row>
    <row r="308" ht="15.75" customHeight="1">
      <c r="A308" s="183" t="s">
        <v>3820</v>
      </c>
      <c r="B308" s="78" t="s">
        <v>4785</v>
      </c>
      <c r="C308" s="617" t="s">
        <v>4786</v>
      </c>
      <c r="D308" s="522">
        <v>4606048.0</v>
      </c>
      <c r="E308" s="512" t="s">
        <v>105</v>
      </c>
      <c r="F308" s="512" t="s">
        <v>29</v>
      </c>
      <c r="G308" s="512" t="s">
        <v>637</v>
      </c>
      <c r="H308" s="512" t="str">
        <f>IFERROR(VLOOKUP(G308,'Cadastro de assessores'!A:B,2,FALSE),"Não Cadastrado")</f>
        <v>14699</v>
      </c>
      <c r="I308" s="512"/>
      <c r="J308" s="46" t="s">
        <v>107</v>
      </c>
      <c r="K308" s="512" t="s">
        <v>107</v>
      </c>
      <c r="L308" s="611">
        <v>44154.0</v>
      </c>
      <c r="M308" s="611">
        <v>44160.0</v>
      </c>
      <c r="N308" s="522"/>
      <c r="O308" s="522" t="s">
        <v>3840</v>
      </c>
      <c r="P308" s="612">
        <v>0.025</v>
      </c>
      <c r="Q308" s="224"/>
      <c r="R308" s="613"/>
      <c r="S308" s="522" t="str">
        <f t="shared" si="33"/>
        <v>Não Qualificado</v>
      </c>
      <c r="T308" s="522" t="s">
        <v>108</v>
      </c>
      <c r="U308" s="522" t="s">
        <v>3487</v>
      </c>
      <c r="V308" s="522" t="s">
        <v>29</v>
      </c>
      <c r="W308" s="614" t="s">
        <v>3830</v>
      </c>
      <c r="X308" s="614" t="s">
        <v>3830</v>
      </c>
      <c r="Y308" s="614" t="s">
        <v>3830</v>
      </c>
      <c r="Z308" s="614" t="s">
        <v>3830</v>
      </c>
      <c r="AA308" s="614" t="s">
        <v>3830</v>
      </c>
      <c r="AB308" s="614" t="s">
        <v>3830</v>
      </c>
      <c r="AC308" s="614" t="s">
        <v>3830</v>
      </c>
      <c r="AD308" s="614" t="s">
        <v>3830</v>
      </c>
      <c r="AE308" s="614" t="s">
        <v>3830</v>
      </c>
      <c r="AF308" s="614" t="s">
        <v>3830</v>
      </c>
      <c r="AG308" s="614" t="s">
        <v>3830</v>
      </c>
      <c r="AH308" s="614"/>
      <c r="AI308" s="614"/>
      <c r="AJ308" s="614" t="s">
        <v>4781</v>
      </c>
      <c r="AK308" s="450">
        <v>306029.6</v>
      </c>
      <c r="AL308" s="450">
        <v>297349.0</v>
      </c>
      <c r="AM308" s="450">
        <v>292165.75</v>
      </c>
      <c r="AN308" s="450">
        <v>291527.32</v>
      </c>
      <c r="AO308" s="450">
        <v>299728.93</v>
      </c>
      <c r="AP308" s="450">
        <v>301480.52</v>
      </c>
      <c r="AQ308" s="450">
        <v>300257.27</v>
      </c>
      <c r="AR308" s="450">
        <v>307249.53</v>
      </c>
      <c r="AS308" s="450">
        <v>197741.52</v>
      </c>
      <c r="AT308" s="450">
        <v>187304.22</v>
      </c>
      <c r="AU308" s="450">
        <v>183028.79</v>
      </c>
      <c r="AV308" s="450">
        <v>172450.24</v>
      </c>
      <c r="AW308" s="450">
        <v>158992.65</v>
      </c>
      <c r="AX308" s="450">
        <v>157321.39</v>
      </c>
      <c r="AY308" s="450">
        <v>160664.31</v>
      </c>
      <c r="AZ308" s="450">
        <v>171102.46</v>
      </c>
      <c r="BA308" s="450">
        <v>173026.79</v>
      </c>
      <c r="BB308" s="450">
        <v>185417.32</v>
      </c>
      <c r="BC308" s="450">
        <v>154542.65</v>
      </c>
      <c r="BD308" s="450">
        <v>174042.42</v>
      </c>
      <c r="BE308" s="450">
        <v>166305.07</v>
      </c>
      <c r="BF308" s="450">
        <v>174428.33</v>
      </c>
      <c r="BG308" s="450">
        <v>175965.4102</v>
      </c>
      <c r="BH308" s="450">
        <v>173515.56</v>
      </c>
      <c r="BI308" s="450">
        <v>189775.57</v>
      </c>
      <c r="BJ308" s="450">
        <v>184323.62</v>
      </c>
      <c r="BK308" s="450">
        <v>183426.67</v>
      </c>
      <c r="BL308" s="450">
        <v>187418.58</v>
      </c>
      <c r="BM308" s="450">
        <v>179291.09</v>
      </c>
      <c r="BN308" s="450">
        <v>177690.55</v>
      </c>
      <c r="BO308" s="450">
        <v>159559.3</v>
      </c>
      <c r="BP308" s="450">
        <v>158018.4</v>
      </c>
      <c r="BQ308" s="450">
        <v>168627.02</v>
      </c>
      <c r="BR308" s="450">
        <v>175117.69</v>
      </c>
      <c r="BS308" s="615">
        <f t="array" ref="BS308">XLOOKUP(D308,'PL TOTAL XP'!A:A,'PL TOTAL XP'!C:C,"0")</f>
        <v>34945.14</v>
      </c>
      <c r="BT308" s="616"/>
    </row>
    <row r="309" ht="15.75" customHeight="1">
      <c r="A309" s="183" t="s">
        <v>3820</v>
      </c>
      <c r="B309" s="78" t="s">
        <v>1554</v>
      </c>
      <c r="C309" s="132" t="s">
        <v>1552</v>
      </c>
      <c r="D309" s="627">
        <v>7783008.0</v>
      </c>
      <c r="E309" s="512" t="s">
        <v>18</v>
      </c>
      <c r="F309" s="609" t="s">
        <v>29</v>
      </c>
      <c r="G309" s="512" t="s">
        <v>168</v>
      </c>
      <c r="H309" s="512">
        <f>IFERROR(VLOOKUP(G309,'Cadastro de assessores'!A:B,2,FALSE),"Não Cadastrado")</f>
        <v>12344</v>
      </c>
      <c r="I309" s="512"/>
      <c r="J309" s="51" t="s">
        <v>3823</v>
      </c>
      <c r="K309" s="512" t="s">
        <v>107</v>
      </c>
      <c r="L309" s="610">
        <v>44587.0</v>
      </c>
      <c r="M309" s="610">
        <v>44594.0</v>
      </c>
      <c r="N309" s="566"/>
      <c r="O309" s="566" t="s">
        <v>3834</v>
      </c>
      <c r="P309" s="612">
        <v>0.007</v>
      </c>
      <c r="Q309" s="224" t="s">
        <v>4787</v>
      </c>
      <c r="R309" s="613"/>
      <c r="S309" s="522" t="str">
        <f t="shared" si="33"/>
        <v/>
      </c>
      <c r="T309" s="522" t="s">
        <v>108</v>
      </c>
      <c r="U309" s="566" t="s">
        <v>2580</v>
      </c>
      <c r="V309" s="566" t="s">
        <v>29</v>
      </c>
      <c r="W309" s="468"/>
      <c r="X309" s="468"/>
      <c r="Y309" s="468"/>
      <c r="Z309" s="468"/>
      <c r="AA309" s="468"/>
      <c r="AB309" s="468"/>
      <c r="AC309" s="468"/>
      <c r="AD309" s="468"/>
      <c r="AE309" s="468"/>
      <c r="AF309" s="468"/>
      <c r="AG309" s="614"/>
      <c r="AH309" s="614"/>
      <c r="AI309" s="614"/>
      <c r="AJ309" s="450"/>
      <c r="AK309" s="450"/>
      <c r="AL309" s="450"/>
      <c r="AM309" s="450"/>
      <c r="AN309" s="450"/>
      <c r="AO309" s="450"/>
      <c r="AP309" s="450"/>
      <c r="AQ309" s="450"/>
      <c r="AR309" s="450"/>
      <c r="AS309" s="450"/>
      <c r="AT309" s="450"/>
      <c r="AU309" s="450"/>
      <c r="AV309" s="450"/>
      <c r="AW309" s="450"/>
      <c r="AX309" s="450"/>
      <c r="AY309" s="450"/>
      <c r="AZ309" s="450"/>
      <c r="BA309" s="450">
        <v>680704.5</v>
      </c>
      <c r="BB309" s="450">
        <v>656710.79</v>
      </c>
      <c r="BC309" s="450"/>
      <c r="BD309" s="450">
        <v>617294.06</v>
      </c>
      <c r="BE309" s="450">
        <v>602692.65</v>
      </c>
      <c r="BF309" s="450">
        <v>607559.69</v>
      </c>
      <c r="BG309" s="450">
        <v>579756.5317</v>
      </c>
      <c r="BH309" s="450">
        <v>553265.99</v>
      </c>
      <c r="BI309" s="450">
        <v>526714.52</v>
      </c>
      <c r="BJ309" s="450">
        <v>500372.6</v>
      </c>
      <c r="BK309" s="450">
        <v>443717.27</v>
      </c>
      <c r="BL309" s="450">
        <v>473960.73</v>
      </c>
      <c r="BM309" s="450">
        <v>393283.51</v>
      </c>
      <c r="BN309" s="450">
        <v>239.76</v>
      </c>
      <c r="BO309" s="450">
        <v>239.76</v>
      </c>
      <c r="BP309" s="450">
        <v>0.0</v>
      </c>
      <c r="BQ309" s="450">
        <v>0.0</v>
      </c>
      <c r="BR309" s="450">
        <v>0.0</v>
      </c>
      <c r="BS309" s="615">
        <f t="array" ref="BS309">XLOOKUP(D309,'PL TOTAL XP'!A:A,'PL TOTAL XP'!C:C,"0")</f>
        <v>0</v>
      </c>
      <c r="BT309" s="616"/>
    </row>
    <row r="310" ht="15.75" customHeight="1">
      <c r="A310" s="183" t="s">
        <v>3820</v>
      </c>
      <c r="B310" s="78" t="s">
        <v>4788</v>
      </c>
      <c r="C310" s="564" t="s">
        <v>4789</v>
      </c>
      <c r="D310" s="566">
        <v>6549214.0</v>
      </c>
      <c r="E310" s="522" t="s">
        <v>18</v>
      </c>
      <c r="F310" s="511" t="s">
        <v>19</v>
      </c>
      <c r="G310" s="522" t="s">
        <v>4152</v>
      </c>
      <c r="H310" s="522" t="str">
        <f>IFERROR(VLOOKUP(G310,'Cadastro de assessores'!A:B,2,FALSE),"Não Cadastrado")</f>
        <v>14294</v>
      </c>
      <c r="I310" s="522"/>
      <c r="J310" s="51" t="s">
        <v>186</v>
      </c>
      <c r="K310" s="522" t="s">
        <v>2563</v>
      </c>
      <c r="L310" s="618">
        <v>44487.0</v>
      </c>
      <c r="M310" s="618">
        <v>44487.0</v>
      </c>
      <c r="N310" s="567">
        <v>44810.0</v>
      </c>
      <c r="O310" s="566" t="s">
        <v>3828</v>
      </c>
      <c r="P310" s="612">
        <v>0.015</v>
      </c>
      <c r="Q310" s="224"/>
      <c r="R310" s="613"/>
      <c r="S310" s="522" t="str">
        <f t="shared" si="33"/>
        <v>Qualificado</v>
      </c>
      <c r="T310" s="522" t="s">
        <v>108</v>
      </c>
      <c r="U310" s="566" t="s">
        <v>2596</v>
      </c>
      <c r="V310" s="522" t="s">
        <v>3908</v>
      </c>
      <c r="W310" s="468"/>
      <c r="X310" s="468"/>
      <c r="Y310" s="468"/>
      <c r="Z310" s="468"/>
      <c r="AA310" s="468"/>
      <c r="AB310" s="468"/>
      <c r="AC310" s="468"/>
      <c r="AD310" s="468"/>
      <c r="AE310" s="468"/>
      <c r="AF310" s="468"/>
      <c r="AG310" s="614"/>
      <c r="AH310" s="614"/>
      <c r="AI310" s="614"/>
      <c r="AJ310" s="450"/>
      <c r="AK310" s="450"/>
      <c r="AL310" s="450"/>
      <c r="AM310" s="450"/>
      <c r="AN310" s="450"/>
      <c r="AO310" s="450"/>
      <c r="AP310" s="450"/>
      <c r="AQ310" s="450"/>
      <c r="AR310" s="450"/>
      <c r="AS310" s="450"/>
      <c r="AT310" s="450"/>
      <c r="AU310" s="450"/>
      <c r="AV310" s="450"/>
      <c r="AW310" s="450">
        <v>100044.75</v>
      </c>
      <c r="AX310" s="450">
        <v>104814.95</v>
      </c>
      <c r="AY310" s="450">
        <v>83319.3</v>
      </c>
      <c r="AZ310" s="450">
        <v>91987.47</v>
      </c>
      <c r="BA310" s="450">
        <v>94018.22</v>
      </c>
      <c r="BB310" s="450">
        <v>107069.2</v>
      </c>
      <c r="BC310" s="450">
        <v>1048601.01</v>
      </c>
      <c r="BD310" s="450">
        <v>116857.7</v>
      </c>
      <c r="BE310" s="450">
        <v>116438.48</v>
      </c>
      <c r="BF310" s="450">
        <v>130616.75</v>
      </c>
      <c r="BG310" s="450">
        <v>159300.809</v>
      </c>
      <c r="BH310" s="450">
        <v>0.0</v>
      </c>
      <c r="BI310" s="450">
        <v>0.0</v>
      </c>
      <c r="BJ310" s="450">
        <v>0.0</v>
      </c>
      <c r="BK310" s="450">
        <v>0.0</v>
      </c>
      <c r="BL310" s="450">
        <v>0.0</v>
      </c>
      <c r="BM310" s="450">
        <v>0.0</v>
      </c>
      <c r="BN310" s="450">
        <v>0.0</v>
      </c>
      <c r="BO310" s="450">
        <v>0.0</v>
      </c>
      <c r="BP310" s="450">
        <v>0.0</v>
      </c>
      <c r="BQ310" s="450">
        <v>0.0</v>
      </c>
      <c r="BR310" s="450">
        <v>0.0</v>
      </c>
      <c r="BS310" s="615" t="str">
        <f t="array" ref="BS310">XLOOKUP(D310,'PL TOTAL XP'!A:A,'PL TOTAL XP'!C:C,"0")</f>
        <v>0</v>
      </c>
      <c r="BT310" s="616"/>
    </row>
    <row r="311" ht="15.75" customHeight="1">
      <c r="A311" s="183" t="s">
        <v>3820</v>
      </c>
      <c r="B311" s="78" t="s">
        <v>1570</v>
      </c>
      <c r="C311" s="645" t="s">
        <v>1568</v>
      </c>
      <c r="D311" s="627">
        <v>3025955.0</v>
      </c>
      <c r="E311" s="512" t="s">
        <v>18</v>
      </c>
      <c r="F311" s="609" t="s">
        <v>19</v>
      </c>
      <c r="G311" s="627" t="s">
        <v>256</v>
      </c>
      <c r="H311" s="512" t="str">
        <f>IFERROR(VLOOKUP(G311,'Cadastro de assessores'!A:B,2,FALSE),"Não Cadastrado")</f>
        <v>18009</v>
      </c>
      <c r="I311" s="512"/>
      <c r="J311" s="46" t="s">
        <v>107</v>
      </c>
      <c r="K311" s="512" t="s">
        <v>107</v>
      </c>
      <c r="L311" s="654">
        <v>44565.0</v>
      </c>
      <c r="M311" s="654">
        <v>44557.0</v>
      </c>
      <c r="N311" s="566"/>
      <c r="O311" s="566" t="s">
        <v>4620</v>
      </c>
      <c r="P311" s="612">
        <v>0.015</v>
      </c>
      <c r="Q311" s="224" t="s">
        <v>4094</v>
      </c>
      <c r="R311" s="613"/>
      <c r="S311" s="522" t="str">
        <f t="shared" si="33"/>
        <v>Não Qualificado</v>
      </c>
      <c r="T311" s="522" t="s">
        <v>108</v>
      </c>
      <c r="U311" s="511" t="s">
        <v>2842</v>
      </c>
      <c r="V311" s="511" t="s">
        <v>19</v>
      </c>
      <c r="W311" s="468"/>
      <c r="X311" s="468"/>
      <c r="Y311" s="468"/>
      <c r="Z311" s="468"/>
      <c r="AA311" s="468"/>
      <c r="AB311" s="468"/>
      <c r="AC311" s="468"/>
      <c r="AD311" s="468"/>
      <c r="AE311" s="468"/>
      <c r="AF311" s="468"/>
      <c r="AG311" s="614"/>
      <c r="AH311" s="614"/>
      <c r="AI311" s="450"/>
      <c r="AJ311" s="450"/>
      <c r="AK311" s="450"/>
      <c r="AL311" s="450"/>
      <c r="AM311" s="450"/>
      <c r="AN311" s="450"/>
      <c r="AO311" s="450"/>
      <c r="AP311" s="450"/>
      <c r="AQ311" s="450"/>
      <c r="AR311" s="450"/>
      <c r="AS311" s="450"/>
      <c r="AT311" s="450"/>
      <c r="AU311" s="450"/>
      <c r="AV311" s="450"/>
      <c r="AW311" s="468"/>
      <c r="AX311" s="468"/>
      <c r="AY311" s="468"/>
      <c r="AZ311" s="634">
        <v>209133.89</v>
      </c>
      <c r="BA311" s="634">
        <v>210671.09</v>
      </c>
      <c r="BB311" s="634">
        <v>285147.97</v>
      </c>
      <c r="BC311" s="634">
        <v>380297.33</v>
      </c>
      <c r="BD311" s="450">
        <v>287052.7</v>
      </c>
      <c r="BE311" s="450">
        <v>286979.89</v>
      </c>
      <c r="BF311" s="450">
        <v>307590.81</v>
      </c>
      <c r="BG311" s="450">
        <v>309562.9111</v>
      </c>
      <c r="BH311" s="450">
        <v>311142.97</v>
      </c>
      <c r="BI311" s="450">
        <v>320073.89</v>
      </c>
      <c r="BJ311" s="450">
        <v>334033.85</v>
      </c>
      <c r="BK311" s="450">
        <v>336338.13</v>
      </c>
      <c r="BL311" s="450">
        <v>339884.8</v>
      </c>
      <c r="BM311" s="450">
        <v>141381.38</v>
      </c>
      <c r="BN311" s="450">
        <v>3.12</v>
      </c>
      <c r="BO311" s="450">
        <v>25058.76</v>
      </c>
      <c r="BP311" s="450">
        <v>25144.33</v>
      </c>
      <c r="BQ311" s="450">
        <v>25328.52</v>
      </c>
      <c r="BR311" s="450">
        <v>25633.9</v>
      </c>
      <c r="BS311" s="615">
        <f t="array" ref="BS311">XLOOKUP(D311,'PL TOTAL XP'!A:A,'PL TOTAL XP'!C:C,"0")</f>
        <v>26046.13</v>
      </c>
      <c r="BT311" s="616"/>
    </row>
    <row r="312" ht="15.75" customHeight="1">
      <c r="A312" s="183" t="s">
        <v>3820</v>
      </c>
      <c r="B312" s="78" t="s">
        <v>1573</v>
      </c>
      <c r="C312" s="132" t="s">
        <v>1571</v>
      </c>
      <c r="D312" s="566">
        <v>7443645.0</v>
      </c>
      <c r="E312" s="512" t="s">
        <v>18</v>
      </c>
      <c r="F312" s="609" t="s">
        <v>29</v>
      </c>
      <c r="G312" s="627" t="s">
        <v>836</v>
      </c>
      <c r="H312" s="512">
        <f>IFERROR(VLOOKUP(G312,'Cadastro de assessores'!A:B,2,FALSE),"Não Cadastrado")</f>
        <v>12342</v>
      </c>
      <c r="I312" s="512"/>
      <c r="J312" s="51" t="s">
        <v>3823</v>
      </c>
      <c r="K312" s="522" t="s">
        <v>2600</v>
      </c>
      <c r="L312" s="522" t="s">
        <v>2600</v>
      </c>
      <c r="M312" s="640" t="s">
        <v>2599</v>
      </c>
      <c r="N312" s="627"/>
      <c r="O312" s="627" t="s">
        <v>3834</v>
      </c>
      <c r="P312" s="657">
        <v>0.007</v>
      </c>
      <c r="Q312" s="224"/>
      <c r="R312" s="613"/>
      <c r="S312" s="522" t="str">
        <f t="shared" si="33"/>
        <v>Qualificado</v>
      </c>
      <c r="T312" s="522" t="s">
        <v>108</v>
      </c>
      <c r="U312" s="522" t="s">
        <v>2623</v>
      </c>
      <c r="V312" s="522" t="s">
        <v>29</v>
      </c>
      <c r="W312" s="468"/>
      <c r="X312" s="468"/>
      <c r="Y312" s="468"/>
      <c r="Z312" s="468"/>
      <c r="AA312" s="468"/>
      <c r="AB312" s="468"/>
      <c r="AC312" s="468"/>
      <c r="AD312" s="468"/>
      <c r="AE312" s="468"/>
      <c r="AF312" s="468"/>
      <c r="AG312" s="614"/>
      <c r="AH312" s="614"/>
      <c r="AI312" s="614"/>
      <c r="AJ312" s="450"/>
      <c r="AK312" s="450"/>
      <c r="AL312" s="450"/>
      <c r="AM312" s="450"/>
      <c r="AN312" s="450"/>
      <c r="AO312" s="450"/>
      <c r="AP312" s="450"/>
      <c r="AQ312" s="450"/>
      <c r="AR312" s="450"/>
      <c r="AS312" s="450"/>
      <c r="AT312" s="450"/>
      <c r="AU312" s="450"/>
      <c r="AV312" s="450"/>
      <c r="AW312" s="450"/>
      <c r="AX312" s="468"/>
      <c r="AY312" s="468"/>
      <c r="AZ312" s="614"/>
      <c r="BA312" s="614">
        <v>0.0</v>
      </c>
      <c r="BB312" s="614">
        <v>0.0</v>
      </c>
      <c r="BC312" s="614">
        <v>1035660.21</v>
      </c>
      <c r="BD312" s="450" t="s">
        <v>2566</v>
      </c>
      <c r="BE312" s="450" t="s">
        <v>2566</v>
      </c>
      <c r="BF312" s="450">
        <v>0.0</v>
      </c>
      <c r="BG312" s="450">
        <v>0.0</v>
      </c>
      <c r="BH312" s="450">
        <v>0.0</v>
      </c>
      <c r="BI312" s="450">
        <v>0.0</v>
      </c>
      <c r="BJ312" s="450">
        <v>0.0</v>
      </c>
      <c r="BK312" s="450">
        <v>0.0</v>
      </c>
      <c r="BL312" s="450">
        <v>0.0</v>
      </c>
      <c r="BM312" s="450">
        <v>0.0</v>
      </c>
      <c r="BN312" s="450">
        <v>0.0</v>
      </c>
      <c r="BO312" s="450">
        <v>0.0</v>
      </c>
      <c r="BP312" s="450">
        <v>0.0</v>
      </c>
      <c r="BQ312" s="450">
        <v>0.0</v>
      </c>
      <c r="BR312" s="450">
        <v>0.0</v>
      </c>
      <c r="BS312" s="615">
        <f t="array" ref="BS312">XLOOKUP(D312,'PL TOTAL XP'!A:A,'PL TOTAL XP'!C:C,"0")</f>
        <v>0</v>
      </c>
      <c r="BT312" s="616"/>
    </row>
    <row r="313" ht="15.75" customHeight="1">
      <c r="A313" s="183" t="s">
        <v>3820</v>
      </c>
      <c r="B313" s="78" t="s">
        <v>1573</v>
      </c>
      <c r="C313" s="132" t="s">
        <v>1571</v>
      </c>
      <c r="D313" s="566">
        <v>6582735.0</v>
      </c>
      <c r="E313" s="512" t="s">
        <v>18</v>
      </c>
      <c r="F313" s="609" t="s">
        <v>29</v>
      </c>
      <c r="G313" s="627" t="s">
        <v>836</v>
      </c>
      <c r="H313" s="512">
        <f>IFERROR(VLOOKUP(G313,'Cadastro de assessores'!A:B,2,FALSE),"Não Cadastrado")</f>
        <v>12342</v>
      </c>
      <c r="I313" s="512"/>
      <c r="J313" s="46" t="s">
        <v>107</v>
      </c>
      <c r="K313" s="512" t="s">
        <v>107</v>
      </c>
      <c r="L313" s="567">
        <v>44579.0</v>
      </c>
      <c r="M313" s="567">
        <v>44579.0</v>
      </c>
      <c r="N313" s="627"/>
      <c r="O313" s="627" t="s">
        <v>3834</v>
      </c>
      <c r="P313" s="657">
        <v>0.007</v>
      </c>
      <c r="Q313" s="224" t="s">
        <v>4790</v>
      </c>
      <c r="R313" s="613"/>
      <c r="S313" s="522" t="str">
        <f t="shared" si="33"/>
        <v>Não Qualificado</v>
      </c>
      <c r="T313" s="522" t="s">
        <v>108</v>
      </c>
      <c r="U313" s="522" t="s">
        <v>2623</v>
      </c>
      <c r="V313" s="522" t="s">
        <v>29</v>
      </c>
      <c r="W313" s="468"/>
      <c r="X313" s="468"/>
      <c r="Y313" s="468"/>
      <c r="Z313" s="468"/>
      <c r="AA313" s="468"/>
      <c r="AB313" s="468"/>
      <c r="AC313" s="468"/>
      <c r="AD313" s="468"/>
      <c r="AE313" s="468"/>
      <c r="AF313" s="468"/>
      <c r="AG313" s="614"/>
      <c r="AH313" s="614"/>
      <c r="AI313" s="614"/>
      <c r="AJ313" s="450"/>
      <c r="AK313" s="450"/>
      <c r="AL313" s="450"/>
      <c r="AM313" s="450"/>
      <c r="AN313" s="450"/>
      <c r="AO313" s="450"/>
      <c r="AP313" s="450"/>
      <c r="AQ313" s="450"/>
      <c r="AR313" s="450"/>
      <c r="AS313" s="450"/>
      <c r="AT313" s="450"/>
      <c r="AU313" s="450"/>
      <c r="AV313" s="450"/>
      <c r="AW313" s="450"/>
      <c r="AX313" s="468"/>
      <c r="AY313" s="468"/>
      <c r="AZ313" s="614"/>
      <c r="BA313" s="614">
        <v>0.0</v>
      </c>
      <c r="BB313" s="614">
        <v>203279.42</v>
      </c>
      <c r="BC313" s="614">
        <v>316024.1</v>
      </c>
      <c r="BD313" s="450">
        <v>197428.65</v>
      </c>
      <c r="BE313" s="450">
        <v>198708.34</v>
      </c>
      <c r="BF313" s="450">
        <v>199285.11</v>
      </c>
      <c r="BG313" s="450">
        <v>386283.3943</v>
      </c>
      <c r="BH313" s="450">
        <v>339331.71</v>
      </c>
      <c r="BI313" s="450">
        <v>286876.09</v>
      </c>
      <c r="BJ313" s="450">
        <v>257197.3</v>
      </c>
      <c r="BK313" s="450">
        <v>259892.53</v>
      </c>
      <c r="BL313" s="450">
        <v>262943.06</v>
      </c>
      <c r="BM313" s="450">
        <v>265583.85</v>
      </c>
      <c r="BN313" s="450">
        <v>287268.04</v>
      </c>
      <c r="BO313" s="450">
        <v>240839.23</v>
      </c>
      <c r="BP313" s="450">
        <v>228268.41</v>
      </c>
      <c r="BQ313" s="450">
        <v>230110.92</v>
      </c>
      <c r="BR313" s="450">
        <v>217513.04</v>
      </c>
      <c r="BS313" s="615">
        <f t="array" ref="BS313">XLOOKUP(D313,'PL TOTAL XP'!A:A,'PL TOTAL XP'!C:C,"0")</f>
        <v>94655.65</v>
      </c>
      <c r="BT313" s="616"/>
    </row>
    <row r="314" ht="15.75" customHeight="1">
      <c r="A314" s="183" t="s">
        <v>3820</v>
      </c>
      <c r="B314" s="78" t="s">
        <v>1577</v>
      </c>
      <c r="C314" s="564" t="s">
        <v>4791</v>
      </c>
      <c r="D314" s="653">
        <v>9215559.0</v>
      </c>
      <c r="E314" s="522" t="s">
        <v>18</v>
      </c>
      <c r="F314" s="511" t="s">
        <v>19</v>
      </c>
      <c r="G314" s="511" t="s">
        <v>122</v>
      </c>
      <c r="H314" s="512" t="str">
        <f>IFERROR(VLOOKUP(G314,'Cadastro de assessores'!A:B,2,FALSE),"Não Cadastrado")</f>
        <v>18890</v>
      </c>
      <c r="I314" s="511"/>
      <c r="J314" s="51" t="s">
        <v>3823</v>
      </c>
      <c r="K314" s="522"/>
      <c r="L314" s="567"/>
      <c r="M314" s="567"/>
      <c r="N314" s="567"/>
      <c r="O314" s="566" t="s">
        <v>3840</v>
      </c>
      <c r="P314" s="612">
        <v>0.025</v>
      </c>
      <c r="Q314" s="620" t="s">
        <v>3932</v>
      </c>
      <c r="R314" s="613"/>
      <c r="S314" s="522"/>
      <c r="T314" s="522"/>
      <c r="U314" s="522"/>
      <c r="V314" s="522" t="s">
        <v>19</v>
      </c>
      <c r="W314" s="614"/>
      <c r="X314" s="614"/>
      <c r="Y314" s="614"/>
      <c r="Z314" s="614"/>
      <c r="AA314" s="614"/>
      <c r="AB314" s="614"/>
      <c r="AC314" s="614"/>
      <c r="AD314" s="614"/>
      <c r="AE314" s="614"/>
      <c r="AF314" s="614"/>
      <c r="AG314" s="614"/>
      <c r="AH314" s="614"/>
      <c r="AI314" s="614"/>
      <c r="AJ314" s="614"/>
      <c r="AK314" s="450"/>
      <c r="AL314" s="450"/>
      <c r="AM314" s="450"/>
      <c r="AN314" s="450"/>
      <c r="AO314" s="450"/>
      <c r="AP314" s="450"/>
      <c r="AQ314" s="450"/>
      <c r="AR314" s="450"/>
      <c r="AS314" s="450"/>
      <c r="AT314" s="450"/>
      <c r="AU314" s="450"/>
      <c r="AV314" s="450"/>
      <c r="AW314" s="450"/>
      <c r="AX314" s="450"/>
      <c r="AY314" s="450"/>
      <c r="AZ314" s="450"/>
      <c r="BA314" s="450"/>
      <c r="BB314" s="450"/>
      <c r="BC314" s="450"/>
      <c r="BD314" s="450"/>
      <c r="BE314" s="450"/>
      <c r="BF314" s="450"/>
      <c r="BG314" s="450"/>
      <c r="BH314" s="450">
        <v>30564.99</v>
      </c>
      <c r="BI314" s="450">
        <v>34957.56</v>
      </c>
      <c r="BJ314" s="450">
        <v>37382.33</v>
      </c>
      <c r="BK314" s="450">
        <v>37471.02</v>
      </c>
      <c r="BL314" s="450">
        <v>11664.07</v>
      </c>
      <c r="BM314" s="450">
        <v>0.0</v>
      </c>
      <c r="BN314" s="450">
        <v>0.0</v>
      </c>
      <c r="BO314" s="450">
        <v>0.0</v>
      </c>
      <c r="BP314" s="450">
        <v>0.0</v>
      </c>
      <c r="BQ314" s="450">
        <v>0.0</v>
      </c>
      <c r="BR314" s="450">
        <v>0.0</v>
      </c>
      <c r="BS314" s="615">
        <f t="array" ref="BS314">XLOOKUP(D314,'PL TOTAL XP'!A:A,'PL TOTAL XP'!C:C,"0")</f>
        <v>0</v>
      </c>
      <c r="BT314" s="616"/>
    </row>
    <row r="315" ht="15.75" customHeight="1">
      <c r="A315" s="183" t="s">
        <v>3820</v>
      </c>
      <c r="B315" s="78" t="s">
        <v>4792</v>
      </c>
      <c r="C315" s="564" t="s">
        <v>4793</v>
      </c>
      <c r="D315" s="566">
        <v>5752123.0</v>
      </c>
      <c r="E315" s="522" t="s">
        <v>18</v>
      </c>
      <c r="F315" s="511" t="s">
        <v>29</v>
      </c>
      <c r="G315" s="511" t="s">
        <v>3827</v>
      </c>
      <c r="H315" s="511" t="str">
        <f>IFERROR(VLOOKUP(G315,'Cadastro de assessores'!A:B,2,FALSE),"Não Cadastrado")</f>
        <v>17679</v>
      </c>
      <c r="I315" s="511"/>
      <c r="J315" s="51" t="s">
        <v>186</v>
      </c>
      <c r="K315" s="522" t="s">
        <v>2563</v>
      </c>
      <c r="L315" s="567">
        <v>44384.0</v>
      </c>
      <c r="M315" s="567">
        <v>44384.0</v>
      </c>
      <c r="N315" s="567">
        <v>44455.0</v>
      </c>
      <c r="O315" s="566" t="s">
        <v>3834</v>
      </c>
      <c r="P315" s="612">
        <v>0.007</v>
      </c>
      <c r="Q315" s="620" t="s">
        <v>4794</v>
      </c>
      <c r="R315" s="613"/>
      <c r="S315" s="522" t="str">
        <f t="shared" ref="S315:S316" si="34">IF(BC315&lt;=0,"",IF(BC315&lt;=1000000,"Não Qualificado",IF(AND(BC315&gt;1000000,BC315&lt;=10000000),"Qualificado","Profissional")))</f>
        <v>Não Qualificado</v>
      </c>
      <c r="T315" s="522" t="s">
        <v>108</v>
      </c>
      <c r="U315" s="522" t="s">
        <v>4240</v>
      </c>
      <c r="V315" s="522" t="s">
        <v>3672</v>
      </c>
      <c r="W315" s="614"/>
      <c r="X315" s="614"/>
      <c r="Y315" s="614"/>
      <c r="Z315" s="614"/>
      <c r="AA315" s="614"/>
      <c r="AB315" s="614"/>
      <c r="AC315" s="614"/>
      <c r="AD315" s="614"/>
      <c r="AE315" s="614"/>
      <c r="AF315" s="614"/>
      <c r="AG315" s="614"/>
      <c r="AH315" s="614"/>
      <c r="AI315" s="614"/>
      <c r="AJ315" s="614"/>
      <c r="AK315" s="450"/>
      <c r="AL315" s="450"/>
      <c r="AM315" s="450"/>
      <c r="AN315" s="450"/>
      <c r="AO315" s="450"/>
      <c r="AP315" s="450"/>
      <c r="AQ315" s="450"/>
      <c r="AR315" s="450"/>
      <c r="AS315" s="450"/>
      <c r="AT315" s="450">
        <v>120381.92</v>
      </c>
      <c r="AU315" s="450">
        <v>120980.48</v>
      </c>
      <c r="AV315" s="450"/>
      <c r="AW315" s="450"/>
      <c r="AX315" s="450"/>
      <c r="AY315" s="450"/>
      <c r="AZ315" s="450"/>
      <c r="BA315" s="450">
        <v>0.0</v>
      </c>
      <c r="BB315" s="450">
        <v>0.0</v>
      </c>
      <c r="BC315" s="450">
        <v>144644.89</v>
      </c>
      <c r="BD315" s="450" t="s">
        <v>2566</v>
      </c>
      <c r="BE315" s="450" t="s">
        <v>2566</v>
      </c>
      <c r="BF315" s="450">
        <v>0.0</v>
      </c>
      <c r="BG315" s="450">
        <v>0.0</v>
      </c>
      <c r="BH315" s="450">
        <v>0.0</v>
      </c>
      <c r="BI315" s="450">
        <v>0.0</v>
      </c>
      <c r="BJ315" s="450">
        <v>0.0</v>
      </c>
      <c r="BK315" s="450">
        <v>0.0</v>
      </c>
      <c r="BL315" s="450">
        <v>0.0</v>
      </c>
      <c r="BM315" s="450">
        <v>0.0</v>
      </c>
      <c r="BN315" s="450">
        <v>0.0</v>
      </c>
      <c r="BO315" s="450">
        <v>0.0</v>
      </c>
      <c r="BP315" s="450">
        <v>0.0</v>
      </c>
      <c r="BQ315" s="450">
        <v>0.0</v>
      </c>
      <c r="BR315" s="450">
        <v>0.0</v>
      </c>
      <c r="BS315" s="615" t="str">
        <f t="array" ref="BS315">XLOOKUP(D315,'PL TOTAL XP'!A:A,'PL TOTAL XP'!C:C,"0")</f>
        <v>0</v>
      </c>
      <c r="BT315" s="616"/>
    </row>
    <row r="316" ht="15.75" customHeight="1">
      <c r="A316" s="183" t="s">
        <v>3820</v>
      </c>
      <c r="B316" s="78" t="s">
        <v>4795</v>
      </c>
      <c r="C316" s="617" t="s">
        <v>4796</v>
      </c>
      <c r="D316" s="522">
        <v>4636125.0</v>
      </c>
      <c r="E316" s="512" t="s">
        <v>18</v>
      </c>
      <c r="F316" s="512" t="s">
        <v>29</v>
      </c>
      <c r="G316" s="512" t="s">
        <v>294</v>
      </c>
      <c r="H316" s="512">
        <f>IFERROR(VLOOKUP(G316,'Cadastro de assessores'!A:B,2,FALSE),"Não Cadastrado")</f>
        <v>12359</v>
      </c>
      <c r="I316" s="512"/>
      <c r="J316" s="51" t="s">
        <v>3823</v>
      </c>
      <c r="K316" s="512" t="s">
        <v>107</v>
      </c>
      <c r="L316" s="610">
        <v>44215.0</v>
      </c>
      <c r="M316" s="610">
        <v>44215.0</v>
      </c>
      <c r="N316" s="566"/>
      <c r="O316" s="566" t="s">
        <v>3824</v>
      </c>
      <c r="P316" s="612">
        <v>0.02</v>
      </c>
      <c r="Q316" s="620" t="s">
        <v>3924</v>
      </c>
      <c r="R316" s="613"/>
      <c r="S316" s="522" t="str">
        <f t="shared" si="34"/>
        <v>Não Qualificado</v>
      </c>
      <c r="T316" s="522" t="s">
        <v>108</v>
      </c>
      <c r="U316" s="522" t="s">
        <v>2614</v>
      </c>
      <c r="V316" s="522" t="s">
        <v>29</v>
      </c>
      <c r="W316" s="614"/>
      <c r="X316" s="614"/>
      <c r="Y316" s="614"/>
      <c r="Z316" s="614"/>
      <c r="AA316" s="614"/>
      <c r="AB316" s="614"/>
      <c r="AC316" s="614"/>
      <c r="AD316" s="614"/>
      <c r="AE316" s="614"/>
      <c r="AF316" s="614"/>
      <c r="AG316" s="614"/>
      <c r="AH316" s="614" t="s">
        <v>3830</v>
      </c>
      <c r="AI316" s="614" t="s">
        <v>3830</v>
      </c>
      <c r="AJ316" s="614" t="s">
        <v>4797</v>
      </c>
      <c r="AK316" s="450">
        <v>71242.6</v>
      </c>
      <c r="AL316" s="450">
        <v>99603.65</v>
      </c>
      <c r="AM316" s="450">
        <v>282852.81</v>
      </c>
      <c r="AN316" s="450">
        <v>282223.17</v>
      </c>
      <c r="AO316" s="450">
        <v>295719.25</v>
      </c>
      <c r="AP316" s="450">
        <v>298229.53</v>
      </c>
      <c r="AQ316" s="450">
        <v>296338.72</v>
      </c>
      <c r="AR316" s="450">
        <v>306037.4</v>
      </c>
      <c r="AS316" s="450">
        <v>302715.34</v>
      </c>
      <c r="AT316" s="450">
        <v>293033.03</v>
      </c>
      <c r="AU316" s="450">
        <v>289701.01</v>
      </c>
      <c r="AV316" s="450">
        <v>280538.17</v>
      </c>
      <c r="AW316" s="450">
        <v>265079.39</v>
      </c>
      <c r="AX316" s="450">
        <v>264229.68</v>
      </c>
      <c r="AY316" s="450">
        <v>268418.53</v>
      </c>
      <c r="AZ316" s="450">
        <v>277987.65</v>
      </c>
      <c r="BA316" s="450">
        <v>280486.8</v>
      </c>
      <c r="BB316" s="450">
        <v>294172.1</v>
      </c>
      <c r="BC316" s="450">
        <v>90351.4</v>
      </c>
      <c r="BD316" s="450">
        <v>248103.57</v>
      </c>
      <c r="BE316" s="450">
        <v>241908.2</v>
      </c>
      <c r="BF316" s="450">
        <v>250661.74</v>
      </c>
      <c r="BG316" s="450">
        <v>231363.6937</v>
      </c>
      <c r="BH316" s="450">
        <v>229237.76</v>
      </c>
      <c r="BI316" s="450">
        <v>18994.52</v>
      </c>
      <c r="BJ316" s="450">
        <v>18729.51</v>
      </c>
      <c r="BK316" s="450">
        <v>18685.36</v>
      </c>
      <c r="BL316" s="450">
        <v>19638.44</v>
      </c>
      <c r="BM316" s="450">
        <v>19781.8</v>
      </c>
      <c r="BN316" s="450">
        <v>0.0</v>
      </c>
      <c r="BO316" s="450">
        <v>0.0</v>
      </c>
      <c r="BP316" s="450">
        <v>0.0</v>
      </c>
      <c r="BQ316" s="450">
        <v>0.0</v>
      </c>
      <c r="BR316" s="450">
        <v>0.0</v>
      </c>
      <c r="BS316" s="615" t="str">
        <f t="array" ref="BS316">XLOOKUP(D316,'PL TOTAL XP'!A:A,'PL TOTAL XP'!C:C,"0")</f>
        <v>0</v>
      </c>
      <c r="BT316" s="616"/>
    </row>
    <row r="317" ht="15.75" customHeight="1">
      <c r="A317" s="183" t="s">
        <v>3820</v>
      </c>
      <c r="B317" s="78" t="s">
        <v>1601</v>
      </c>
      <c r="C317" s="617" t="s">
        <v>1599</v>
      </c>
      <c r="D317" s="522">
        <v>9098658.0</v>
      </c>
      <c r="E317" s="512" t="s">
        <v>18</v>
      </c>
      <c r="F317" s="512" t="s">
        <v>19</v>
      </c>
      <c r="G317" s="512" t="s">
        <v>20</v>
      </c>
      <c r="H317" s="512">
        <f>IFERROR(VLOOKUP(G317,'Cadastro de assessores'!A:B,2,FALSE),"Não Cadastrado")</f>
        <v>12331</v>
      </c>
      <c r="I317" s="512"/>
      <c r="J317" s="51" t="s">
        <v>3823</v>
      </c>
      <c r="K317" s="512" t="s">
        <v>107</v>
      </c>
      <c r="L317" s="611">
        <v>44795.0</v>
      </c>
      <c r="M317" s="611">
        <v>44795.0</v>
      </c>
      <c r="N317" s="522"/>
      <c r="O317" s="522" t="s">
        <v>3834</v>
      </c>
      <c r="P317" s="612">
        <v>0.007</v>
      </c>
      <c r="Q317" s="620" t="s">
        <v>4798</v>
      </c>
      <c r="R317" s="613"/>
      <c r="S317" s="522"/>
      <c r="T317" s="522" t="s">
        <v>108</v>
      </c>
      <c r="U317" s="522"/>
      <c r="V317" s="522" t="s">
        <v>152</v>
      </c>
      <c r="W317" s="614"/>
      <c r="X317" s="614"/>
      <c r="Y317" s="614"/>
      <c r="Z317" s="614"/>
      <c r="AA317" s="614"/>
      <c r="AB317" s="614"/>
      <c r="AC317" s="614"/>
      <c r="AD317" s="614"/>
      <c r="AE317" s="614"/>
      <c r="AF317" s="614"/>
      <c r="AG317" s="614"/>
      <c r="AH317" s="614"/>
      <c r="AI317" s="614"/>
      <c r="AJ317" s="614"/>
      <c r="AK317" s="450"/>
      <c r="AL317" s="450"/>
      <c r="AM317" s="450"/>
      <c r="AN317" s="450"/>
      <c r="AO317" s="450"/>
      <c r="AP317" s="450"/>
      <c r="AQ317" s="450"/>
      <c r="AR317" s="450"/>
      <c r="AS317" s="450"/>
      <c r="AT317" s="450"/>
      <c r="AU317" s="450"/>
      <c r="AV317" s="450"/>
      <c r="AW317" s="450"/>
      <c r="AX317" s="450"/>
      <c r="AY317" s="450"/>
      <c r="AZ317" s="450"/>
      <c r="BA317" s="450"/>
      <c r="BB317" s="450"/>
      <c r="BC317" s="450"/>
      <c r="BD317" s="450"/>
      <c r="BE317" s="450"/>
      <c r="BF317" s="450"/>
      <c r="BG317" s="450">
        <v>200683.6924</v>
      </c>
      <c r="BH317" s="450">
        <v>202691.78</v>
      </c>
      <c r="BI317" s="450">
        <v>204679.61</v>
      </c>
      <c r="BJ317" s="450">
        <v>206503.16</v>
      </c>
      <c r="BK317" s="450">
        <v>208393.24</v>
      </c>
      <c r="BL317" s="450">
        <v>210649.9</v>
      </c>
      <c r="BM317" s="450">
        <v>212295.67</v>
      </c>
      <c r="BN317" s="450">
        <v>437.47</v>
      </c>
      <c r="BO317" s="450">
        <v>437.47</v>
      </c>
      <c r="BP317" s="450">
        <v>437.47</v>
      </c>
      <c r="BQ317" s="450">
        <v>437.47</v>
      </c>
      <c r="BR317" s="450">
        <v>437.47</v>
      </c>
      <c r="BS317" s="615" t="str">
        <f t="array" ref="BS317">XLOOKUP(D317,'PL TOTAL XP'!A:A,'PL TOTAL XP'!C:C,"0")</f>
        <v>0</v>
      </c>
      <c r="BT317" s="616"/>
    </row>
    <row r="318" ht="15.75" customHeight="1">
      <c r="A318" s="183" t="s">
        <v>3820</v>
      </c>
      <c r="B318" s="78" t="s">
        <v>3175</v>
      </c>
      <c r="C318" s="617" t="s">
        <v>3172</v>
      </c>
      <c r="D318" s="522">
        <v>4588112.0</v>
      </c>
      <c r="E318" s="512" t="s">
        <v>18</v>
      </c>
      <c r="F318" s="512" t="s">
        <v>29</v>
      </c>
      <c r="G318" s="512" t="s">
        <v>2605</v>
      </c>
      <c r="H318" s="512" t="str">
        <f>IFERROR(VLOOKUP(G318,'Cadastro de assessores'!A:B,2,FALSE),"Não Cadastrado")</f>
        <v>18836</v>
      </c>
      <c r="I318" s="512"/>
      <c r="J318" s="46" t="s">
        <v>107</v>
      </c>
      <c r="K318" s="512" t="s">
        <v>107</v>
      </c>
      <c r="L318" s="611">
        <v>44144.0</v>
      </c>
      <c r="M318" s="611">
        <v>44148.0</v>
      </c>
      <c r="N318" s="522"/>
      <c r="O318" s="522" t="s">
        <v>3836</v>
      </c>
      <c r="P318" s="612">
        <v>0.012</v>
      </c>
      <c r="Q318" s="620"/>
      <c r="R318" s="613"/>
      <c r="S318" s="522" t="str">
        <f t="shared" ref="S318:S325" si="35">IF(BC318&lt;=0,"",IF(BC318&lt;=1000000,"Não Qualificado",IF(AND(BC318&gt;1000000,BC318&lt;=10000000),"Qualificado","Profissional")))</f>
        <v>Não Qualificado</v>
      </c>
      <c r="T318" s="522" t="s">
        <v>108</v>
      </c>
      <c r="U318" s="522" t="s">
        <v>2664</v>
      </c>
      <c r="V318" s="522" t="s">
        <v>791</v>
      </c>
      <c r="W318" s="614" t="s">
        <v>3830</v>
      </c>
      <c r="X318" s="614" t="s">
        <v>3830</v>
      </c>
      <c r="Y318" s="614" t="s">
        <v>3830</v>
      </c>
      <c r="Z318" s="614" t="s">
        <v>3830</v>
      </c>
      <c r="AA318" s="614" t="s">
        <v>3830</v>
      </c>
      <c r="AB318" s="614" t="s">
        <v>3830</v>
      </c>
      <c r="AC318" s="614" t="s">
        <v>3830</v>
      </c>
      <c r="AD318" s="614" t="s">
        <v>3830</v>
      </c>
      <c r="AE318" s="614" t="s">
        <v>3830</v>
      </c>
      <c r="AF318" s="614" t="s">
        <v>3830</v>
      </c>
      <c r="AG318" s="614" t="s">
        <v>3830</v>
      </c>
      <c r="AH318" s="614"/>
      <c r="AI318" s="614"/>
      <c r="AJ318" s="614" t="s">
        <v>4797</v>
      </c>
      <c r="AK318" s="450"/>
      <c r="AL318" s="450"/>
      <c r="AM318" s="450">
        <v>107414.67</v>
      </c>
      <c r="AN318" s="450">
        <v>107328.47</v>
      </c>
      <c r="AO318" s="450">
        <v>109205.15</v>
      </c>
      <c r="AP318" s="450">
        <v>109600.12</v>
      </c>
      <c r="AQ318" s="450">
        <v>109269.47</v>
      </c>
      <c r="AR318" s="450">
        <v>110797.67</v>
      </c>
      <c r="AS318" s="450">
        <v>110586.18</v>
      </c>
      <c r="AT318" s="450">
        <v>124435.38</v>
      </c>
      <c r="AU318" s="450">
        <v>144196.93</v>
      </c>
      <c r="AV318" s="450">
        <v>164009.35</v>
      </c>
      <c r="AW318" s="450">
        <v>168978.84</v>
      </c>
      <c r="AX318" s="450">
        <v>252039.81</v>
      </c>
      <c r="AY318" s="450">
        <v>294457.55</v>
      </c>
      <c r="AZ318" s="450">
        <v>340523.57</v>
      </c>
      <c r="BA318" s="450">
        <v>353255.04</v>
      </c>
      <c r="BB318" s="450">
        <v>371639.07</v>
      </c>
      <c r="BC318" s="450">
        <v>530537.43</v>
      </c>
      <c r="BD318" s="450">
        <v>394200.21</v>
      </c>
      <c r="BE318" s="450">
        <v>414724.95</v>
      </c>
      <c r="BF318" s="450">
        <v>430305.69</v>
      </c>
      <c r="BG318" s="450">
        <v>433533.6309</v>
      </c>
      <c r="BH318" s="450">
        <v>435866.4</v>
      </c>
      <c r="BI318" s="450">
        <v>465295.94</v>
      </c>
      <c r="BJ318" s="450">
        <v>476264.18</v>
      </c>
      <c r="BK318" s="450">
        <v>490285.08</v>
      </c>
      <c r="BL318" s="450">
        <v>505198.14</v>
      </c>
      <c r="BM318" s="450">
        <v>508589.76</v>
      </c>
      <c r="BN318" s="450">
        <v>619944.7</v>
      </c>
      <c r="BO318" s="450">
        <v>625401.07</v>
      </c>
      <c r="BP318" s="450">
        <v>630796.23</v>
      </c>
      <c r="BQ318" s="450">
        <v>635222.94</v>
      </c>
      <c r="BR318" s="450">
        <v>167814.15</v>
      </c>
      <c r="BS318" s="615">
        <f t="array" ref="BS318">XLOOKUP(D318,'PL TOTAL XP'!A:A,'PL TOTAL XP'!C:C,"0")</f>
        <v>467630.55</v>
      </c>
      <c r="BT318" s="616"/>
    </row>
    <row r="319" ht="15.75" customHeight="1">
      <c r="A319" s="183" t="s">
        <v>3820</v>
      </c>
      <c r="B319" s="78" t="s">
        <v>4799</v>
      </c>
      <c r="C319" s="564" t="s">
        <v>4800</v>
      </c>
      <c r="D319" s="623">
        <v>7046512.0</v>
      </c>
      <c r="E319" s="512" t="s">
        <v>105</v>
      </c>
      <c r="F319" s="512" t="s">
        <v>29</v>
      </c>
      <c r="G319" s="512" t="s">
        <v>3887</v>
      </c>
      <c r="H319" s="512" t="str">
        <f>IFERROR(VLOOKUP(G319,'Cadastro de assessores'!A:B,2,FALSE),"Não Cadastrado")</f>
        <v>1298</v>
      </c>
      <c r="I319" s="512"/>
      <c r="J319" s="51" t="s">
        <v>186</v>
      </c>
      <c r="K319" s="512" t="s">
        <v>107</v>
      </c>
      <c r="L319" s="610">
        <v>44673.0</v>
      </c>
      <c r="M319" s="610">
        <v>44673.0</v>
      </c>
      <c r="N319" s="630">
        <v>44994.0</v>
      </c>
      <c r="O319" s="627" t="s">
        <v>3836</v>
      </c>
      <c r="P319" s="612">
        <v>0.012</v>
      </c>
      <c r="Q319" s="224" t="s">
        <v>4801</v>
      </c>
      <c r="R319" s="613"/>
      <c r="S319" s="522" t="str">
        <f t="shared" si="35"/>
        <v>Não Qualificado</v>
      </c>
      <c r="T319" s="566" t="s">
        <v>369</v>
      </c>
      <c r="U319" s="566" t="s">
        <v>4802</v>
      </c>
      <c r="V319" s="566" t="s">
        <v>152</v>
      </c>
      <c r="W319" s="468"/>
      <c r="X319" s="468"/>
      <c r="Y319" s="468"/>
      <c r="Z319" s="468"/>
      <c r="AA319" s="468"/>
      <c r="AB319" s="468"/>
      <c r="AC319" s="468"/>
      <c r="AD319" s="468"/>
      <c r="AE319" s="468"/>
      <c r="AF319" s="468"/>
      <c r="AG319" s="614"/>
      <c r="AH319" s="614"/>
      <c r="AI319" s="614"/>
      <c r="AJ319" s="450"/>
      <c r="AK319" s="450"/>
      <c r="AL319" s="450"/>
      <c r="AM319" s="683"/>
      <c r="AN319" s="683"/>
      <c r="AO319" s="450"/>
      <c r="AP319" s="450"/>
      <c r="AQ319" s="450"/>
      <c r="AR319" s="450"/>
      <c r="AS319" s="450"/>
      <c r="AT319" s="450"/>
      <c r="AU319" s="450"/>
      <c r="AV319" s="450"/>
      <c r="AW319" s="468"/>
      <c r="AX319" s="449"/>
      <c r="AY319" s="449"/>
      <c r="AZ319" s="450"/>
      <c r="BA319" s="450"/>
      <c r="BB319" s="450"/>
      <c r="BC319" s="450">
        <v>72021.58</v>
      </c>
      <c r="BD319" s="450">
        <v>249325.31</v>
      </c>
      <c r="BE319" s="450">
        <v>249447.19</v>
      </c>
      <c r="BF319" s="450">
        <v>252090.88</v>
      </c>
      <c r="BG319" s="450">
        <v>253423.9628</v>
      </c>
      <c r="BH319" s="450">
        <v>255315.7</v>
      </c>
      <c r="BI319" s="450">
        <v>259776.68</v>
      </c>
      <c r="BJ319" s="450">
        <v>230397.37</v>
      </c>
      <c r="BK319" s="450">
        <v>232085.87</v>
      </c>
      <c r="BL319" s="450">
        <v>234667.14</v>
      </c>
      <c r="BM319" s="450">
        <v>0.0</v>
      </c>
      <c r="BN319" s="450">
        <v>239490.04</v>
      </c>
      <c r="BO319" s="450">
        <v>161440.75</v>
      </c>
      <c r="BP319" s="450">
        <v>130216.12</v>
      </c>
      <c r="BQ319" s="450">
        <v>131208.74</v>
      </c>
      <c r="BR319" s="450">
        <v>0.0</v>
      </c>
      <c r="BS319" s="615">
        <f t="array" ref="BS319">XLOOKUP(D319,'PL TOTAL XP'!A:A,'PL TOTAL XP'!C:C,"0")</f>
        <v>0</v>
      </c>
      <c r="BT319" s="616"/>
    </row>
    <row r="320" ht="15.75" customHeight="1">
      <c r="A320" s="183" t="s">
        <v>3820</v>
      </c>
      <c r="B320" s="78" t="s">
        <v>1631</v>
      </c>
      <c r="C320" s="617" t="s">
        <v>4803</v>
      </c>
      <c r="D320" s="522">
        <v>4616618.0</v>
      </c>
      <c r="E320" s="512" t="s">
        <v>105</v>
      </c>
      <c r="F320" s="512" t="s">
        <v>29</v>
      </c>
      <c r="G320" s="512" t="s">
        <v>4465</v>
      </c>
      <c r="H320" s="512" t="str">
        <f>IFERROR(VLOOKUP(G320,'Cadastro de assessores'!A:B,2,FALSE),"Não Cadastrado")</f>
        <v>14091</v>
      </c>
      <c r="I320" s="512"/>
      <c r="J320" s="51" t="s">
        <v>3823</v>
      </c>
      <c r="K320" s="512" t="s">
        <v>107</v>
      </c>
      <c r="L320" s="611">
        <v>44154.0</v>
      </c>
      <c r="M320" s="611">
        <v>44159.0</v>
      </c>
      <c r="N320" s="522"/>
      <c r="O320" s="522" t="s">
        <v>3836</v>
      </c>
      <c r="P320" s="612">
        <v>0.012</v>
      </c>
      <c r="Q320" s="620" t="s">
        <v>4804</v>
      </c>
      <c r="R320" s="613"/>
      <c r="S320" s="522" t="str">
        <f t="shared" si="35"/>
        <v>Não Qualificado</v>
      </c>
      <c r="T320" s="522" t="s">
        <v>108</v>
      </c>
      <c r="U320" s="522" t="s">
        <v>2614</v>
      </c>
      <c r="V320" s="522" t="s">
        <v>29</v>
      </c>
      <c r="W320" s="614" t="s">
        <v>3830</v>
      </c>
      <c r="X320" s="614" t="s">
        <v>3830</v>
      </c>
      <c r="Y320" s="614" t="s">
        <v>3830</v>
      </c>
      <c r="Z320" s="614" t="s">
        <v>3830</v>
      </c>
      <c r="AA320" s="614" t="s">
        <v>3830</v>
      </c>
      <c r="AB320" s="614" t="s">
        <v>3830</v>
      </c>
      <c r="AC320" s="614" t="s">
        <v>3830</v>
      </c>
      <c r="AD320" s="614" t="s">
        <v>3830</v>
      </c>
      <c r="AE320" s="614" t="s">
        <v>3830</v>
      </c>
      <c r="AF320" s="614" t="s">
        <v>3830</v>
      </c>
      <c r="AG320" s="614" t="s">
        <v>3830</v>
      </c>
      <c r="AH320" s="614" t="s">
        <v>3830</v>
      </c>
      <c r="AI320" s="614" t="s">
        <v>3830</v>
      </c>
      <c r="AJ320" s="614" t="s">
        <v>4805</v>
      </c>
      <c r="AK320" s="450">
        <v>102155.66</v>
      </c>
      <c r="AL320" s="450">
        <v>100585.08</v>
      </c>
      <c r="AM320" s="450">
        <v>290025.61</v>
      </c>
      <c r="AN320" s="450">
        <v>290081.49</v>
      </c>
      <c r="AO320" s="450">
        <v>298827.07</v>
      </c>
      <c r="AP320" s="450">
        <v>300676.65</v>
      </c>
      <c r="AQ320" s="450">
        <v>299456.77</v>
      </c>
      <c r="AR320" s="450">
        <v>306777.4</v>
      </c>
      <c r="AS320" s="450">
        <v>304393.64</v>
      </c>
      <c r="AT320" s="450">
        <v>298279.14</v>
      </c>
      <c r="AU320" s="450">
        <v>296464.05</v>
      </c>
      <c r="AV320" s="450">
        <v>291379.14</v>
      </c>
      <c r="AW320" s="450">
        <v>280232.55</v>
      </c>
      <c r="AX320" s="450">
        <v>280772.16</v>
      </c>
      <c r="AY320" s="450">
        <v>284131.72</v>
      </c>
      <c r="AZ320" s="450">
        <v>290201.62</v>
      </c>
      <c r="BA320" s="450">
        <v>292353.28</v>
      </c>
      <c r="BB320" s="450">
        <v>302003.69</v>
      </c>
      <c r="BC320" s="450">
        <v>397682.34</v>
      </c>
      <c r="BD320" s="450">
        <v>303692.95</v>
      </c>
      <c r="BE320" s="450">
        <v>304488.47</v>
      </c>
      <c r="BF320" s="450">
        <v>308229.09</v>
      </c>
      <c r="BG320" s="450">
        <v>309307.947</v>
      </c>
      <c r="BH320" s="450">
        <v>311362.16</v>
      </c>
      <c r="BI320" s="450">
        <v>318946.91</v>
      </c>
      <c r="BJ320" s="450">
        <v>319335.85</v>
      </c>
      <c r="BK320" s="450">
        <v>321893.05</v>
      </c>
      <c r="BL320" s="450">
        <v>325689.12</v>
      </c>
      <c r="BM320" s="450">
        <v>91701.25</v>
      </c>
      <c r="BN320" s="450">
        <v>0.0</v>
      </c>
      <c r="BO320" s="450">
        <v>0.0</v>
      </c>
      <c r="BP320" s="450">
        <v>0.0</v>
      </c>
      <c r="BQ320" s="450">
        <v>0.0</v>
      </c>
      <c r="BR320" s="450">
        <v>0.0</v>
      </c>
      <c r="BS320" s="615">
        <f t="array" ref="BS320">XLOOKUP(D320,'PL TOTAL XP'!A:A,'PL TOTAL XP'!C:C,"0")</f>
        <v>0</v>
      </c>
      <c r="BT320" s="616"/>
    </row>
    <row r="321" ht="15.75" customHeight="1">
      <c r="A321" s="183" t="s">
        <v>3820</v>
      </c>
      <c r="B321" s="78" t="s">
        <v>1631</v>
      </c>
      <c r="C321" s="617" t="s">
        <v>4803</v>
      </c>
      <c r="D321" s="522">
        <v>4859015.0</v>
      </c>
      <c r="E321" s="512" t="s">
        <v>105</v>
      </c>
      <c r="F321" s="512" t="s">
        <v>29</v>
      </c>
      <c r="G321" s="512" t="s">
        <v>4465</v>
      </c>
      <c r="H321" s="512" t="str">
        <f>IFERROR(VLOOKUP(G321,'Cadastro de assessores'!A:B,2,FALSE),"Não Cadastrado")</f>
        <v>14091</v>
      </c>
      <c r="I321" s="512"/>
      <c r="J321" s="51" t="s">
        <v>3823</v>
      </c>
      <c r="K321" s="512" t="s">
        <v>107</v>
      </c>
      <c r="L321" s="610">
        <v>44239.0</v>
      </c>
      <c r="M321" s="610">
        <v>44239.0</v>
      </c>
      <c r="N321" s="566"/>
      <c r="O321" s="566" t="s">
        <v>3869</v>
      </c>
      <c r="P321" s="612">
        <v>0.008</v>
      </c>
      <c r="Q321" s="620"/>
      <c r="R321" s="613"/>
      <c r="S321" s="522" t="str">
        <f t="shared" si="35"/>
        <v/>
      </c>
      <c r="T321" s="522" t="s">
        <v>108</v>
      </c>
      <c r="U321" s="522" t="s">
        <v>2614</v>
      </c>
      <c r="V321" s="522" t="s">
        <v>29</v>
      </c>
      <c r="W321" s="614"/>
      <c r="X321" s="614"/>
      <c r="Y321" s="614"/>
      <c r="Z321" s="614"/>
      <c r="AA321" s="614"/>
      <c r="AB321" s="614"/>
      <c r="AC321" s="614"/>
      <c r="AD321" s="614"/>
      <c r="AE321" s="614"/>
      <c r="AF321" s="614"/>
      <c r="AG321" s="614"/>
      <c r="AH321" s="614"/>
      <c r="AI321" s="614"/>
      <c r="AJ321" s="614"/>
      <c r="AK321" s="450"/>
      <c r="AL321" s="450"/>
      <c r="AM321" s="450">
        <v>198727.5</v>
      </c>
      <c r="AN321" s="450">
        <v>192314.93</v>
      </c>
      <c r="AO321" s="450">
        <v>190919.89</v>
      </c>
      <c r="AP321" s="450">
        <v>191073.82</v>
      </c>
      <c r="AQ321" s="450">
        <v>192000.39</v>
      </c>
      <c r="AR321" s="450">
        <v>188773.71</v>
      </c>
      <c r="AS321" s="450">
        <v>186275.5</v>
      </c>
      <c r="AT321" s="450">
        <v>190107.97</v>
      </c>
      <c r="AU321" s="450">
        <v>184208.08</v>
      </c>
      <c r="AV321" s="450">
        <v>184212.78</v>
      </c>
      <c r="AW321" s="450">
        <v>180716.23</v>
      </c>
      <c r="AX321" s="450">
        <v>171724.43</v>
      </c>
      <c r="AY321" s="450">
        <v>182669.77</v>
      </c>
      <c r="AZ321" s="450">
        <v>183249.41</v>
      </c>
      <c r="BA321" s="450">
        <v>183325.6</v>
      </c>
      <c r="BB321" s="450">
        <v>185080.55</v>
      </c>
      <c r="BC321" s="450"/>
      <c r="BD321" s="450">
        <v>188515.52</v>
      </c>
      <c r="BE321" s="450">
        <v>188392.44</v>
      </c>
      <c r="BF321" s="450">
        <v>190748.75</v>
      </c>
      <c r="BG321" s="450">
        <v>195688.12</v>
      </c>
      <c r="BH321" s="450">
        <v>195461.21</v>
      </c>
      <c r="BI321" s="450">
        <v>197343.51</v>
      </c>
      <c r="BJ321" s="450">
        <v>191318.42</v>
      </c>
      <c r="BK321" s="450">
        <v>190837.88</v>
      </c>
      <c r="BL321" s="450">
        <v>191838.83</v>
      </c>
      <c r="BM321" s="450">
        <v>5779.03</v>
      </c>
      <c r="BN321" s="450">
        <v>0.0</v>
      </c>
      <c r="BO321" s="450">
        <v>0.0</v>
      </c>
      <c r="BP321" s="450">
        <v>0.0</v>
      </c>
      <c r="BQ321" s="450">
        <v>0.0</v>
      </c>
      <c r="BR321" s="450">
        <v>0.0</v>
      </c>
      <c r="BS321" s="615">
        <f t="array" ref="BS321">XLOOKUP(D321,'PL TOTAL XP'!A:A,'PL TOTAL XP'!C:C,"0")</f>
        <v>0</v>
      </c>
      <c r="BT321" s="616"/>
    </row>
    <row r="322" ht="15.75" customHeight="1">
      <c r="A322" s="183" t="s">
        <v>3820</v>
      </c>
      <c r="B322" s="78" t="s">
        <v>4806</v>
      </c>
      <c r="C322" s="564" t="s">
        <v>4807</v>
      </c>
      <c r="D322" s="566">
        <v>5666607.0</v>
      </c>
      <c r="E322" s="648" t="s">
        <v>18</v>
      </c>
      <c r="F322" s="566" t="s">
        <v>19</v>
      </c>
      <c r="G322" s="566" t="s">
        <v>4808</v>
      </c>
      <c r="H322" s="566" t="str">
        <f>IFERROR(VLOOKUP(G322,'Cadastro de assessores'!A:B,2,FALSE),"Não Cadastrado")</f>
        <v>1275</v>
      </c>
      <c r="I322" s="566"/>
      <c r="J322" s="51" t="s">
        <v>186</v>
      </c>
      <c r="K322" s="522" t="s">
        <v>2563</v>
      </c>
      <c r="L322" s="649">
        <v>44376.0</v>
      </c>
      <c r="M322" s="649">
        <v>44376.0</v>
      </c>
      <c r="N322" s="567">
        <v>44775.0</v>
      </c>
      <c r="O322" s="566" t="s">
        <v>3840</v>
      </c>
      <c r="P322" s="568">
        <v>0.025</v>
      </c>
      <c r="Q322" s="224" t="s">
        <v>4809</v>
      </c>
      <c r="R322" s="613"/>
      <c r="S322" s="522" t="str">
        <f t="shared" si="35"/>
        <v>Não Qualificado</v>
      </c>
      <c r="T322" s="522" t="s">
        <v>108</v>
      </c>
      <c r="U322" s="566" t="s">
        <v>2596</v>
      </c>
      <c r="V322" s="522" t="s">
        <v>3908</v>
      </c>
      <c r="W322" s="468"/>
      <c r="X322" s="468"/>
      <c r="Y322" s="468"/>
      <c r="Z322" s="468"/>
      <c r="AA322" s="468"/>
      <c r="AB322" s="468"/>
      <c r="AC322" s="468"/>
      <c r="AD322" s="468"/>
      <c r="AE322" s="468"/>
      <c r="AF322" s="468"/>
      <c r="AG322" s="468"/>
      <c r="AH322" s="468"/>
      <c r="AI322" s="468"/>
      <c r="AJ322" s="450"/>
      <c r="AK322" s="450"/>
      <c r="AL322" s="450"/>
      <c r="AM322" s="450"/>
      <c r="AN322" s="450"/>
      <c r="AO322" s="450"/>
      <c r="AP322" s="468"/>
      <c r="AQ322" s="449"/>
      <c r="AR322" s="468"/>
      <c r="AS322" s="450">
        <v>200315.82</v>
      </c>
      <c r="AT322" s="450">
        <v>189632.39</v>
      </c>
      <c r="AU322" s="450">
        <v>185080.39</v>
      </c>
      <c r="AV322" s="450">
        <v>173719.75</v>
      </c>
      <c r="AW322" s="450">
        <v>159599.85</v>
      </c>
      <c r="AX322" s="450">
        <v>158023.11</v>
      </c>
      <c r="AY322" s="450">
        <v>161393.67</v>
      </c>
      <c r="AZ322" s="450">
        <v>169900.55</v>
      </c>
      <c r="BA322" s="450">
        <v>175438.24</v>
      </c>
      <c r="BB322" s="450">
        <v>184850.54</v>
      </c>
      <c r="BC322" s="450">
        <v>38276.93</v>
      </c>
      <c r="BD322" s="450">
        <v>178120.53</v>
      </c>
      <c r="BE322" s="450">
        <v>176072.1</v>
      </c>
      <c r="BF322" s="450">
        <v>179992.21</v>
      </c>
      <c r="BG322" s="450">
        <v>0.0</v>
      </c>
      <c r="BH322" s="450">
        <v>0.0</v>
      </c>
      <c r="BI322" s="450">
        <v>0.0</v>
      </c>
      <c r="BJ322" s="450">
        <v>0.0</v>
      </c>
      <c r="BK322" s="450">
        <v>0.0</v>
      </c>
      <c r="BL322" s="450">
        <v>0.0</v>
      </c>
      <c r="BM322" s="450">
        <v>0.0</v>
      </c>
      <c r="BN322" s="450">
        <v>0.0</v>
      </c>
      <c r="BO322" s="450">
        <v>0.0</v>
      </c>
      <c r="BP322" s="450">
        <v>0.0</v>
      </c>
      <c r="BQ322" s="450">
        <v>0.0</v>
      </c>
      <c r="BR322" s="450">
        <v>0.0</v>
      </c>
      <c r="BS322" s="615" t="str">
        <f t="array" ref="BS322">XLOOKUP(D322,'PL TOTAL XP'!A:A,'PL TOTAL XP'!C:C,"0")</f>
        <v>0</v>
      </c>
      <c r="BT322" s="616"/>
    </row>
    <row r="323" ht="15.75" customHeight="1">
      <c r="A323" s="183" t="s">
        <v>3820</v>
      </c>
      <c r="B323" s="78" t="s">
        <v>4810</v>
      </c>
      <c r="C323" s="645" t="s">
        <v>4811</v>
      </c>
      <c r="D323" s="623">
        <v>5914962.0</v>
      </c>
      <c r="E323" s="512" t="s">
        <v>18</v>
      </c>
      <c r="F323" s="609" t="s">
        <v>19</v>
      </c>
      <c r="G323" s="512" t="s">
        <v>4152</v>
      </c>
      <c r="H323" s="512" t="str">
        <f>IFERROR(VLOOKUP(G323,'Cadastro de assessores'!A:B,2,FALSE),"Não Cadastrado")</f>
        <v>14294</v>
      </c>
      <c r="I323" s="512"/>
      <c r="J323" s="51" t="s">
        <v>186</v>
      </c>
      <c r="K323" s="512" t="s">
        <v>107</v>
      </c>
      <c r="L323" s="610">
        <v>44454.0</v>
      </c>
      <c r="M323" s="610">
        <v>44461.0</v>
      </c>
      <c r="N323" s="567">
        <v>44830.0</v>
      </c>
      <c r="O323" s="522" t="s">
        <v>3834</v>
      </c>
      <c r="P323" s="612">
        <v>0.007</v>
      </c>
      <c r="Q323" s="224"/>
      <c r="R323" s="613"/>
      <c r="S323" s="522" t="str">
        <f t="shared" si="35"/>
        <v/>
      </c>
      <c r="T323" s="522" t="s">
        <v>108</v>
      </c>
      <c r="U323" s="566" t="s">
        <v>4512</v>
      </c>
      <c r="V323" s="566" t="s">
        <v>34</v>
      </c>
      <c r="W323" s="468"/>
      <c r="X323" s="468"/>
      <c r="Y323" s="468"/>
      <c r="Z323" s="468"/>
      <c r="AA323" s="468"/>
      <c r="AB323" s="468"/>
      <c r="AC323" s="468"/>
      <c r="AD323" s="468"/>
      <c r="AE323" s="468"/>
      <c r="AF323" s="468"/>
      <c r="AG323" s="468"/>
      <c r="AH323" s="468"/>
      <c r="AI323" s="468"/>
      <c r="AJ323" s="450"/>
      <c r="AK323" s="450"/>
      <c r="AL323" s="450"/>
      <c r="AM323" s="450"/>
      <c r="AN323" s="450"/>
      <c r="AO323" s="450"/>
      <c r="AP323" s="468"/>
      <c r="AQ323" s="449"/>
      <c r="AR323" s="450"/>
      <c r="AS323" s="450"/>
      <c r="AT323" s="450"/>
      <c r="AU323" s="468"/>
      <c r="AV323" s="450"/>
      <c r="AW323" s="450">
        <v>128752.45</v>
      </c>
      <c r="AX323" s="450">
        <v>130820.5</v>
      </c>
      <c r="AY323" s="450">
        <v>130065.38</v>
      </c>
      <c r="AZ323" s="450">
        <v>131208.17</v>
      </c>
      <c r="BA323" s="450">
        <v>132167.12</v>
      </c>
      <c r="BB323" s="450">
        <v>133773.16</v>
      </c>
      <c r="BC323" s="450"/>
      <c r="BD323" s="450">
        <v>145049.05</v>
      </c>
      <c r="BE323" s="450">
        <v>146308.82</v>
      </c>
      <c r="BF323" s="450">
        <v>155644.94</v>
      </c>
      <c r="BG323" s="450">
        <v>155900.2507</v>
      </c>
      <c r="BH323" s="450">
        <v>0.0</v>
      </c>
      <c r="BI323" s="450">
        <v>0.0</v>
      </c>
      <c r="BJ323" s="450">
        <v>0.0</v>
      </c>
      <c r="BK323" s="450">
        <v>0.0</v>
      </c>
      <c r="BL323" s="450">
        <v>0.0</v>
      </c>
      <c r="BM323" s="450">
        <v>0.0</v>
      </c>
      <c r="BN323" s="450">
        <v>0.0</v>
      </c>
      <c r="BO323" s="450">
        <v>0.0</v>
      </c>
      <c r="BP323" s="450">
        <v>0.0</v>
      </c>
      <c r="BQ323" s="450">
        <v>0.0</v>
      </c>
      <c r="BR323" s="450">
        <v>0.0</v>
      </c>
      <c r="BS323" s="615" t="str">
        <f t="array" ref="BS323">XLOOKUP(D323,'PL TOTAL XP'!A:A,'PL TOTAL XP'!C:C,"0")</f>
        <v>0</v>
      </c>
      <c r="BT323" s="616"/>
    </row>
    <row r="324" ht="15.75" customHeight="1">
      <c r="A324" s="183" t="s">
        <v>3820</v>
      </c>
      <c r="B324" s="78" t="s">
        <v>1641</v>
      </c>
      <c r="C324" s="645" t="s">
        <v>1639</v>
      </c>
      <c r="D324" s="623">
        <v>5958737.0</v>
      </c>
      <c r="E324" s="609" t="s">
        <v>18</v>
      </c>
      <c r="F324" s="609" t="s">
        <v>19</v>
      </c>
      <c r="G324" s="512" t="s">
        <v>20</v>
      </c>
      <c r="H324" s="512">
        <f>IFERROR(VLOOKUP(G324,'Cadastro de assessores'!A:B,2,FALSE),"Não Cadastrado")</f>
        <v>12331</v>
      </c>
      <c r="I324" s="512"/>
      <c r="J324" s="51" t="s">
        <v>3823</v>
      </c>
      <c r="K324" s="512" t="s">
        <v>107</v>
      </c>
      <c r="L324" s="624">
        <v>44596.0</v>
      </c>
      <c r="M324" s="624">
        <v>44614.0</v>
      </c>
      <c r="N324" s="522"/>
      <c r="O324" s="522" t="s">
        <v>3834</v>
      </c>
      <c r="P324" s="612">
        <v>0.007</v>
      </c>
      <c r="Q324" s="224"/>
      <c r="R324" s="613"/>
      <c r="S324" s="522" t="str">
        <f t="shared" si="35"/>
        <v/>
      </c>
      <c r="T324" s="522" t="s">
        <v>108</v>
      </c>
      <c r="U324" s="566" t="s">
        <v>3315</v>
      </c>
      <c r="V324" s="566" t="s">
        <v>29</v>
      </c>
      <c r="W324" s="468"/>
      <c r="X324" s="468"/>
      <c r="Y324" s="468"/>
      <c r="Z324" s="468"/>
      <c r="AA324" s="468"/>
      <c r="AB324" s="468"/>
      <c r="AC324" s="468"/>
      <c r="AD324" s="468"/>
      <c r="AE324" s="468"/>
      <c r="AF324" s="468"/>
      <c r="AG324" s="468"/>
      <c r="AH324" s="468"/>
      <c r="AI324" s="468"/>
      <c r="AJ324" s="450"/>
      <c r="AK324" s="450"/>
      <c r="AL324" s="450"/>
      <c r="AM324" s="450"/>
      <c r="AN324" s="450"/>
      <c r="AO324" s="450"/>
      <c r="AP324" s="450"/>
      <c r="AQ324" s="450"/>
      <c r="AR324" s="468"/>
      <c r="AS324" s="450"/>
      <c r="AT324" s="450"/>
      <c r="AU324" s="450"/>
      <c r="AV324" s="450"/>
      <c r="AW324" s="450"/>
      <c r="AX324" s="450"/>
      <c r="AY324" s="450"/>
      <c r="AZ324" s="450"/>
      <c r="BA324" s="450">
        <v>128582.77</v>
      </c>
      <c r="BB324" s="450">
        <v>145318.65</v>
      </c>
      <c r="BC324" s="450"/>
      <c r="BD324" s="450">
        <v>145587.37</v>
      </c>
      <c r="BE324" s="450">
        <v>146863.61</v>
      </c>
      <c r="BF324" s="450">
        <v>147657.98</v>
      </c>
      <c r="BG324" s="450">
        <v>172170.3196</v>
      </c>
      <c r="BH324" s="450">
        <v>173148.76</v>
      </c>
      <c r="BI324" s="450">
        <v>174525.24</v>
      </c>
      <c r="BJ324" s="450">
        <v>175547.65</v>
      </c>
      <c r="BK324" s="450">
        <v>177090.98</v>
      </c>
      <c r="BL324" s="450">
        <v>203528.22</v>
      </c>
      <c r="BM324" s="450">
        <v>180543.3</v>
      </c>
      <c r="BN324" s="450">
        <v>158083.02</v>
      </c>
      <c r="BO324" s="450">
        <v>38309.03</v>
      </c>
      <c r="BP324" s="450">
        <v>38727.52</v>
      </c>
      <c r="BQ324" s="450">
        <v>39050.22</v>
      </c>
      <c r="BR324" s="450">
        <v>39514.69</v>
      </c>
      <c r="BS324" s="615">
        <f t="array" ref="BS324">XLOOKUP(D324,'PL TOTAL XP'!A:A,'PL TOTAL XP'!C:C,"0")</f>
        <v>0</v>
      </c>
      <c r="BT324" s="616"/>
    </row>
    <row r="325" ht="15.75" customHeight="1">
      <c r="A325" s="183" t="s">
        <v>3820</v>
      </c>
      <c r="B325" s="78" t="s">
        <v>4812</v>
      </c>
      <c r="C325" s="617" t="s">
        <v>4813</v>
      </c>
      <c r="D325" s="566">
        <v>4712860.0</v>
      </c>
      <c r="E325" s="522" t="s">
        <v>105</v>
      </c>
      <c r="F325" s="522" t="s">
        <v>29</v>
      </c>
      <c r="G325" s="522" t="s">
        <v>4084</v>
      </c>
      <c r="H325" s="522" t="str">
        <f>IFERROR(VLOOKUP(G325,'Cadastro de assessores'!A:B,2,FALSE),"Não Cadastrado")</f>
        <v>15049</v>
      </c>
      <c r="I325" s="522"/>
      <c r="J325" s="51" t="s">
        <v>186</v>
      </c>
      <c r="K325" s="522" t="s">
        <v>2563</v>
      </c>
      <c r="L325" s="619">
        <v>44203.0</v>
      </c>
      <c r="M325" s="619">
        <v>44203.0</v>
      </c>
      <c r="N325" s="619">
        <v>44418.0</v>
      </c>
      <c r="O325" s="522" t="s">
        <v>3828</v>
      </c>
      <c r="P325" s="612">
        <v>0.015</v>
      </c>
      <c r="Q325" s="620" t="s">
        <v>4041</v>
      </c>
      <c r="R325" s="613"/>
      <c r="S325" s="522" t="str">
        <f t="shared" si="35"/>
        <v>Não Qualificado</v>
      </c>
      <c r="T325" s="522" t="s">
        <v>108</v>
      </c>
      <c r="U325" s="522" t="s">
        <v>2580</v>
      </c>
      <c r="V325" s="522" t="s">
        <v>29</v>
      </c>
      <c r="W325" s="614"/>
      <c r="X325" s="614"/>
      <c r="Y325" s="614"/>
      <c r="Z325" s="614"/>
      <c r="AA325" s="614"/>
      <c r="AB325" s="614"/>
      <c r="AC325" s="614"/>
      <c r="AD325" s="614"/>
      <c r="AE325" s="614"/>
      <c r="AF325" s="614"/>
      <c r="AG325" s="614"/>
      <c r="AH325" s="614"/>
      <c r="AI325" s="614"/>
      <c r="AJ325" s="614"/>
      <c r="AK325" s="450"/>
      <c r="AL325" s="450">
        <v>95618.89</v>
      </c>
      <c r="AM325" s="450">
        <v>92985.04</v>
      </c>
      <c r="AN325" s="450">
        <v>92959.36</v>
      </c>
      <c r="AO325" s="450">
        <v>94511.63</v>
      </c>
      <c r="AP325" s="450">
        <v>95110.84</v>
      </c>
      <c r="AQ325" s="450">
        <v>94746.88</v>
      </c>
      <c r="AR325" s="450">
        <v>96899.75</v>
      </c>
      <c r="AS325" s="450">
        <v>96198.58</v>
      </c>
      <c r="AT325" s="450">
        <v>94300.67</v>
      </c>
      <c r="AU325" s="450"/>
      <c r="AV325" s="450"/>
      <c r="AW325" s="450"/>
      <c r="AX325" s="450"/>
      <c r="AY325" s="450"/>
      <c r="AZ325" s="450"/>
      <c r="BA325" s="450">
        <v>0.0</v>
      </c>
      <c r="BB325" s="450">
        <v>0.0</v>
      </c>
      <c r="BC325" s="450">
        <v>101520.71</v>
      </c>
      <c r="BD325" s="450" t="s">
        <v>2566</v>
      </c>
      <c r="BE325" s="450" t="s">
        <v>2566</v>
      </c>
      <c r="BF325" s="450">
        <v>0.0</v>
      </c>
      <c r="BG325" s="450">
        <v>0.0</v>
      </c>
      <c r="BH325" s="450">
        <v>0.0</v>
      </c>
      <c r="BI325" s="450">
        <v>0.0</v>
      </c>
      <c r="BJ325" s="450">
        <v>0.0</v>
      </c>
      <c r="BK325" s="450">
        <v>0.0</v>
      </c>
      <c r="BL325" s="450">
        <v>0.0</v>
      </c>
      <c r="BM325" s="450">
        <v>0.0</v>
      </c>
      <c r="BN325" s="450">
        <v>0.0</v>
      </c>
      <c r="BO325" s="450">
        <v>0.0</v>
      </c>
      <c r="BP325" s="450">
        <v>0.0</v>
      </c>
      <c r="BQ325" s="450">
        <v>0.0</v>
      </c>
      <c r="BR325" s="450">
        <v>0.0</v>
      </c>
      <c r="BS325" s="615" t="str">
        <f t="array" ref="BS325">XLOOKUP(D325,'PL TOTAL XP'!A:A,'PL TOTAL XP'!C:C,"0")</f>
        <v>0</v>
      </c>
      <c r="BT325" s="616"/>
    </row>
    <row r="326" ht="15.75" customHeight="1">
      <c r="A326" s="183" t="s">
        <v>3820</v>
      </c>
      <c r="B326" s="78" t="s">
        <v>4814</v>
      </c>
      <c r="C326" s="617" t="s">
        <v>4815</v>
      </c>
      <c r="D326" s="522">
        <v>2201017.0</v>
      </c>
      <c r="E326" s="512" t="s">
        <v>105</v>
      </c>
      <c r="F326" s="512" t="s">
        <v>29</v>
      </c>
      <c r="G326" s="512" t="s">
        <v>3873</v>
      </c>
      <c r="H326" s="512"/>
      <c r="I326" s="512"/>
      <c r="J326" s="51" t="s">
        <v>3823</v>
      </c>
      <c r="K326" s="512"/>
      <c r="L326" s="610"/>
      <c r="M326" s="610">
        <v>44893.0</v>
      </c>
      <c r="N326" s="522"/>
      <c r="O326" s="522" t="s">
        <v>3834</v>
      </c>
      <c r="P326" s="612">
        <v>0.01</v>
      </c>
      <c r="Q326" s="620" t="s">
        <v>4816</v>
      </c>
      <c r="R326" s="613"/>
      <c r="S326" s="522"/>
      <c r="T326" s="522"/>
      <c r="U326" s="522"/>
      <c r="V326" s="522" t="s">
        <v>34</v>
      </c>
      <c r="W326" s="614"/>
      <c r="X326" s="614"/>
      <c r="Y326" s="614"/>
      <c r="Z326" s="614"/>
      <c r="AA326" s="614"/>
      <c r="AB326" s="614"/>
      <c r="AC326" s="614"/>
      <c r="AD326" s="614"/>
      <c r="AE326" s="614"/>
      <c r="AF326" s="614"/>
      <c r="AG326" s="614"/>
      <c r="AH326" s="614"/>
      <c r="AI326" s="614"/>
      <c r="AJ326" s="614"/>
      <c r="AK326" s="450"/>
      <c r="AL326" s="450"/>
      <c r="AM326" s="450"/>
      <c r="AN326" s="683"/>
      <c r="AO326" s="683"/>
      <c r="AP326" s="450"/>
      <c r="AQ326" s="450"/>
      <c r="AR326" s="450"/>
      <c r="AS326" s="450"/>
      <c r="AT326" s="450"/>
      <c r="AU326" s="450"/>
      <c r="AV326" s="450"/>
      <c r="AW326" s="450"/>
      <c r="AX326" s="450"/>
      <c r="AY326" s="450"/>
      <c r="AZ326" s="450"/>
      <c r="BA326" s="450"/>
      <c r="BB326" s="450"/>
      <c r="BC326" s="450"/>
      <c r="BD326" s="450"/>
      <c r="BE326" s="450"/>
      <c r="BF326" s="450"/>
      <c r="BG326" s="450"/>
      <c r="BH326" s="450"/>
      <c r="BI326" s="450">
        <v>481697.27</v>
      </c>
      <c r="BJ326" s="450">
        <v>487687.13</v>
      </c>
      <c r="BK326" s="450">
        <v>484843.17</v>
      </c>
      <c r="BL326" s="450">
        <v>491773.35</v>
      </c>
      <c r="BM326" s="450">
        <v>493946.49</v>
      </c>
      <c r="BN326" s="450">
        <v>498294.66</v>
      </c>
      <c r="BO326" s="450">
        <v>479114.96</v>
      </c>
      <c r="BP326" s="450">
        <v>482755.61</v>
      </c>
      <c r="BQ326" s="450">
        <v>479240.26</v>
      </c>
      <c r="BR326" s="450">
        <v>0.0</v>
      </c>
      <c r="BS326" s="615" t="str">
        <f t="array" ref="BS326">XLOOKUP(D326,'PL TOTAL XP'!A:A,'PL TOTAL XP'!C:C,"0")</f>
        <v>0</v>
      </c>
      <c r="BT326" s="616"/>
    </row>
    <row r="327" ht="15.75" customHeight="1">
      <c r="A327" s="183" t="s">
        <v>3820</v>
      </c>
      <c r="B327" s="78" t="s">
        <v>4817</v>
      </c>
      <c r="C327" s="564" t="s">
        <v>4818</v>
      </c>
      <c r="D327" s="566">
        <v>5661723.0</v>
      </c>
      <c r="E327" s="512" t="s">
        <v>2550</v>
      </c>
      <c r="F327" s="609" t="s">
        <v>29</v>
      </c>
      <c r="G327" s="609" t="s">
        <v>2550</v>
      </c>
      <c r="H327" s="609" t="str">
        <f>IFERROR(VLOOKUP(G327,'Cadastro de assessores'!A:B,2,FALSE),"Não Cadastrado")</f>
        <v>18986</v>
      </c>
      <c r="I327" s="609"/>
      <c r="J327" s="51" t="s">
        <v>3823</v>
      </c>
      <c r="K327" s="522" t="s">
        <v>107</v>
      </c>
      <c r="L327" s="610">
        <v>44369.0</v>
      </c>
      <c r="M327" s="610">
        <v>44369.0</v>
      </c>
      <c r="N327" s="522"/>
      <c r="O327" s="522" t="s">
        <v>3828</v>
      </c>
      <c r="P327" s="612">
        <v>0.015</v>
      </c>
      <c r="Q327" s="224"/>
      <c r="R327" s="613"/>
      <c r="S327" s="522" t="str">
        <f t="shared" ref="S327:S342" si="36">IF(BC327&lt;=0,"",IF(BC327&lt;=1000000,"Não Qualificado",IF(AND(BC327&gt;1000000,BC327&lt;=10000000),"Qualificado","Profissional")))</f>
        <v/>
      </c>
      <c r="T327" s="522" t="s">
        <v>108</v>
      </c>
      <c r="U327" s="566" t="s">
        <v>2575</v>
      </c>
      <c r="V327" s="566" t="s">
        <v>29</v>
      </c>
      <c r="W327" s="468"/>
      <c r="X327" s="468"/>
      <c r="Y327" s="468"/>
      <c r="Z327" s="468"/>
      <c r="AA327" s="468"/>
      <c r="AB327" s="468"/>
      <c r="AC327" s="468"/>
      <c r="AD327" s="468"/>
      <c r="AE327" s="468"/>
      <c r="AF327" s="468"/>
      <c r="AG327" s="468"/>
      <c r="AH327" s="468"/>
      <c r="AI327" s="468"/>
      <c r="AJ327" s="450"/>
      <c r="AK327" s="450"/>
      <c r="AL327" s="450"/>
      <c r="AM327" s="450"/>
      <c r="AN327" s="450"/>
      <c r="AO327" s="450"/>
      <c r="AP327" s="450"/>
      <c r="AQ327" s="450"/>
      <c r="AR327" s="468"/>
      <c r="AS327" s="450">
        <v>49605.42</v>
      </c>
      <c r="AT327" s="450">
        <v>48648.71</v>
      </c>
      <c r="AU327" s="450">
        <v>48329.01</v>
      </c>
      <c r="AV327" s="450">
        <v>47715.11</v>
      </c>
      <c r="AW327" s="450">
        <v>46267.62</v>
      </c>
      <c r="AX327" s="450">
        <v>46293.58</v>
      </c>
      <c r="AY327" s="450">
        <v>0.81</v>
      </c>
      <c r="AZ327" s="450">
        <v>0.81</v>
      </c>
      <c r="BA327" s="450">
        <v>0.81</v>
      </c>
      <c r="BB327" s="450">
        <v>0.81</v>
      </c>
      <c r="BC327" s="450"/>
      <c r="BD327" s="450">
        <v>0.81</v>
      </c>
      <c r="BE327" s="450">
        <v>0.81</v>
      </c>
      <c r="BF327" s="450">
        <v>0.81</v>
      </c>
      <c r="BG327" s="450">
        <v>0.81</v>
      </c>
      <c r="BH327" s="450">
        <v>0.81</v>
      </c>
      <c r="BI327" s="450">
        <v>0.81</v>
      </c>
      <c r="BJ327" s="450">
        <v>0.81</v>
      </c>
      <c r="BK327" s="450">
        <v>0.81</v>
      </c>
      <c r="BL327" s="450">
        <v>0.81</v>
      </c>
      <c r="BM327" s="450">
        <v>0.81</v>
      </c>
      <c r="BN327" s="450">
        <v>0.81</v>
      </c>
      <c r="BO327" s="450">
        <v>0.81</v>
      </c>
      <c r="BP327" s="450">
        <v>0.81</v>
      </c>
      <c r="BQ327" s="450">
        <v>0.81</v>
      </c>
      <c r="BR327" s="450">
        <v>0.81</v>
      </c>
      <c r="BS327" s="615">
        <f t="array" ref="BS327">XLOOKUP(D327,'PL TOTAL XP'!A:A,'PL TOTAL XP'!C:C,"0")</f>
        <v>0</v>
      </c>
      <c r="BT327" s="616"/>
    </row>
    <row r="328" ht="15.75" customHeight="1">
      <c r="A328" s="183" t="s">
        <v>3820</v>
      </c>
      <c r="B328" s="78" t="s">
        <v>3236</v>
      </c>
      <c r="C328" s="617" t="s">
        <v>3234</v>
      </c>
      <c r="D328" s="522">
        <v>4600625.0</v>
      </c>
      <c r="E328" s="512" t="s">
        <v>18</v>
      </c>
      <c r="F328" s="512" t="s">
        <v>29</v>
      </c>
      <c r="G328" s="512" t="s">
        <v>2213</v>
      </c>
      <c r="H328" s="512" t="str">
        <f>IFERROR(VLOOKUP(G328,'Cadastro de assessores'!A:B,2,FALSE),"Não Cadastrado")</f>
        <v>18256</v>
      </c>
      <c r="I328" s="512"/>
      <c r="J328" s="51" t="s">
        <v>3823</v>
      </c>
      <c r="K328" s="512" t="s">
        <v>107</v>
      </c>
      <c r="L328" s="611">
        <v>44180.0</v>
      </c>
      <c r="M328" s="611">
        <v>44180.0</v>
      </c>
      <c r="N328" s="522"/>
      <c r="O328" s="522" t="s">
        <v>3840</v>
      </c>
      <c r="P328" s="612">
        <v>0.025</v>
      </c>
      <c r="Q328" s="620" t="s">
        <v>4819</v>
      </c>
      <c r="R328" s="613"/>
      <c r="S328" s="522" t="str">
        <f t="shared" si="36"/>
        <v>Não Qualificado</v>
      </c>
      <c r="T328" s="522" t="s">
        <v>108</v>
      </c>
      <c r="U328" s="522" t="s">
        <v>2614</v>
      </c>
      <c r="V328" s="522" t="s">
        <v>29</v>
      </c>
      <c r="W328" s="614" t="s">
        <v>3830</v>
      </c>
      <c r="X328" s="614" t="s">
        <v>3830</v>
      </c>
      <c r="Y328" s="614" t="s">
        <v>3830</v>
      </c>
      <c r="Z328" s="614" t="s">
        <v>3830</v>
      </c>
      <c r="AA328" s="614" t="s">
        <v>3830</v>
      </c>
      <c r="AB328" s="614" t="s">
        <v>3830</v>
      </c>
      <c r="AC328" s="614" t="s">
        <v>3830</v>
      </c>
      <c r="AD328" s="614" t="s">
        <v>3830</v>
      </c>
      <c r="AE328" s="614" t="s">
        <v>3830</v>
      </c>
      <c r="AF328" s="614" t="s">
        <v>3830</v>
      </c>
      <c r="AG328" s="614" t="s">
        <v>3830</v>
      </c>
      <c r="AH328" s="614" t="s">
        <v>3830</v>
      </c>
      <c r="AI328" s="614" t="s">
        <v>3830</v>
      </c>
      <c r="AJ328" s="614" t="s">
        <v>3830</v>
      </c>
      <c r="AK328" s="450">
        <v>75255.79</v>
      </c>
      <c r="AL328" s="450">
        <v>70732.07</v>
      </c>
      <c r="AM328" s="450">
        <v>65003.35</v>
      </c>
      <c r="AN328" s="450">
        <v>64619.09</v>
      </c>
      <c r="AO328" s="450">
        <v>69029.42</v>
      </c>
      <c r="AP328" s="450">
        <v>69841.7</v>
      </c>
      <c r="AQ328" s="450">
        <v>69134.24</v>
      </c>
      <c r="AR328" s="450">
        <v>72323.9</v>
      </c>
      <c r="AS328" s="450">
        <v>70488.41</v>
      </c>
      <c r="AT328" s="450">
        <v>66449.91</v>
      </c>
      <c r="AU328" s="450">
        <v>64404.4</v>
      </c>
      <c r="AV328" s="450">
        <v>59945.7</v>
      </c>
      <c r="AW328" s="450">
        <v>55051.81</v>
      </c>
      <c r="AX328" s="450">
        <v>54430.69</v>
      </c>
      <c r="AY328" s="450">
        <v>54415.61</v>
      </c>
      <c r="AZ328" s="450">
        <v>57000.24</v>
      </c>
      <c r="BA328" s="450">
        <v>57911.54</v>
      </c>
      <c r="BB328" s="450">
        <v>61225.48</v>
      </c>
      <c r="BC328" s="450">
        <v>143401.9</v>
      </c>
      <c r="BD328" s="450">
        <v>56582.97</v>
      </c>
      <c r="BE328" s="450">
        <v>53980.61</v>
      </c>
      <c r="BF328" s="450">
        <v>56977.16</v>
      </c>
      <c r="BG328" s="450">
        <v>57822.96</v>
      </c>
      <c r="BH328" s="450">
        <v>55249.76</v>
      </c>
      <c r="BI328" s="450">
        <v>60434.08</v>
      </c>
      <c r="BJ328" s="450">
        <v>58032.59</v>
      </c>
      <c r="BK328" s="450">
        <v>57584.98</v>
      </c>
      <c r="BL328" s="450">
        <v>58448.53</v>
      </c>
      <c r="BM328" s="450">
        <v>89.57</v>
      </c>
      <c r="BN328" s="450">
        <v>78.16</v>
      </c>
      <c r="BO328" s="450">
        <v>335.64</v>
      </c>
      <c r="BP328" s="450">
        <v>0.0</v>
      </c>
      <c r="BQ328" s="450">
        <v>0.0</v>
      </c>
      <c r="BR328" s="450">
        <v>0.0</v>
      </c>
      <c r="BS328" s="615">
        <f t="array" ref="BS328">XLOOKUP(D328,'PL TOTAL XP'!A:A,'PL TOTAL XP'!C:C,"0")</f>
        <v>0</v>
      </c>
      <c r="BT328" s="616"/>
    </row>
    <row r="329" ht="15.75" customHeight="1">
      <c r="A329" s="183" t="s">
        <v>3820</v>
      </c>
      <c r="B329" s="78" t="s">
        <v>4820</v>
      </c>
      <c r="C329" s="564" t="s">
        <v>4821</v>
      </c>
      <c r="D329" s="566">
        <v>5630594.0</v>
      </c>
      <c r="E329" s="512" t="s">
        <v>18</v>
      </c>
      <c r="F329" s="609" t="s">
        <v>29</v>
      </c>
      <c r="G329" s="512" t="s">
        <v>4330</v>
      </c>
      <c r="H329" s="609" t="str">
        <f>IFERROR(VLOOKUP(G329,'Cadastro de assessores'!A:B,2,FALSE),"Não Cadastrado")</f>
        <v>13896</v>
      </c>
      <c r="I329" s="609"/>
      <c r="J329" s="51" t="s">
        <v>3823</v>
      </c>
      <c r="K329" s="512" t="s">
        <v>107</v>
      </c>
      <c r="L329" s="610">
        <v>44356.0</v>
      </c>
      <c r="M329" s="610">
        <v>44356.0</v>
      </c>
      <c r="N329" s="566"/>
      <c r="O329" s="566" t="s">
        <v>4029</v>
      </c>
      <c r="P329" s="612">
        <v>0.02</v>
      </c>
      <c r="Q329" s="224"/>
      <c r="R329" s="613"/>
      <c r="S329" s="522" t="str">
        <f t="shared" si="36"/>
        <v/>
      </c>
      <c r="T329" s="522" t="s">
        <v>108</v>
      </c>
      <c r="U329" s="522" t="s">
        <v>2619</v>
      </c>
      <c r="V329" s="522" t="s">
        <v>152</v>
      </c>
      <c r="W329" s="468"/>
      <c r="X329" s="468"/>
      <c r="Y329" s="468"/>
      <c r="Z329" s="468"/>
      <c r="AA329" s="468"/>
      <c r="AB329" s="468"/>
      <c r="AC329" s="468"/>
      <c r="AD329" s="468"/>
      <c r="AE329" s="468"/>
      <c r="AF329" s="468"/>
      <c r="AG329" s="468"/>
      <c r="AH329" s="468"/>
      <c r="AI329" s="468"/>
      <c r="AJ329" s="468"/>
      <c r="AK329" s="450"/>
      <c r="AL329" s="450"/>
      <c r="AM329" s="450"/>
      <c r="AN329" s="450"/>
      <c r="AO329" s="450"/>
      <c r="AP329" s="450"/>
      <c r="AQ329" s="450"/>
      <c r="AR329" s="468"/>
      <c r="AS329" s="450">
        <v>153619.88</v>
      </c>
      <c r="AT329" s="450">
        <v>156076.47</v>
      </c>
      <c r="AU329" s="450">
        <v>154220.47</v>
      </c>
      <c r="AV329" s="450">
        <v>149869.22</v>
      </c>
      <c r="AW329" s="450">
        <v>141844.48</v>
      </c>
      <c r="AX329" s="450">
        <v>141000.98</v>
      </c>
      <c r="AY329" s="450">
        <v>142954.6</v>
      </c>
      <c r="AZ329" s="450">
        <v>149333.9</v>
      </c>
      <c r="BA329" s="450">
        <v>150720.23</v>
      </c>
      <c r="BB329" s="450">
        <v>157694.13</v>
      </c>
      <c r="BC329" s="450"/>
      <c r="BD329" s="450">
        <v>153095.99</v>
      </c>
      <c r="BE329" s="450">
        <v>148993.34</v>
      </c>
      <c r="BF329" s="450">
        <v>153449.76</v>
      </c>
      <c r="BG329" s="450">
        <v>156135.7734</v>
      </c>
      <c r="BH329" s="450">
        <v>156252.37</v>
      </c>
      <c r="BI329" s="450">
        <v>167045.85</v>
      </c>
      <c r="BJ329" s="450">
        <v>167432.1</v>
      </c>
      <c r="BK329" s="450">
        <v>168063.45</v>
      </c>
      <c r="BL329" s="450">
        <v>167660.04</v>
      </c>
      <c r="BM329" s="450">
        <v>166984.88</v>
      </c>
      <c r="BN329" s="450">
        <v>167509.25</v>
      </c>
      <c r="BO329" s="450">
        <v>158596.25</v>
      </c>
      <c r="BP329" s="450">
        <v>159905.05</v>
      </c>
      <c r="BQ329" s="450">
        <v>0.0</v>
      </c>
      <c r="BR329" s="450">
        <v>0.0</v>
      </c>
      <c r="BS329" s="615" t="str">
        <f t="array" ref="BS329">XLOOKUP(D329,'PL TOTAL XP'!A:A,'PL TOTAL XP'!C:C,"0")</f>
        <v>0</v>
      </c>
      <c r="BT329" s="616"/>
    </row>
    <row r="330" ht="15.75" customHeight="1">
      <c r="A330" s="183" t="s">
        <v>3820</v>
      </c>
      <c r="B330" s="78" t="s">
        <v>4822</v>
      </c>
      <c r="C330" s="617" t="s">
        <v>4823</v>
      </c>
      <c r="D330" s="522">
        <v>4680045.0</v>
      </c>
      <c r="E330" s="676" t="s">
        <v>105</v>
      </c>
      <c r="F330" s="512" t="s">
        <v>29</v>
      </c>
      <c r="G330" s="512" t="s">
        <v>4084</v>
      </c>
      <c r="H330" s="512" t="str">
        <f>IFERROR(VLOOKUP(G330,'Cadastro de assessores'!A:B,2,FALSE),"Não Cadastrado")</f>
        <v>15049</v>
      </c>
      <c r="I330" s="512"/>
      <c r="J330" s="51" t="s">
        <v>3823</v>
      </c>
      <c r="K330" s="522" t="s">
        <v>147</v>
      </c>
      <c r="L330" s="611">
        <v>44182.0</v>
      </c>
      <c r="M330" s="611">
        <v>44183.0</v>
      </c>
      <c r="N330" s="522"/>
      <c r="O330" s="522" t="s">
        <v>3828</v>
      </c>
      <c r="P330" s="612">
        <v>0.015</v>
      </c>
      <c r="Q330" s="644"/>
      <c r="R330" s="613"/>
      <c r="S330" s="522" t="str">
        <f t="shared" si="36"/>
        <v>Não Qualificado</v>
      </c>
      <c r="T330" s="522" t="s">
        <v>108</v>
      </c>
      <c r="U330" s="522" t="s">
        <v>2580</v>
      </c>
      <c r="V330" s="522" t="s">
        <v>29</v>
      </c>
      <c r="W330" s="614" t="s">
        <v>3830</v>
      </c>
      <c r="X330" s="614" t="s">
        <v>3830</v>
      </c>
      <c r="Y330" s="614" t="s">
        <v>3830</v>
      </c>
      <c r="Z330" s="614" t="s">
        <v>3830</v>
      </c>
      <c r="AA330" s="614" t="s">
        <v>3830</v>
      </c>
      <c r="AB330" s="614" t="s">
        <v>3830</v>
      </c>
      <c r="AC330" s="614" t="s">
        <v>3830</v>
      </c>
      <c r="AD330" s="614" t="s">
        <v>3830</v>
      </c>
      <c r="AE330" s="614" t="s">
        <v>3830</v>
      </c>
      <c r="AF330" s="614" t="s">
        <v>3830</v>
      </c>
      <c r="AG330" s="614" t="s">
        <v>3830</v>
      </c>
      <c r="AH330" s="614" t="s">
        <v>3830</v>
      </c>
      <c r="AI330" s="614" t="s">
        <v>3830</v>
      </c>
      <c r="AJ330" s="614" t="s">
        <v>3830</v>
      </c>
      <c r="AK330" s="450">
        <v>398203.88</v>
      </c>
      <c r="AL330" s="450">
        <v>391190.59</v>
      </c>
      <c r="AM330" s="450">
        <v>381578.86</v>
      </c>
      <c r="AN330" s="450">
        <v>381104.04</v>
      </c>
      <c r="AO330" s="450">
        <v>392422.07</v>
      </c>
      <c r="AP330" s="450">
        <v>394786.57</v>
      </c>
      <c r="AQ330" s="450">
        <v>393223.01</v>
      </c>
      <c r="AR330" s="450">
        <v>402610.52</v>
      </c>
      <c r="AS330" s="450">
        <v>399057.16</v>
      </c>
      <c r="AT330" s="450">
        <v>3864.74</v>
      </c>
      <c r="AU330" s="450">
        <v>3867.97</v>
      </c>
      <c r="AV330" s="450">
        <v>2921.22</v>
      </c>
      <c r="AW330" s="450">
        <v>3874.79</v>
      </c>
      <c r="AX330" s="450">
        <v>3879.85</v>
      </c>
      <c r="AY330" s="450">
        <v>3886.82</v>
      </c>
      <c r="AZ330" s="450">
        <v>3894.69</v>
      </c>
      <c r="BA330" s="450">
        <v>3905.05</v>
      </c>
      <c r="BB330" s="450">
        <v>3928.37</v>
      </c>
      <c r="BC330" s="450">
        <v>822796.83</v>
      </c>
      <c r="BD330" s="450">
        <v>3994.84</v>
      </c>
      <c r="BE330" s="450">
        <v>4027.07</v>
      </c>
      <c r="BF330" s="450">
        <v>4057.32</v>
      </c>
      <c r="BG330" s="450">
        <v>4094.4</v>
      </c>
      <c r="BH330" s="450">
        <v>4129.71</v>
      </c>
      <c r="BI330" s="450">
        <v>4165.5</v>
      </c>
      <c r="BJ330" s="450">
        <v>4213.98</v>
      </c>
      <c r="BK330" s="450">
        <v>4245.58</v>
      </c>
      <c r="BL330" s="450">
        <v>4286.82</v>
      </c>
      <c r="BM330" s="450">
        <v>4318.15</v>
      </c>
      <c r="BN330" s="450">
        <v>4363.3</v>
      </c>
      <c r="BO330" s="450">
        <v>4403.72</v>
      </c>
      <c r="BP330" s="450">
        <v>4448.87</v>
      </c>
      <c r="BQ330" s="450">
        <v>4452.84</v>
      </c>
      <c r="BR330" s="450">
        <v>4501.47</v>
      </c>
      <c r="BS330" s="615">
        <f t="array" ref="BS330">XLOOKUP(D330,'PL TOTAL XP'!A:A,'PL TOTAL XP'!C:C,"0")</f>
        <v>4565.1</v>
      </c>
      <c r="BT330" s="616"/>
    </row>
    <row r="331" ht="15.75" customHeight="1">
      <c r="A331" s="183" t="s">
        <v>3820</v>
      </c>
      <c r="B331" s="78" t="s">
        <v>4824</v>
      </c>
      <c r="C331" s="645" t="s">
        <v>4825</v>
      </c>
      <c r="D331" s="522">
        <v>7854925.0</v>
      </c>
      <c r="E331" s="673" t="s">
        <v>18</v>
      </c>
      <c r="F331" s="673" t="s">
        <v>19</v>
      </c>
      <c r="G331" s="512" t="s">
        <v>213</v>
      </c>
      <c r="H331" s="512" t="str">
        <f>IFERROR(VLOOKUP(G331,'Cadastro de assessores'!A:B,2,FALSE),"Não Cadastrado")</f>
        <v>17831</v>
      </c>
      <c r="I331" s="512"/>
      <c r="J331" s="51" t="s">
        <v>3823</v>
      </c>
      <c r="K331" s="512" t="s">
        <v>107</v>
      </c>
      <c r="L331" s="610">
        <v>44602.0</v>
      </c>
      <c r="M331" s="610">
        <v>44606.0</v>
      </c>
      <c r="N331" s="522"/>
      <c r="O331" s="522" t="s">
        <v>4826</v>
      </c>
      <c r="P331" s="612">
        <v>0.012</v>
      </c>
      <c r="Q331" s="564" t="s">
        <v>4827</v>
      </c>
      <c r="R331" s="613"/>
      <c r="S331" s="522" t="str">
        <f t="shared" si="36"/>
        <v/>
      </c>
      <c r="T331" s="522" t="s">
        <v>108</v>
      </c>
      <c r="U331" s="522" t="s">
        <v>2652</v>
      </c>
      <c r="V331" s="522" t="s">
        <v>19</v>
      </c>
      <c r="W331" s="614"/>
      <c r="X331" s="614"/>
      <c r="Y331" s="614"/>
      <c r="Z331" s="614"/>
      <c r="AA331" s="614"/>
      <c r="AB331" s="614"/>
      <c r="AC331" s="614"/>
      <c r="AD331" s="614"/>
      <c r="AE331" s="614"/>
      <c r="AF331" s="614"/>
      <c r="AG331" s="614"/>
      <c r="AH331" s="614"/>
      <c r="AI331" s="614"/>
      <c r="AJ331" s="614"/>
      <c r="AK331" s="450"/>
      <c r="AL331" s="450"/>
      <c r="AM331" s="450"/>
      <c r="AN331" s="683"/>
      <c r="AO331" s="683"/>
      <c r="AP331" s="450"/>
      <c r="AQ331" s="450"/>
      <c r="AR331" s="450"/>
      <c r="AS331" s="450"/>
      <c r="AT331" s="450"/>
      <c r="AU331" s="450"/>
      <c r="AV331" s="450"/>
      <c r="AW331" s="450"/>
      <c r="AX331" s="450"/>
      <c r="AY331" s="450"/>
      <c r="AZ331" s="450"/>
      <c r="BA331" s="450">
        <v>1003072.97</v>
      </c>
      <c r="BB331" s="450">
        <v>1018292.54</v>
      </c>
      <c r="BC331" s="450"/>
      <c r="BD331" s="450">
        <v>1038688.66</v>
      </c>
      <c r="BE331" s="450">
        <v>1044856.15</v>
      </c>
      <c r="BF331" s="450">
        <v>1051319.62</v>
      </c>
      <c r="BG331" s="450">
        <v>1100.97</v>
      </c>
      <c r="BH331" s="450">
        <v>163.2</v>
      </c>
      <c r="BI331" s="450">
        <v>164.54</v>
      </c>
      <c r="BJ331" s="450">
        <v>165.91</v>
      </c>
      <c r="BK331" s="450">
        <v>116.32</v>
      </c>
      <c r="BL331" s="450">
        <v>116.32</v>
      </c>
      <c r="BM331" s="450">
        <v>116.32</v>
      </c>
      <c r="BN331" s="450">
        <v>116.32</v>
      </c>
      <c r="BO331" s="450">
        <v>116.32</v>
      </c>
      <c r="BP331" s="450">
        <v>116.32</v>
      </c>
      <c r="BQ331" s="450">
        <v>116.32</v>
      </c>
      <c r="BR331" s="450">
        <v>116.32</v>
      </c>
      <c r="BS331" s="615">
        <f t="array" ref="BS331">XLOOKUP(D331,'PL TOTAL XP'!A:A,'PL TOTAL XP'!C:C,"0")</f>
        <v>0</v>
      </c>
      <c r="BT331" s="616"/>
    </row>
    <row r="332" ht="15.75" customHeight="1">
      <c r="A332" s="183" t="s">
        <v>3820</v>
      </c>
      <c r="B332" s="78" t="s">
        <v>4828</v>
      </c>
      <c r="C332" s="617" t="s">
        <v>4829</v>
      </c>
      <c r="D332" s="522">
        <v>4901933.0</v>
      </c>
      <c r="E332" s="522" t="s">
        <v>18</v>
      </c>
      <c r="F332" s="511" t="s">
        <v>19</v>
      </c>
      <c r="G332" s="522" t="s">
        <v>256</v>
      </c>
      <c r="H332" s="522" t="str">
        <f>IFERROR(VLOOKUP(G332,'Cadastro de assessores'!A:B,2,FALSE),"Não Cadastrado")</f>
        <v>18009</v>
      </c>
      <c r="I332" s="522"/>
      <c r="J332" s="51" t="s">
        <v>186</v>
      </c>
      <c r="K332" s="522" t="s">
        <v>2563</v>
      </c>
      <c r="L332" s="619">
        <v>44251.0</v>
      </c>
      <c r="M332" s="619">
        <v>44251.0</v>
      </c>
      <c r="N332" s="619">
        <v>44783.0</v>
      </c>
      <c r="O332" s="522" t="s">
        <v>3828</v>
      </c>
      <c r="P332" s="612">
        <v>0.015</v>
      </c>
      <c r="Q332" s="620" t="s">
        <v>4830</v>
      </c>
      <c r="R332" s="613"/>
      <c r="S332" s="522" t="str">
        <f t="shared" si="36"/>
        <v>Não Qualificado</v>
      </c>
      <c r="T332" s="522" t="s">
        <v>108</v>
      </c>
      <c r="U332" s="522" t="s">
        <v>4308</v>
      </c>
      <c r="V332" s="522" t="s">
        <v>29</v>
      </c>
      <c r="W332" s="614"/>
      <c r="X332" s="614"/>
      <c r="Y332" s="614"/>
      <c r="Z332" s="614"/>
      <c r="AA332" s="614"/>
      <c r="AB332" s="614"/>
      <c r="AC332" s="614"/>
      <c r="AD332" s="614"/>
      <c r="AE332" s="614"/>
      <c r="AF332" s="614"/>
      <c r="AG332" s="614"/>
      <c r="AH332" s="614"/>
      <c r="AI332" s="614"/>
      <c r="AJ332" s="614"/>
      <c r="AK332" s="450"/>
      <c r="AL332" s="450"/>
      <c r="AM332" s="450">
        <v>200000.0</v>
      </c>
      <c r="AN332" s="683">
        <v>197301.5</v>
      </c>
      <c r="AO332" s="683">
        <v>410072.96</v>
      </c>
      <c r="AP332" s="450">
        <v>412635.92</v>
      </c>
      <c r="AQ332" s="450">
        <v>410569.99</v>
      </c>
      <c r="AR332" s="450">
        <v>422673.94</v>
      </c>
      <c r="AS332" s="450">
        <v>415486.04</v>
      </c>
      <c r="AT332" s="450">
        <v>396133.56</v>
      </c>
      <c r="AU332" s="450">
        <v>388922.28</v>
      </c>
      <c r="AV332" s="450">
        <v>388226.11</v>
      </c>
      <c r="AW332" s="450">
        <v>366560.86</v>
      </c>
      <c r="AX332" s="450">
        <v>355485.47</v>
      </c>
      <c r="AY332" s="450">
        <v>-2821.13</v>
      </c>
      <c r="AZ332" s="450">
        <v>-2814.8</v>
      </c>
      <c r="BA332" s="450">
        <v>-2807.95</v>
      </c>
      <c r="BB332" s="450">
        <v>995528.52</v>
      </c>
      <c r="BC332" s="450">
        <v>180103.83</v>
      </c>
      <c r="BD332" s="450">
        <v>1001939.54</v>
      </c>
      <c r="BE332" s="450">
        <v>1004743.2</v>
      </c>
      <c r="BF332" s="450">
        <v>1009946.06</v>
      </c>
      <c r="BG332" s="450">
        <v>0.0</v>
      </c>
      <c r="BH332" s="450">
        <v>0.0</v>
      </c>
      <c r="BI332" s="450">
        <v>0.0</v>
      </c>
      <c r="BJ332" s="450">
        <v>0.0</v>
      </c>
      <c r="BK332" s="450">
        <v>0.0</v>
      </c>
      <c r="BL332" s="450">
        <v>0.0</v>
      </c>
      <c r="BM332" s="450">
        <v>0.0</v>
      </c>
      <c r="BN332" s="450">
        <v>0.0</v>
      </c>
      <c r="BO332" s="450">
        <v>0.0</v>
      </c>
      <c r="BP332" s="450">
        <v>0.0</v>
      </c>
      <c r="BQ332" s="450">
        <v>0.0</v>
      </c>
      <c r="BR332" s="450">
        <v>0.0</v>
      </c>
      <c r="BS332" s="615" t="str">
        <f t="array" ref="BS332">XLOOKUP(D332,'PL TOTAL XP'!A:A,'PL TOTAL XP'!C:C,"0")</f>
        <v>0</v>
      </c>
      <c r="BT332" s="616"/>
    </row>
    <row r="333" ht="15.75" customHeight="1">
      <c r="A333" s="183" t="s">
        <v>3820</v>
      </c>
      <c r="B333" s="78" t="s">
        <v>1656</v>
      </c>
      <c r="C333" s="564" t="s">
        <v>1654</v>
      </c>
      <c r="D333" s="566">
        <v>581733.0</v>
      </c>
      <c r="E333" s="512" t="s">
        <v>18</v>
      </c>
      <c r="F333" s="609" t="s">
        <v>29</v>
      </c>
      <c r="G333" s="512" t="s">
        <v>704</v>
      </c>
      <c r="H333" s="512" t="str">
        <f>IFERROR(VLOOKUP(G333,'Cadastro de assessores'!A:B,2,FALSE),"Não Cadastrado")</f>
        <v>18467</v>
      </c>
      <c r="I333" s="512"/>
      <c r="J333" s="51" t="s">
        <v>3823</v>
      </c>
      <c r="K333" s="512" t="s">
        <v>107</v>
      </c>
      <c r="L333" s="610">
        <v>44452.0</v>
      </c>
      <c r="M333" s="610">
        <v>44453.0</v>
      </c>
      <c r="N333" s="566"/>
      <c r="O333" s="566" t="s">
        <v>3840</v>
      </c>
      <c r="P333" s="612">
        <v>0.015</v>
      </c>
      <c r="Q333" s="224" t="s">
        <v>4831</v>
      </c>
      <c r="R333" s="613"/>
      <c r="S333" s="522" t="str">
        <f t="shared" si="36"/>
        <v>Não Qualificado</v>
      </c>
      <c r="T333" s="522" t="s">
        <v>108</v>
      </c>
      <c r="U333" s="566" t="s">
        <v>2591</v>
      </c>
      <c r="V333" s="522" t="s">
        <v>29</v>
      </c>
      <c r="W333" s="468"/>
      <c r="X333" s="468"/>
      <c r="Y333" s="468"/>
      <c r="Z333" s="468"/>
      <c r="AA333" s="468"/>
      <c r="AB333" s="468"/>
      <c r="AC333" s="468"/>
      <c r="AD333" s="468"/>
      <c r="AE333" s="468"/>
      <c r="AF333" s="468"/>
      <c r="AG333" s="468"/>
      <c r="AH333" s="614"/>
      <c r="AI333" s="614"/>
      <c r="AJ333" s="450"/>
      <c r="AK333" s="450"/>
      <c r="AL333" s="450"/>
      <c r="AM333" s="450"/>
      <c r="AN333" s="450"/>
      <c r="AO333" s="450"/>
      <c r="AP333" s="450"/>
      <c r="AQ333" s="450"/>
      <c r="AR333" s="450"/>
      <c r="AS333" s="450"/>
      <c r="AT333" s="450"/>
      <c r="AU333" s="468"/>
      <c r="AV333" s="450">
        <v>951031.16</v>
      </c>
      <c r="AW333" s="450">
        <v>869851.48</v>
      </c>
      <c r="AX333" s="450">
        <v>860398.99</v>
      </c>
      <c r="AY333" s="450">
        <v>876757.37</v>
      </c>
      <c r="AZ333" s="450">
        <v>941496.43</v>
      </c>
      <c r="BA333" s="450">
        <v>951734.16</v>
      </c>
      <c r="BB333" s="450">
        <v>1909937.42</v>
      </c>
      <c r="BC333" s="450">
        <v>50896.83</v>
      </c>
      <c r="BD333" s="450">
        <v>2812912.31</v>
      </c>
      <c r="BE333" s="450">
        <v>2709337.74</v>
      </c>
      <c r="BF333" s="450">
        <v>2826546.62</v>
      </c>
      <c r="BG333" s="450">
        <v>2894138.846</v>
      </c>
      <c r="BH333" s="450">
        <v>2869342.75</v>
      </c>
      <c r="BI333" s="450">
        <v>3085341.3</v>
      </c>
      <c r="BJ333" s="450">
        <v>3031384.59</v>
      </c>
      <c r="BK333" s="450">
        <v>6054896.47</v>
      </c>
      <c r="BL333" s="450">
        <v>6194944.69</v>
      </c>
      <c r="BM333" s="450">
        <v>5970335.17</v>
      </c>
      <c r="BN333" s="450">
        <v>1090856.55</v>
      </c>
      <c r="BO333" s="450">
        <v>1065158.95</v>
      </c>
      <c r="BP333" s="450">
        <v>722.79</v>
      </c>
      <c r="BQ333" s="450">
        <v>722.79</v>
      </c>
      <c r="BR333" s="450">
        <v>722.79</v>
      </c>
      <c r="BS333" s="615">
        <f t="array" ref="BS333">XLOOKUP(D333,'PL TOTAL XP'!A:A,'PL TOTAL XP'!C:C,"0")</f>
        <v>0</v>
      </c>
      <c r="BT333" s="616"/>
    </row>
    <row r="334" ht="15.75" customHeight="1">
      <c r="A334" s="183" t="s">
        <v>3820</v>
      </c>
      <c r="B334" s="78" t="s">
        <v>1656</v>
      </c>
      <c r="C334" s="564" t="s">
        <v>1654</v>
      </c>
      <c r="D334" s="623">
        <v>8089465.0</v>
      </c>
      <c r="E334" s="684" t="s">
        <v>18</v>
      </c>
      <c r="F334" s="609" t="s">
        <v>29</v>
      </c>
      <c r="G334" s="512" t="s">
        <v>704</v>
      </c>
      <c r="H334" s="512" t="str">
        <f>IFERROR(VLOOKUP(G334,'Cadastro de assessores'!A:B,2,FALSE),"Não Cadastrado")</f>
        <v>18467</v>
      </c>
      <c r="I334" s="512"/>
      <c r="J334" s="51" t="s">
        <v>3823</v>
      </c>
      <c r="K334" s="566" t="s">
        <v>107</v>
      </c>
      <c r="L334" s="685">
        <v>44630.0</v>
      </c>
      <c r="M334" s="685">
        <v>44631.0</v>
      </c>
      <c r="N334" s="566"/>
      <c r="O334" s="566" t="s">
        <v>3834</v>
      </c>
      <c r="P334" s="568">
        <v>0.007</v>
      </c>
      <c r="Q334" s="224" t="s">
        <v>4831</v>
      </c>
      <c r="R334" s="613"/>
      <c r="S334" s="522" t="str">
        <f t="shared" si="36"/>
        <v>Não Qualificado</v>
      </c>
      <c r="T334" s="522" t="s">
        <v>108</v>
      </c>
      <c r="U334" s="566" t="s">
        <v>2591</v>
      </c>
      <c r="V334" s="566" t="s">
        <v>29</v>
      </c>
      <c r="W334" s="468"/>
      <c r="X334" s="468"/>
      <c r="Y334" s="468"/>
      <c r="Z334" s="468"/>
      <c r="AA334" s="468"/>
      <c r="AB334" s="468"/>
      <c r="AC334" s="468"/>
      <c r="AD334" s="468"/>
      <c r="AE334" s="468"/>
      <c r="AF334" s="468"/>
      <c r="AG334" s="468"/>
      <c r="AH334" s="468"/>
      <c r="AI334" s="468"/>
      <c r="AJ334" s="468"/>
      <c r="AK334" s="450"/>
      <c r="AL334" s="450"/>
      <c r="AM334" s="450"/>
      <c r="AN334" s="450"/>
      <c r="AO334" s="450"/>
      <c r="AP334" s="450"/>
      <c r="AQ334" s="450"/>
      <c r="AR334" s="450"/>
      <c r="AS334" s="450"/>
      <c r="AT334" s="450"/>
      <c r="AU334" s="468"/>
      <c r="AV334" s="450"/>
      <c r="AW334" s="450"/>
      <c r="AX334" s="450"/>
      <c r="AY334" s="450"/>
      <c r="AZ334" s="450"/>
      <c r="BA334" s="450">
        <v>0.0</v>
      </c>
      <c r="BB334" s="450">
        <v>503946.85</v>
      </c>
      <c r="BC334" s="450">
        <v>637816.29</v>
      </c>
      <c r="BD334" s="450">
        <v>516582.41</v>
      </c>
      <c r="BE334" s="450">
        <v>520424.92</v>
      </c>
      <c r="BF334" s="450">
        <v>525088.31</v>
      </c>
      <c r="BG334" s="450">
        <v>528815.6007</v>
      </c>
      <c r="BH334" s="450">
        <v>531858.44</v>
      </c>
      <c r="BI334" s="450">
        <v>535918.58</v>
      </c>
      <c r="BJ334" s="450">
        <v>540175.41</v>
      </c>
      <c r="BK334" s="450">
        <v>545058.25</v>
      </c>
      <c r="BL334" s="450">
        <v>551445.04</v>
      </c>
      <c r="BM334" s="450">
        <v>555998.5</v>
      </c>
      <c r="BN334" s="450">
        <v>561634.64</v>
      </c>
      <c r="BO334" s="450">
        <v>567176.34</v>
      </c>
      <c r="BP334" s="450">
        <v>570061.59</v>
      </c>
      <c r="BQ334" s="450">
        <v>238794.46</v>
      </c>
      <c r="BR334" s="450">
        <v>242014.64</v>
      </c>
      <c r="BS334" s="615">
        <f t="array" ref="BS334">XLOOKUP(D334,'PL TOTAL XP'!A:A,'PL TOTAL XP'!C:C,"0")</f>
        <v>0</v>
      </c>
      <c r="BT334" s="616"/>
    </row>
    <row r="335" ht="15.75" customHeight="1">
      <c r="A335" s="183" t="s">
        <v>3820</v>
      </c>
      <c r="B335" s="78" t="s">
        <v>1660</v>
      </c>
      <c r="C335" s="564" t="s">
        <v>1658</v>
      </c>
      <c r="D335" s="566">
        <v>5581002.0</v>
      </c>
      <c r="E335" s="512" t="s">
        <v>18</v>
      </c>
      <c r="F335" s="512" t="s">
        <v>29</v>
      </c>
      <c r="G335" s="609" t="s">
        <v>168</v>
      </c>
      <c r="H335" s="609">
        <f>IFERROR(VLOOKUP(G335,'Cadastro de assessores'!A:B,2,FALSE),"Não Cadastrado")</f>
        <v>12344</v>
      </c>
      <c r="I335" s="609"/>
      <c r="J335" s="51" t="s">
        <v>3823</v>
      </c>
      <c r="K335" s="512" t="s">
        <v>107</v>
      </c>
      <c r="L335" s="610">
        <v>44340.0</v>
      </c>
      <c r="M335" s="610">
        <v>44340.0</v>
      </c>
      <c r="N335" s="566"/>
      <c r="O335" s="566" t="s">
        <v>3840</v>
      </c>
      <c r="P335" s="612">
        <v>0.025</v>
      </c>
      <c r="Q335" s="620" t="s">
        <v>4832</v>
      </c>
      <c r="R335" s="613"/>
      <c r="S335" s="522" t="str">
        <f t="shared" si="36"/>
        <v/>
      </c>
      <c r="T335" s="522" t="s">
        <v>108</v>
      </c>
      <c r="U335" s="522" t="s">
        <v>2623</v>
      </c>
      <c r="V335" s="522" t="s">
        <v>29</v>
      </c>
      <c r="W335" s="614"/>
      <c r="X335" s="468"/>
      <c r="Y335" s="468"/>
      <c r="Z335" s="468"/>
      <c r="AA335" s="468"/>
      <c r="AB335" s="468"/>
      <c r="AC335" s="468"/>
      <c r="AD335" s="468"/>
      <c r="AE335" s="468"/>
      <c r="AF335" s="468"/>
      <c r="AG335" s="468"/>
      <c r="AH335" s="468"/>
      <c r="AI335" s="468"/>
      <c r="AJ335" s="468"/>
      <c r="AK335" s="450"/>
      <c r="AL335" s="450"/>
      <c r="AM335" s="450"/>
      <c r="AN335" s="450"/>
      <c r="AO335" s="450"/>
      <c r="AP335" s="450"/>
      <c r="AQ335" s="468"/>
      <c r="AR335" s="449">
        <v>60542.03</v>
      </c>
      <c r="AS335" s="450">
        <v>59852.3</v>
      </c>
      <c r="AT335" s="450">
        <v>57965.74</v>
      </c>
      <c r="AU335" s="450">
        <v>57258.44</v>
      </c>
      <c r="AV335" s="450">
        <v>55669.98</v>
      </c>
      <c r="AW335" s="450">
        <v>53045.04</v>
      </c>
      <c r="AX335" s="450">
        <v>52818.05</v>
      </c>
      <c r="AY335" s="450">
        <v>52872.73</v>
      </c>
      <c r="AZ335" s="450">
        <v>56187.18</v>
      </c>
      <c r="BA335" s="450">
        <v>56655.89</v>
      </c>
      <c r="BB335" s="450">
        <v>60093.62</v>
      </c>
      <c r="BC335" s="450"/>
      <c r="BD335" s="450">
        <v>57003.27</v>
      </c>
      <c r="BE335" s="450">
        <v>55103.46</v>
      </c>
      <c r="BF335" s="450">
        <v>57551.0</v>
      </c>
      <c r="BG335" s="450">
        <v>57857.50375</v>
      </c>
      <c r="BH335" s="450">
        <v>57454.6</v>
      </c>
      <c r="BI335" s="450">
        <v>61644.2</v>
      </c>
      <c r="BJ335" s="450">
        <v>60365.74</v>
      </c>
      <c r="BK335" s="450">
        <v>60031.65</v>
      </c>
      <c r="BL335" s="450">
        <v>61670.9</v>
      </c>
      <c r="BM335" s="450">
        <v>59245.23</v>
      </c>
      <c r="BN335" s="450">
        <v>18568.03</v>
      </c>
      <c r="BO335" s="450">
        <v>0.0</v>
      </c>
      <c r="BP335" s="450">
        <v>0.0</v>
      </c>
      <c r="BQ335" s="450">
        <v>0.0</v>
      </c>
      <c r="BR335" s="450">
        <v>0.0</v>
      </c>
      <c r="BS335" s="615">
        <f t="array" ref="BS335">XLOOKUP(D335,'PL TOTAL XP'!A:A,'PL TOTAL XP'!C:C,"0")</f>
        <v>0</v>
      </c>
      <c r="BT335" s="616"/>
    </row>
    <row r="336" ht="15.75" customHeight="1">
      <c r="A336" s="183" t="s">
        <v>3820</v>
      </c>
      <c r="B336" s="78" t="s">
        <v>1660</v>
      </c>
      <c r="C336" s="617" t="s">
        <v>1658</v>
      </c>
      <c r="D336" s="667">
        <v>4924154.0</v>
      </c>
      <c r="E336" s="512" t="s">
        <v>18</v>
      </c>
      <c r="F336" s="512" t="s">
        <v>29</v>
      </c>
      <c r="G336" s="512" t="s">
        <v>168</v>
      </c>
      <c r="H336" s="512">
        <f>IFERROR(VLOOKUP(G336,'Cadastro de assessores'!A:B,2,FALSE),"Não Cadastrado")</f>
        <v>12344</v>
      </c>
      <c r="I336" s="512"/>
      <c r="J336" s="46" t="s">
        <v>107</v>
      </c>
      <c r="K336" s="512" t="s">
        <v>107</v>
      </c>
      <c r="L336" s="610">
        <v>44265.0</v>
      </c>
      <c r="M336" s="610">
        <v>44265.0</v>
      </c>
      <c r="N336" s="522"/>
      <c r="O336" s="522" t="s">
        <v>3834</v>
      </c>
      <c r="P336" s="612">
        <v>0.007</v>
      </c>
      <c r="Q336" s="620" t="s">
        <v>4833</v>
      </c>
      <c r="R336" s="613"/>
      <c r="S336" s="522" t="str">
        <f t="shared" si="36"/>
        <v>Não Qualificado</v>
      </c>
      <c r="T336" s="522" t="s">
        <v>108</v>
      </c>
      <c r="U336" s="522" t="s">
        <v>2623</v>
      </c>
      <c r="V336" s="522" t="s">
        <v>29</v>
      </c>
      <c r="W336" s="614"/>
      <c r="X336" s="614"/>
      <c r="Y336" s="614"/>
      <c r="Z336" s="614"/>
      <c r="AA336" s="614"/>
      <c r="AB336" s="614"/>
      <c r="AC336" s="614"/>
      <c r="AD336" s="614"/>
      <c r="AE336" s="614"/>
      <c r="AF336" s="614"/>
      <c r="AG336" s="614"/>
      <c r="AH336" s="614"/>
      <c r="AI336" s="614"/>
      <c r="AJ336" s="614"/>
      <c r="AK336" s="450"/>
      <c r="AL336" s="450"/>
      <c r="AM336" s="450"/>
      <c r="AN336" s="450" t="s">
        <v>2600</v>
      </c>
      <c r="AO336" s="450">
        <v>205953.3</v>
      </c>
      <c r="AP336" s="450">
        <v>456248.41</v>
      </c>
      <c r="AQ336" s="450">
        <v>454408.78</v>
      </c>
      <c r="AR336" s="450">
        <v>464742.7</v>
      </c>
      <c r="AS336" s="450">
        <v>462387.94</v>
      </c>
      <c r="AT336" s="450">
        <v>453138.04</v>
      </c>
      <c r="AU336" s="450">
        <v>450340.15</v>
      </c>
      <c r="AV336" s="450">
        <v>444220.23</v>
      </c>
      <c r="AW336" s="450">
        <v>430012.36</v>
      </c>
      <c r="AX336" s="450">
        <v>430130.71</v>
      </c>
      <c r="AY336" s="450">
        <v>639580.41</v>
      </c>
      <c r="AZ336" s="450">
        <v>649053.12</v>
      </c>
      <c r="BA336" s="450">
        <v>655845.78</v>
      </c>
      <c r="BB336" s="450">
        <v>667367.74</v>
      </c>
      <c r="BC336" s="450">
        <v>205028.31</v>
      </c>
      <c r="BD336" s="450">
        <v>677757.69</v>
      </c>
      <c r="BE336" s="450">
        <v>684294.89</v>
      </c>
      <c r="BF336" s="450">
        <v>689325.44</v>
      </c>
      <c r="BG336" s="450">
        <v>692045.3834</v>
      </c>
      <c r="BH336" s="450">
        <v>695614.45</v>
      </c>
      <c r="BI336" s="450">
        <v>700089.31</v>
      </c>
      <c r="BJ336" s="450">
        <v>705989.9</v>
      </c>
      <c r="BK336" s="450">
        <v>711561.15</v>
      </c>
      <c r="BL336" s="450">
        <v>719129.12</v>
      </c>
      <c r="BM336" s="450">
        <v>723866.31</v>
      </c>
      <c r="BN336" s="450">
        <v>49953.48</v>
      </c>
      <c r="BO336" s="450">
        <v>50333.8</v>
      </c>
      <c r="BP336" s="450">
        <v>50750.19</v>
      </c>
      <c r="BQ336" s="450">
        <v>51134.81</v>
      </c>
      <c r="BR336" s="450">
        <v>51619.49</v>
      </c>
      <c r="BS336" s="615">
        <f t="array" ref="BS336">XLOOKUP(D336,'PL TOTAL XP'!A:A,'PL TOTAL XP'!C:C,"0")</f>
        <v>56230.48</v>
      </c>
      <c r="BT336" s="616"/>
    </row>
    <row r="337" ht="15.75" customHeight="1">
      <c r="A337" s="183" t="s">
        <v>3820</v>
      </c>
      <c r="B337" s="78" t="s">
        <v>4834</v>
      </c>
      <c r="C337" s="564" t="s">
        <v>4835</v>
      </c>
      <c r="D337" s="566">
        <v>2580097.0</v>
      </c>
      <c r="E337" s="522" t="s">
        <v>18</v>
      </c>
      <c r="F337" s="522" t="s">
        <v>29</v>
      </c>
      <c r="G337" s="522" t="s">
        <v>3708</v>
      </c>
      <c r="H337" s="522" t="str">
        <f>IFERROR(VLOOKUP(G337,'Cadastro de assessores'!A:B,2,FALSE),"Não Cadastrado")</f>
        <v>18266</v>
      </c>
      <c r="I337" s="522"/>
      <c r="J337" s="51" t="s">
        <v>186</v>
      </c>
      <c r="K337" s="522" t="s">
        <v>2563</v>
      </c>
      <c r="L337" s="567">
        <v>44341.0</v>
      </c>
      <c r="M337" s="567">
        <v>44341.0</v>
      </c>
      <c r="N337" s="619">
        <v>44788.0</v>
      </c>
      <c r="O337" s="566" t="s">
        <v>4836</v>
      </c>
      <c r="P337" s="612">
        <v>0.025</v>
      </c>
      <c r="Q337" s="620" t="s">
        <v>4837</v>
      </c>
      <c r="R337" s="613"/>
      <c r="S337" s="522" t="str">
        <f t="shared" si="36"/>
        <v/>
      </c>
      <c r="T337" s="522" t="s">
        <v>108</v>
      </c>
      <c r="U337" s="522" t="s">
        <v>2623</v>
      </c>
      <c r="V337" s="522" t="s">
        <v>29</v>
      </c>
      <c r="W337" s="614"/>
      <c r="X337" s="468"/>
      <c r="Y337" s="468"/>
      <c r="Z337" s="468"/>
      <c r="AA337" s="468"/>
      <c r="AB337" s="468"/>
      <c r="AC337" s="468"/>
      <c r="AD337" s="468"/>
      <c r="AE337" s="468"/>
      <c r="AF337" s="468"/>
      <c r="AG337" s="468"/>
      <c r="AH337" s="468"/>
      <c r="AI337" s="468"/>
      <c r="AJ337" s="468"/>
      <c r="AK337" s="450"/>
      <c r="AL337" s="450"/>
      <c r="AM337" s="450"/>
      <c r="AN337" s="450"/>
      <c r="AO337" s="450"/>
      <c r="AP337" s="450"/>
      <c r="AQ337" s="468"/>
      <c r="AR337" s="449"/>
      <c r="AS337" s="450">
        <v>577652.22</v>
      </c>
      <c r="AT337" s="450">
        <v>575639.6</v>
      </c>
      <c r="AU337" s="450">
        <v>568694.87</v>
      </c>
      <c r="AV337" s="450">
        <v>560472.09</v>
      </c>
      <c r="AW337" s="450">
        <v>536502.82</v>
      </c>
      <c r="AX337" s="450">
        <v>521307.3</v>
      </c>
      <c r="AY337" s="450">
        <v>542612.58</v>
      </c>
      <c r="AZ337" s="450">
        <v>559074.34</v>
      </c>
      <c r="BA337" s="450">
        <v>563877.35</v>
      </c>
      <c r="BB337" s="450">
        <v>586788.45</v>
      </c>
      <c r="BC337" s="450"/>
      <c r="BD337" s="450">
        <v>581428.85</v>
      </c>
      <c r="BE337" s="450">
        <v>567151.2</v>
      </c>
      <c r="BF337" s="450">
        <v>589720.54</v>
      </c>
      <c r="BG337" s="450">
        <v>0.0</v>
      </c>
      <c r="BH337" s="450">
        <v>0.0</v>
      </c>
      <c r="BI337" s="450">
        <v>0.0</v>
      </c>
      <c r="BJ337" s="450">
        <v>0.0</v>
      </c>
      <c r="BK337" s="450">
        <v>0.0</v>
      </c>
      <c r="BL337" s="450">
        <v>0.0</v>
      </c>
      <c r="BM337" s="450">
        <v>0.0</v>
      </c>
      <c r="BN337" s="450">
        <v>0.0</v>
      </c>
      <c r="BO337" s="450">
        <v>0.0</v>
      </c>
      <c r="BP337" s="450">
        <v>0.0</v>
      </c>
      <c r="BQ337" s="450">
        <v>0.0</v>
      </c>
      <c r="BR337" s="450">
        <v>0.0</v>
      </c>
      <c r="BS337" s="615" t="str">
        <f t="array" ref="BS337">XLOOKUP(D337,'PL TOTAL XP'!A:A,'PL TOTAL XP'!C:C,"0")</f>
        <v>0</v>
      </c>
      <c r="BT337" s="616"/>
    </row>
    <row r="338" ht="15.75" customHeight="1">
      <c r="A338" s="183" t="s">
        <v>3820</v>
      </c>
      <c r="B338" s="78" t="s">
        <v>4838</v>
      </c>
      <c r="C338" s="564" t="s">
        <v>4839</v>
      </c>
      <c r="D338" s="566">
        <v>6130739.0</v>
      </c>
      <c r="E338" s="522" t="s">
        <v>18</v>
      </c>
      <c r="F338" s="511" t="s">
        <v>19</v>
      </c>
      <c r="G338" s="566" t="s">
        <v>256</v>
      </c>
      <c r="H338" s="566" t="str">
        <f>IFERROR(VLOOKUP(G338,'Cadastro de assessores'!A:B,2,FALSE),"Não Cadastrado")</f>
        <v>18009</v>
      </c>
      <c r="I338" s="566"/>
      <c r="J338" s="51" t="s">
        <v>186</v>
      </c>
      <c r="K338" s="522" t="s">
        <v>2563</v>
      </c>
      <c r="L338" s="619">
        <v>44424.0</v>
      </c>
      <c r="M338" s="619">
        <v>44424.0</v>
      </c>
      <c r="N338" s="567">
        <v>44642.0</v>
      </c>
      <c r="O338" s="566" t="s">
        <v>4037</v>
      </c>
      <c r="P338" s="612">
        <v>0.02</v>
      </c>
      <c r="Q338" s="620" t="s">
        <v>4840</v>
      </c>
      <c r="R338" s="613"/>
      <c r="S338" s="522" t="str">
        <f t="shared" si="36"/>
        <v>Não Qualificado</v>
      </c>
      <c r="T338" s="522" t="s">
        <v>108</v>
      </c>
      <c r="U338" s="566" t="s">
        <v>2619</v>
      </c>
      <c r="V338" s="566" t="s">
        <v>152</v>
      </c>
      <c r="W338" s="468"/>
      <c r="X338" s="468"/>
      <c r="Y338" s="468"/>
      <c r="Z338" s="468"/>
      <c r="AA338" s="468"/>
      <c r="AB338" s="468"/>
      <c r="AC338" s="468"/>
      <c r="AD338" s="468"/>
      <c r="AE338" s="468"/>
      <c r="AF338" s="468"/>
      <c r="AG338" s="468"/>
      <c r="AH338" s="468"/>
      <c r="AI338" s="450"/>
      <c r="AJ338" s="450"/>
      <c r="AK338" s="450"/>
      <c r="AL338" s="450"/>
      <c r="AM338" s="450"/>
      <c r="AN338" s="450"/>
      <c r="AO338" s="450"/>
      <c r="AP338" s="450"/>
      <c r="AQ338" s="468"/>
      <c r="AR338" s="450"/>
      <c r="AS338" s="634"/>
      <c r="AT338" s="449"/>
      <c r="AU338" s="449">
        <v>58370.93</v>
      </c>
      <c r="AV338" s="450">
        <v>63281.05</v>
      </c>
      <c r="AW338" s="450">
        <v>60958.62</v>
      </c>
      <c r="AX338" s="450">
        <v>55399.79</v>
      </c>
      <c r="AY338" s="450">
        <v>57692.72</v>
      </c>
      <c r="AZ338" s="450">
        <v>59869.84</v>
      </c>
      <c r="BA338" s="450">
        <v>61564.78</v>
      </c>
      <c r="BB338" s="450">
        <v>0.0</v>
      </c>
      <c r="BC338" s="450">
        <v>146845.2</v>
      </c>
      <c r="BD338" s="450" t="s">
        <v>2566</v>
      </c>
      <c r="BE338" s="450" t="s">
        <v>2566</v>
      </c>
      <c r="BF338" s="450">
        <v>0.0</v>
      </c>
      <c r="BG338" s="450">
        <v>0.0</v>
      </c>
      <c r="BH338" s="450">
        <v>0.0</v>
      </c>
      <c r="BI338" s="450">
        <v>0.0</v>
      </c>
      <c r="BJ338" s="450">
        <v>0.0</v>
      </c>
      <c r="BK338" s="450">
        <v>0.0</v>
      </c>
      <c r="BL338" s="450">
        <v>0.0</v>
      </c>
      <c r="BM338" s="450">
        <v>0.0</v>
      </c>
      <c r="BN338" s="450">
        <v>0.0</v>
      </c>
      <c r="BO338" s="450">
        <v>0.0</v>
      </c>
      <c r="BP338" s="450">
        <v>0.0</v>
      </c>
      <c r="BQ338" s="450">
        <v>0.0</v>
      </c>
      <c r="BR338" s="450">
        <v>0.0</v>
      </c>
      <c r="BS338" s="615" t="str">
        <f t="array" ref="BS338">XLOOKUP(D338,'PL TOTAL XP'!A:A,'PL TOTAL XP'!C:C,"0")</f>
        <v>0</v>
      </c>
      <c r="BT338" s="616"/>
    </row>
    <row r="339" ht="15.75" customHeight="1">
      <c r="A339" s="183" t="s">
        <v>3820</v>
      </c>
      <c r="B339" s="78" t="s">
        <v>1671</v>
      </c>
      <c r="C339" s="564" t="s">
        <v>1669</v>
      </c>
      <c r="D339" s="566">
        <v>511539.0</v>
      </c>
      <c r="E339" s="512" t="s">
        <v>18</v>
      </c>
      <c r="F339" s="609" t="s">
        <v>19</v>
      </c>
      <c r="G339" s="512" t="s">
        <v>256</v>
      </c>
      <c r="H339" s="609" t="str">
        <f>IFERROR(VLOOKUP(G339,'Cadastro de assessores'!A:B,2,FALSE),"Não Cadastrado")</f>
        <v>18009</v>
      </c>
      <c r="I339" s="609"/>
      <c r="J339" s="51" t="s">
        <v>3823</v>
      </c>
      <c r="K339" s="512" t="s">
        <v>107</v>
      </c>
      <c r="L339" s="610">
        <v>44368.0</v>
      </c>
      <c r="M339" s="610">
        <v>44379.0</v>
      </c>
      <c r="N339" s="566"/>
      <c r="O339" s="566" t="s">
        <v>3998</v>
      </c>
      <c r="P339" s="612">
        <v>0.02</v>
      </c>
      <c r="Q339" s="620" t="s">
        <v>4841</v>
      </c>
      <c r="R339" s="613"/>
      <c r="S339" s="522" t="str">
        <f t="shared" si="36"/>
        <v>Não Qualificado</v>
      </c>
      <c r="T339" s="522" t="s">
        <v>108</v>
      </c>
      <c r="U339" s="566" t="s">
        <v>2619</v>
      </c>
      <c r="V339" s="566" t="s">
        <v>152</v>
      </c>
      <c r="W339" s="468"/>
      <c r="X339" s="468"/>
      <c r="Y339" s="468"/>
      <c r="Z339" s="468"/>
      <c r="AA339" s="468"/>
      <c r="AB339" s="468"/>
      <c r="AC339" s="468"/>
      <c r="AD339" s="468"/>
      <c r="AE339" s="468"/>
      <c r="AF339" s="468"/>
      <c r="AG339" s="468"/>
      <c r="AH339" s="468"/>
      <c r="AI339" s="468"/>
      <c r="AJ339" s="450"/>
      <c r="AK339" s="450"/>
      <c r="AL339" s="450"/>
      <c r="AM339" s="450"/>
      <c r="AN339" s="450"/>
      <c r="AO339" s="450"/>
      <c r="AP339" s="450"/>
      <c r="AQ339" s="450"/>
      <c r="AR339" s="468"/>
      <c r="AS339" s="450">
        <v>219293.09</v>
      </c>
      <c r="AT339" s="450">
        <v>323991.89</v>
      </c>
      <c r="AU339" s="450">
        <v>324379.8</v>
      </c>
      <c r="AV339" s="450">
        <v>302822.08</v>
      </c>
      <c r="AW339" s="450">
        <v>280057.33</v>
      </c>
      <c r="AX339" s="450">
        <v>280203.68</v>
      </c>
      <c r="AY339" s="450">
        <v>298775.29</v>
      </c>
      <c r="AZ339" s="450">
        <v>313786.7</v>
      </c>
      <c r="BA339" s="450">
        <v>300363.98</v>
      </c>
      <c r="BB339" s="450">
        <v>229960.55</v>
      </c>
      <c r="BC339" s="450">
        <v>510153.46</v>
      </c>
      <c r="BD339" s="450">
        <v>173094.36</v>
      </c>
      <c r="BE339" s="450">
        <v>173489.34</v>
      </c>
      <c r="BF339" s="450">
        <v>169590.33</v>
      </c>
      <c r="BG339" s="450">
        <v>174099.9796</v>
      </c>
      <c r="BH339" s="450">
        <v>173274.89</v>
      </c>
      <c r="BI339" s="450">
        <v>187390.69</v>
      </c>
      <c r="BJ339" s="450">
        <v>185400.78</v>
      </c>
      <c r="BK339" s="450">
        <v>187647.31</v>
      </c>
      <c r="BL339" s="450">
        <v>190456.27</v>
      </c>
      <c r="BM339" s="450">
        <v>56607.46</v>
      </c>
      <c r="BN339" s="450">
        <v>144933.72</v>
      </c>
      <c r="BO339" s="450">
        <v>273767.52</v>
      </c>
      <c r="BP339" s="450">
        <v>304981.88</v>
      </c>
      <c r="BQ339" s="450">
        <v>313360.17</v>
      </c>
      <c r="BR339" s="450">
        <v>335727.37</v>
      </c>
      <c r="BS339" s="615" t="str">
        <f t="array" ref="BS339">XLOOKUP(D339,'PL TOTAL XP'!A:A,'PL TOTAL XP'!C:C,"0")</f>
        <v>0</v>
      </c>
      <c r="BT339" s="616"/>
    </row>
    <row r="340" ht="15.75" customHeight="1">
      <c r="A340" s="183" t="s">
        <v>3820</v>
      </c>
      <c r="B340" s="78" t="s">
        <v>4842</v>
      </c>
      <c r="C340" s="617" t="s">
        <v>4843</v>
      </c>
      <c r="D340" s="522">
        <v>4687018.0</v>
      </c>
      <c r="E340" s="522" t="s">
        <v>105</v>
      </c>
      <c r="F340" s="522" t="s">
        <v>29</v>
      </c>
      <c r="G340" s="522" t="s">
        <v>4844</v>
      </c>
      <c r="H340" s="522" t="str">
        <f>IFERROR(VLOOKUP(G340,'Cadastro de assessores'!A:B,2,FALSE),"Não Cadastrado")</f>
        <v>1153</v>
      </c>
      <c r="I340" s="522"/>
      <c r="J340" s="51" t="s">
        <v>186</v>
      </c>
      <c r="K340" s="522" t="s">
        <v>2563</v>
      </c>
      <c r="L340" s="619">
        <v>44225.0</v>
      </c>
      <c r="M340" s="619">
        <v>44225.0</v>
      </c>
      <c r="N340" s="619">
        <v>44627.0</v>
      </c>
      <c r="O340" s="522" t="s">
        <v>3840</v>
      </c>
      <c r="P340" s="612">
        <v>0.025</v>
      </c>
      <c r="Q340" s="620" t="s">
        <v>4845</v>
      </c>
      <c r="R340" s="613"/>
      <c r="S340" s="522" t="str">
        <f t="shared" si="36"/>
        <v>Não Qualificado</v>
      </c>
      <c r="T340" s="522" t="s">
        <v>108</v>
      </c>
      <c r="U340" s="522" t="s">
        <v>2602</v>
      </c>
      <c r="V340" s="522" t="s">
        <v>29</v>
      </c>
      <c r="W340" s="614"/>
      <c r="X340" s="614"/>
      <c r="Y340" s="614"/>
      <c r="Z340" s="614"/>
      <c r="AA340" s="614"/>
      <c r="AB340" s="614"/>
      <c r="AC340" s="614"/>
      <c r="AD340" s="614"/>
      <c r="AE340" s="614"/>
      <c r="AF340" s="614"/>
      <c r="AG340" s="614"/>
      <c r="AH340" s="614"/>
      <c r="AI340" s="614"/>
      <c r="AJ340" s="614"/>
      <c r="AK340" s="450"/>
      <c r="AL340" s="450">
        <v>100000.0</v>
      </c>
      <c r="AM340" s="450">
        <v>91602.81</v>
      </c>
      <c r="AN340" s="450">
        <v>91781.65</v>
      </c>
      <c r="AO340" s="450">
        <v>98550.31</v>
      </c>
      <c r="AP340" s="450">
        <v>99915.38</v>
      </c>
      <c r="AQ340" s="450">
        <v>98882.91</v>
      </c>
      <c r="AR340" s="450">
        <v>104542.83</v>
      </c>
      <c r="AS340" s="450">
        <v>102105.65</v>
      </c>
      <c r="AT340" s="450">
        <v>96664.69</v>
      </c>
      <c r="AU340" s="450">
        <v>94607.91</v>
      </c>
      <c r="AV340" s="450">
        <v>89003.16</v>
      </c>
      <c r="AW340" s="450">
        <v>82348.38</v>
      </c>
      <c r="AX340" s="450">
        <v>81517.85</v>
      </c>
      <c r="AY340" s="450">
        <v>83123.07</v>
      </c>
      <c r="AZ340" s="450">
        <v>88260.56</v>
      </c>
      <c r="BA340" s="450">
        <v>89433.03</v>
      </c>
      <c r="BB340" s="450">
        <v>0.0</v>
      </c>
      <c r="BC340" s="450">
        <v>668697.21</v>
      </c>
      <c r="BD340" s="450" t="s">
        <v>2566</v>
      </c>
      <c r="BE340" s="450" t="s">
        <v>2566</v>
      </c>
      <c r="BF340" s="450">
        <v>0.0</v>
      </c>
      <c r="BG340" s="450">
        <v>0.0</v>
      </c>
      <c r="BH340" s="450">
        <v>0.0</v>
      </c>
      <c r="BI340" s="450">
        <v>0.0</v>
      </c>
      <c r="BJ340" s="450">
        <v>0.0</v>
      </c>
      <c r="BK340" s="450">
        <v>0.0</v>
      </c>
      <c r="BL340" s="450">
        <v>0.0</v>
      </c>
      <c r="BM340" s="450">
        <v>0.0</v>
      </c>
      <c r="BN340" s="450">
        <v>0.0</v>
      </c>
      <c r="BO340" s="450">
        <v>0.0</v>
      </c>
      <c r="BP340" s="450">
        <v>0.0</v>
      </c>
      <c r="BQ340" s="450">
        <v>0.0</v>
      </c>
      <c r="BR340" s="450">
        <v>0.0</v>
      </c>
      <c r="BS340" s="615" t="str">
        <f t="array" ref="BS340">XLOOKUP(D340,'PL TOTAL XP'!A:A,'PL TOTAL XP'!C:C,"0")</f>
        <v>0</v>
      </c>
      <c r="BT340" s="616"/>
    </row>
    <row r="341" ht="15.75" customHeight="1">
      <c r="A341" s="183" t="s">
        <v>3820</v>
      </c>
      <c r="B341" s="78" t="s">
        <v>4846</v>
      </c>
      <c r="C341" s="617" t="s">
        <v>4847</v>
      </c>
      <c r="D341" s="522">
        <v>4637696.0</v>
      </c>
      <c r="E341" s="512" t="s">
        <v>18</v>
      </c>
      <c r="F341" s="512" t="s">
        <v>29</v>
      </c>
      <c r="G341" s="512" t="s">
        <v>2213</v>
      </c>
      <c r="H341" s="512" t="str">
        <f>IFERROR(VLOOKUP(G341,'Cadastro de assessores'!A:B,2,FALSE),"Não Cadastrado")</f>
        <v>18256</v>
      </c>
      <c r="I341" s="512"/>
      <c r="J341" s="51" t="s">
        <v>3823</v>
      </c>
      <c r="K341" s="512" t="s">
        <v>107</v>
      </c>
      <c r="L341" s="610">
        <v>44249.0</v>
      </c>
      <c r="M341" s="610">
        <v>44249.0</v>
      </c>
      <c r="N341" s="522"/>
      <c r="O341" s="522" t="s">
        <v>3828</v>
      </c>
      <c r="P341" s="612">
        <v>0.015</v>
      </c>
      <c r="Q341" s="620"/>
      <c r="R341" s="613"/>
      <c r="S341" s="522" t="str">
        <f t="shared" si="36"/>
        <v>Não Qualificado</v>
      </c>
      <c r="T341" s="522" t="s">
        <v>108</v>
      </c>
      <c r="U341" s="522" t="s">
        <v>2623</v>
      </c>
      <c r="V341" s="522" t="s">
        <v>29</v>
      </c>
      <c r="W341" s="614" t="s">
        <v>3830</v>
      </c>
      <c r="X341" s="614" t="s">
        <v>3830</v>
      </c>
      <c r="Y341" s="614" t="s">
        <v>3830</v>
      </c>
      <c r="Z341" s="614" t="s">
        <v>3830</v>
      </c>
      <c r="AA341" s="614" t="s">
        <v>3830</v>
      </c>
      <c r="AB341" s="614" t="s">
        <v>3830</v>
      </c>
      <c r="AC341" s="614" t="s">
        <v>3830</v>
      </c>
      <c r="AD341" s="614" t="s">
        <v>3830</v>
      </c>
      <c r="AE341" s="614" t="s">
        <v>3830</v>
      </c>
      <c r="AF341" s="614" t="s">
        <v>3830</v>
      </c>
      <c r="AG341" s="614" t="s">
        <v>3830</v>
      </c>
      <c r="AH341" s="614" t="s">
        <v>3830</v>
      </c>
      <c r="AI341" s="614" t="s">
        <v>3830</v>
      </c>
      <c r="AJ341" s="614" t="s">
        <v>3830</v>
      </c>
      <c r="AK341" s="450" t="s">
        <v>2600</v>
      </c>
      <c r="AL341" s="450"/>
      <c r="AM341" s="450">
        <v>49451.99</v>
      </c>
      <c r="AN341" s="683">
        <v>75248.01</v>
      </c>
      <c r="AO341" s="683">
        <v>78717.96</v>
      </c>
      <c r="AP341" s="450">
        <v>79160.38</v>
      </c>
      <c r="AQ341" s="450">
        <v>78833.65</v>
      </c>
      <c r="AR341" s="450">
        <v>80682.09</v>
      </c>
      <c r="AS341" s="450">
        <v>80278.39</v>
      </c>
      <c r="AT341" s="450">
        <v>78284.75</v>
      </c>
      <c r="AU341" s="450">
        <v>77617.91</v>
      </c>
      <c r="AV341" s="450">
        <v>75855.05</v>
      </c>
      <c r="AW341" s="450">
        <v>73112.98</v>
      </c>
      <c r="AX341" s="450">
        <v>73294.37</v>
      </c>
      <c r="AY341" s="450">
        <v>74032.06</v>
      </c>
      <c r="AZ341" s="450">
        <v>75932.62</v>
      </c>
      <c r="BA341" s="450">
        <v>76605.95</v>
      </c>
      <c r="BB341" s="450">
        <v>74292.56</v>
      </c>
      <c r="BC341" s="450">
        <v>122586.49</v>
      </c>
      <c r="BD341" s="450">
        <v>78639.99</v>
      </c>
      <c r="BE341" s="450">
        <v>78399.95</v>
      </c>
      <c r="BF341" s="450">
        <v>79430.77</v>
      </c>
      <c r="BG341" s="450">
        <v>79736.02775</v>
      </c>
      <c r="BH341" s="450">
        <v>80278.92</v>
      </c>
      <c r="BI341" s="450">
        <v>83171.17</v>
      </c>
      <c r="BJ341" s="450">
        <v>82709.7</v>
      </c>
      <c r="BK341" s="450">
        <v>83389.41</v>
      </c>
      <c r="BL341" s="450">
        <v>84332.43</v>
      </c>
      <c r="BM341" s="450">
        <v>84962.65</v>
      </c>
      <c r="BN341" s="450">
        <v>85859.23</v>
      </c>
      <c r="BO341" s="450">
        <v>86675.12</v>
      </c>
      <c r="BP341" s="450">
        <v>87061.07</v>
      </c>
      <c r="BQ341" s="450">
        <v>87691.38</v>
      </c>
      <c r="BR341" s="450">
        <v>88568.73</v>
      </c>
      <c r="BS341" s="615">
        <f t="array" ref="BS341">XLOOKUP(D341,'PL TOTAL XP'!A:A,'PL TOTAL XP'!C:C,"0")</f>
        <v>0</v>
      </c>
      <c r="BT341" s="616"/>
    </row>
    <row r="342" ht="15.75" customHeight="1">
      <c r="A342" s="183" t="s">
        <v>3820</v>
      </c>
      <c r="B342" s="78" t="s">
        <v>4848</v>
      </c>
      <c r="C342" s="617" t="s">
        <v>4849</v>
      </c>
      <c r="D342" s="522">
        <v>4644940.0</v>
      </c>
      <c r="E342" s="512" t="s">
        <v>2550</v>
      </c>
      <c r="F342" s="512" t="s">
        <v>29</v>
      </c>
      <c r="G342" s="512" t="s">
        <v>2550</v>
      </c>
      <c r="H342" s="512" t="str">
        <f>IFERROR(VLOOKUP(G342,'Cadastro de assessores'!A:B,2,FALSE),"Não Cadastrado")</f>
        <v>18986</v>
      </c>
      <c r="I342" s="512"/>
      <c r="J342" s="51" t="s">
        <v>3823</v>
      </c>
      <c r="K342" s="512" t="s">
        <v>107</v>
      </c>
      <c r="L342" s="611">
        <v>44186.0</v>
      </c>
      <c r="M342" s="611">
        <v>44195.0</v>
      </c>
      <c r="N342" s="522"/>
      <c r="O342" s="522" t="s">
        <v>3836</v>
      </c>
      <c r="P342" s="612">
        <v>0.012</v>
      </c>
      <c r="Q342" s="620"/>
      <c r="R342" s="613"/>
      <c r="S342" s="522" t="str">
        <f t="shared" si="36"/>
        <v>Não Qualificado</v>
      </c>
      <c r="T342" s="522" t="s">
        <v>108</v>
      </c>
      <c r="U342" s="522" t="s">
        <v>2591</v>
      </c>
      <c r="V342" s="522" t="s">
        <v>29</v>
      </c>
      <c r="W342" s="614" t="s">
        <v>3830</v>
      </c>
      <c r="X342" s="614" t="s">
        <v>3830</v>
      </c>
      <c r="Y342" s="614" t="s">
        <v>3830</v>
      </c>
      <c r="Z342" s="614" t="s">
        <v>3830</v>
      </c>
      <c r="AA342" s="614" t="s">
        <v>3830</v>
      </c>
      <c r="AB342" s="614" t="s">
        <v>3830</v>
      </c>
      <c r="AC342" s="614" t="s">
        <v>3830</v>
      </c>
      <c r="AD342" s="614" t="s">
        <v>3830</v>
      </c>
      <c r="AE342" s="614" t="s">
        <v>3830</v>
      </c>
      <c r="AF342" s="614" t="s">
        <v>3830</v>
      </c>
      <c r="AG342" s="614" t="s">
        <v>3830</v>
      </c>
      <c r="AH342" s="614" t="s">
        <v>3830</v>
      </c>
      <c r="AI342" s="614" t="s">
        <v>3830</v>
      </c>
      <c r="AJ342" s="614" t="s">
        <v>3830</v>
      </c>
      <c r="AK342" s="450">
        <v>219924.3</v>
      </c>
      <c r="AL342" s="450">
        <v>218648.6</v>
      </c>
      <c r="AM342" s="450">
        <v>215302.17</v>
      </c>
      <c r="AN342" s="683">
        <v>215535.41</v>
      </c>
      <c r="AO342" s="683">
        <v>218476.43</v>
      </c>
      <c r="AP342" s="450">
        <v>219212.25</v>
      </c>
      <c r="AQ342" s="450">
        <v>218800.15</v>
      </c>
      <c r="AR342" s="450">
        <v>220297.73</v>
      </c>
      <c r="AS342" s="450">
        <v>219623.1</v>
      </c>
      <c r="AT342" s="450">
        <v>217750.94</v>
      </c>
      <c r="AU342" s="450">
        <v>16405.69</v>
      </c>
      <c r="AV342" s="450">
        <v>15050.99</v>
      </c>
      <c r="AW342" s="450">
        <v>14244.51</v>
      </c>
      <c r="AX342" s="450">
        <v>13938.25</v>
      </c>
      <c r="AY342" s="450">
        <v>14065.4</v>
      </c>
      <c r="AZ342" s="450">
        <v>14699.1</v>
      </c>
      <c r="BA342" s="450">
        <v>14346.95</v>
      </c>
      <c r="BB342" s="450">
        <v>15267.34</v>
      </c>
      <c r="BC342" s="450">
        <v>131747.56</v>
      </c>
      <c r="BD342" s="450">
        <v>14444.03</v>
      </c>
      <c r="BE342" s="450">
        <v>14139.94</v>
      </c>
      <c r="BF342" s="450">
        <v>14523.45</v>
      </c>
      <c r="BG342" s="450">
        <v>14565.87</v>
      </c>
      <c r="BH342" s="450">
        <v>14454.44</v>
      </c>
      <c r="BI342" s="450">
        <v>15350.47</v>
      </c>
      <c r="BJ342" s="450">
        <v>15075.8</v>
      </c>
      <c r="BK342" s="450">
        <v>20.0</v>
      </c>
      <c r="BL342" s="450">
        <v>41.88</v>
      </c>
      <c r="BM342" s="450">
        <v>41.88</v>
      </c>
      <c r="BN342" s="450">
        <v>41.89</v>
      </c>
      <c r="BO342" s="450">
        <v>41.89</v>
      </c>
      <c r="BP342" s="450">
        <v>41.89</v>
      </c>
      <c r="BQ342" s="450">
        <v>41.89</v>
      </c>
      <c r="BR342" s="450">
        <v>41.89</v>
      </c>
      <c r="BS342" s="615">
        <f t="array" ref="BS342">XLOOKUP(D342,'PL TOTAL XP'!A:A,'PL TOTAL XP'!C:C,"0")</f>
        <v>0</v>
      </c>
      <c r="BT342" s="616"/>
    </row>
    <row r="343" ht="15.75" customHeight="1">
      <c r="A343" s="183" t="s">
        <v>3820</v>
      </c>
      <c r="B343" s="78" t="s">
        <v>4850</v>
      </c>
      <c r="C343" s="645" t="s">
        <v>1678</v>
      </c>
      <c r="D343" s="623">
        <v>4358218.0</v>
      </c>
      <c r="E343" s="609" t="s">
        <v>18</v>
      </c>
      <c r="F343" s="609" t="s">
        <v>29</v>
      </c>
      <c r="G343" s="512" t="s">
        <v>168</v>
      </c>
      <c r="H343" s="512">
        <f>IFERROR(VLOOKUP(G343,'Cadastro de assessores'!A:B,2,FALSE),"Não Cadastrado")</f>
        <v>12344</v>
      </c>
      <c r="I343" s="512"/>
      <c r="J343" s="51" t="s">
        <v>3823</v>
      </c>
      <c r="K343" s="512" t="s">
        <v>107</v>
      </c>
      <c r="L343" s="624">
        <v>44782.0</v>
      </c>
      <c r="M343" s="624">
        <v>44774.0</v>
      </c>
      <c r="N343" s="566"/>
      <c r="O343" s="566" t="s">
        <v>3834</v>
      </c>
      <c r="P343" s="612">
        <v>0.007</v>
      </c>
      <c r="Q343" s="620" t="s">
        <v>3834</v>
      </c>
      <c r="R343" s="613"/>
      <c r="S343" s="522"/>
      <c r="T343" s="522" t="s">
        <v>108</v>
      </c>
      <c r="U343" s="522" t="s">
        <v>2623</v>
      </c>
      <c r="V343" s="522" t="s">
        <v>29</v>
      </c>
      <c r="W343" s="614"/>
      <c r="X343" s="614"/>
      <c r="Y343" s="614"/>
      <c r="Z343" s="614"/>
      <c r="AA343" s="614"/>
      <c r="AB343" s="614"/>
      <c r="AC343" s="614"/>
      <c r="AD343" s="614"/>
      <c r="AE343" s="614"/>
      <c r="AF343" s="614"/>
      <c r="AG343" s="614"/>
      <c r="AH343" s="614"/>
      <c r="AI343" s="614"/>
      <c r="AJ343" s="614"/>
      <c r="AK343" s="450"/>
      <c r="AL343" s="450"/>
      <c r="AM343" s="450"/>
      <c r="AN343" s="683"/>
      <c r="AO343" s="683"/>
      <c r="AP343" s="450"/>
      <c r="AQ343" s="450"/>
      <c r="AR343" s="450"/>
      <c r="AS343" s="450"/>
      <c r="AT343" s="450"/>
      <c r="AU343" s="450"/>
      <c r="AV343" s="450"/>
      <c r="AW343" s="450"/>
      <c r="AX343" s="450"/>
      <c r="AY343" s="450"/>
      <c r="AZ343" s="450"/>
      <c r="BA343" s="450"/>
      <c r="BB343" s="450"/>
      <c r="BC343" s="450"/>
      <c r="BD343" s="450"/>
      <c r="BE343" s="450">
        <v>107140.46</v>
      </c>
      <c r="BF343" s="450">
        <v>107928.65</v>
      </c>
      <c r="BG343" s="450">
        <v>109258.9438</v>
      </c>
      <c r="BH343" s="450">
        <v>108363.94</v>
      </c>
      <c r="BI343" s="450">
        <v>109430.78</v>
      </c>
      <c r="BJ343" s="450">
        <v>110426.31</v>
      </c>
      <c r="BK343" s="450">
        <v>111432.62</v>
      </c>
      <c r="BL343" s="450">
        <v>112653.58</v>
      </c>
      <c r="BM343" s="450">
        <v>113563.18</v>
      </c>
      <c r="BN343" s="450">
        <v>54935.96</v>
      </c>
      <c r="BO343" s="450">
        <v>0.0</v>
      </c>
      <c r="BP343" s="450">
        <v>0.0</v>
      </c>
      <c r="BQ343" s="450">
        <v>0.0</v>
      </c>
      <c r="BR343" s="450">
        <v>0.0</v>
      </c>
      <c r="BS343" s="615">
        <f t="array" ref="BS343">XLOOKUP(D343,'PL TOTAL XP'!A:A,'PL TOTAL XP'!C:C,"0")</f>
        <v>0</v>
      </c>
      <c r="BT343" s="616"/>
    </row>
    <row r="344" ht="15.75" customHeight="1">
      <c r="A344" s="183" t="s">
        <v>3820</v>
      </c>
      <c r="B344" s="78" t="s">
        <v>1684</v>
      </c>
      <c r="C344" s="645" t="s">
        <v>1682</v>
      </c>
      <c r="D344" s="623">
        <v>7998263.0</v>
      </c>
      <c r="E344" s="609" t="s">
        <v>18</v>
      </c>
      <c r="F344" s="609" t="s">
        <v>19</v>
      </c>
      <c r="G344" s="512" t="s">
        <v>20</v>
      </c>
      <c r="H344" s="512">
        <f>IFERROR(VLOOKUP(G344,'Cadastro de assessores'!A:B,2,FALSE),"Não Cadastrado")</f>
        <v>12331</v>
      </c>
      <c r="I344" s="512"/>
      <c r="J344" s="51" t="s">
        <v>3823</v>
      </c>
      <c r="K344" s="512" t="s">
        <v>107</v>
      </c>
      <c r="L344" s="624">
        <v>44615.0</v>
      </c>
      <c r="M344" s="624">
        <v>44623.0</v>
      </c>
      <c r="N344" s="566"/>
      <c r="O344" s="566" t="s">
        <v>3834</v>
      </c>
      <c r="P344" s="612">
        <v>0.007</v>
      </c>
      <c r="Q344" s="620" t="s">
        <v>4851</v>
      </c>
      <c r="R344" s="613"/>
      <c r="S344" s="522" t="str">
        <f t="shared" ref="S344:S356" si="37">IF(BC344&lt;=0,"",IF(BC344&lt;=1000000,"Não Qualificado",IF(AND(BC344&gt;1000000,BC344&lt;=10000000),"Qualificado","Profissional")))</f>
        <v>Não Qualificado</v>
      </c>
      <c r="T344" s="522" t="s">
        <v>108</v>
      </c>
      <c r="U344" s="522" t="s">
        <v>4095</v>
      </c>
      <c r="V344" s="522" t="s">
        <v>19</v>
      </c>
      <c r="W344" s="614"/>
      <c r="X344" s="614"/>
      <c r="Y344" s="614"/>
      <c r="Z344" s="614"/>
      <c r="AA344" s="614"/>
      <c r="AB344" s="614"/>
      <c r="AC344" s="614"/>
      <c r="AD344" s="614"/>
      <c r="AE344" s="614"/>
      <c r="AF344" s="614"/>
      <c r="AG344" s="614"/>
      <c r="AH344" s="614"/>
      <c r="AI344" s="614"/>
      <c r="AJ344" s="614"/>
      <c r="AK344" s="450"/>
      <c r="AL344" s="450"/>
      <c r="AM344" s="450"/>
      <c r="AN344" s="683"/>
      <c r="AO344" s="683"/>
      <c r="AP344" s="450"/>
      <c r="AQ344" s="450"/>
      <c r="AR344" s="450"/>
      <c r="AS344" s="450"/>
      <c r="AT344" s="450"/>
      <c r="AU344" s="450"/>
      <c r="AV344" s="450"/>
      <c r="AW344" s="450"/>
      <c r="AX344" s="450"/>
      <c r="AY344" s="450"/>
      <c r="AZ344" s="450"/>
      <c r="BA344" s="450"/>
      <c r="BB344" s="450">
        <v>121675.07</v>
      </c>
      <c r="BC344" s="450">
        <v>507136.02</v>
      </c>
      <c r="BD344" s="450">
        <v>123814.09</v>
      </c>
      <c r="BE344" s="450">
        <v>124514.67</v>
      </c>
      <c r="BF344" s="450">
        <v>124935.9</v>
      </c>
      <c r="BG344" s="450">
        <v>141745.8053</v>
      </c>
      <c r="BH344" s="450">
        <v>142806.16</v>
      </c>
      <c r="BI344" s="450">
        <v>143997.01</v>
      </c>
      <c r="BJ344" s="450">
        <v>144033.93</v>
      </c>
      <c r="BK344" s="450">
        <v>145564.7</v>
      </c>
      <c r="BL344" s="450">
        <v>162873.7</v>
      </c>
      <c r="BM344" s="450">
        <v>149002.39</v>
      </c>
      <c r="BN344" s="450">
        <v>0.0</v>
      </c>
      <c r="BO344" s="450">
        <v>0.0</v>
      </c>
      <c r="BP344" s="450">
        <v>0.0</v>
      </c>
      <c r="BQ344" s="450">
        <v>0.0</v>
      </c>
      <c r="BR344" s="450">
        <v>0.0</v>
      </c>
      <c r="BS344" s="615">
        <f t="array" ref="BS344">XLOOKUP(D344,'PL TOTAL XP'!A:A,'PL TOTAL XP'!C:C,"0")</f>
        <v>0</v>
      </c>
      <c r="BT344" s="616"/>
    </row>
    <row r="345" ht="15.75" customHeight="1">
      <c r="A345" s="183" t="s">
        <v>3820</v>
      </c>
      <c r="B345" s="78" t="s">
        <v>4852</v>
      </c>
      <c r="C345" s="617" t="s">
        <v>4853</v>
      </c>
      <c r="D345" s="522">
        <v>4697028.0</v>
      </c>
      <c r="E345" s="512" t="s">
        <v>105</v>
      </c>
      <c r="F345" s="512" t="s">
        <v>29</v>
      </c>
      <c r="G345" s="512" t="s">
        <v>4122</v>
      </c>
      <c r="H345" s="512" t="str">
        <f>IFERROR(VLOOKUP(G345,'Cadastro de assessores'!A:B,2,FALSE),"Não Cadastrado")</f>
        <v>19157</v>
      </c>
      <c r="I345" s="512"/>
      <c r="J345" s="51" t="s">
        <v>186</v>
      </c>
      <c r="K345" s="512" t="s">
        <v>107</v>
      </c>
      <c r="L345" s="611">
        <v>44189.0</v>
      </c>
      <c r="M345" s="611">
        <v>44195.0</v>
      </c>
      <c r="N345" s="522"/>
      <c r="O345" s="522" t="s">
        <v>3824</v>
      </c>
      <c r="P345" s="612">
        <v>0.02</v>
      </c>
      <c r="Q345" s="620"/>
      <c r="R345" s="613"/>
      <c r="S345" s="522" t="str">
        <f t="shared" si="37"/>
        <v/>
      </c>
      <c r="T345" s="522" t="s">
        <v>108</v>
      </c>
      <c r="U345" s="522" t="s">
        <v>3123</v>
      </c>
      <c r="V345" s="522" t="s">
        <v>29</v>
      </c>
      <c r="W345" s="614" t="s">
        <v>3830</v>
      </c>
      <c r="X345" s="614" t="s">
        <v>3830</v>
      </c>
      <c r="Y345" s="614" t="s">
        <v>3830</v>
      </c>
      <c r="Z345" s="614" t="s">
        <v>3830</v>
      </c>
      <c r="AA345" s="614" t="s">
        <v>3830</v>
      </c>
      <c r="AB345" s="614" t="s">
        <v>3830</v>
      </c>
      <c r="AC345" s="614" t="s">
        <v>3830</v>
      </c>
      <c r="AD345" s="614" t="s">
        <v>3830</v>
      </c>
      <c r="AE345" s="614" t="s">
        <v>3830</v>
      </c>
      <c r="AF345" s="614" t="s">
        <v>3830</v>
      </c>
      <c r="AG345" s="614" t="s">
        <v>3830</v>
      </c>
      <c r="AH345" s="614" t="s">
        <v>3830</v>
      </c>
      <c r="AI345" s="614" t="s">
        <v>3830</v>
      </c>
      <c r="AJ345" s="614" t="s">
        <v>3830</v>
      </c>
      <c r="AK345" s="450">
        <v>203913.24</v>
      </c>
      <c r="AL345" s="450">
        <v>198367.63</v>
      </c>
      <c r="AM345" s="450">
        <v>190710.34</v>
      </c>
      <c r="AN345" s="683">
        <v>190901.3</v>
      </c>
      <c r="AO345" s="683">
        <v>198964.46</v>
      </c>
      <c r="AP345" s="450">
        <v>200620.27</v>
      </c>
      <c r="AQ345" s="450">
        <v>199374.08</v>
      </c>
      <c r="AR345" s="450">
        <v>206282.08</v>
      </c>
      <c r="AS345" s="450">
        <v>203701.2</v>
      </c>
      <c r="AT345" s="450">
        <v>197116.9</v>
      </c>
      <c r="AU345" s="450">
        <v>194862.89</v>
      </c>
      <c r="AV345" s="450">
        <v>163898.1</v>
      </c>
      <c r="AW345" s="450">
        <v>154877.21</v>
      </c>
      <c r="AX345" s="450">
        <v>141420.73</v>
      </c>
      <c r="AY345" s="450">
        <v>95039.49</v>
      </c>
      <c r="AZ345" s="450">
        <v>99776.19</v>
      </c>
      <c r="BA345" s="450">
        <v>96054.1</v>
      </c>
      <c r="BB345" s="450">
        <v>86746.4</v>
      </c>
      <c r="BC345" s="450"/>
      <c r="BD345" s="450">
        <v>65396.66</v>
      </c>
      <c r="BE345" s="450">
        <v>57537.42</v>
      </c>
      <c r="BF345" s="450">
        <v>61165.2</v>
      </c>
      <c r="BG345" s="450">
        <v>62153.12</v>
      </c>
      <c r="BH345" s="450">
        <v>59378.76</v>
      </c>
      <c r="BI345" s="450">
        <v>62764.61</v>
      </c>
      <c r="BJ345" s="450">
        <v>0.0</v>
      </c>
      <c r="BK345" s="450">
        <v>0.0</v>
      </c>
      <c r="BL345" s="450">
        <v>0.0</v>
      </c>
      <c r="BM345" s="450">
        <v>0.0</v>
      </c>
      <c r="BN345" s="450">
        <v>0.0</v>
      </c>
      <c r="BO345" s="450">
        <v>0.0</v>
      </c>
      <c r="BP345" s="450">
        <v>0.0</v>
      </c>
      <c r="BQ345" s="450">
        <v>0.0</v>
      </c>
      <c r="BR345" s="450">
        <v>0.0</v>
      </c>
      <c r="BS345" s="615" t="str">
        <f t="array" ref="BS345">XLOOKUP(D345,'PL TOTAL XP'!A:A,'PL TOTAL XP'!C:C,"0")</f>
        <v>0</v>
      </c>
      <c r="BT345" s="616"/>
    </row>
    <row r="346" ht="15.75" customHeight="1">
      <c r="A346" s="183" t="s">
        <v>3820</v>
      </c>
      <c r="B346" s="78" t="s">
        <v>1687</v>
      </c>
      <c r="C346" s="617" t="s">
        <v>1685</v>
      </c>
      <c r="D346" s="522">
        <v>4945025.0</v>
      </c>
      <c r="E346" s="512" t="s">
        <v>18</v>
      </c>
      <c r="F346" s="512" t="s">
        <v>29</v>
      </c>
      <c r="G346" s="512" t="s">
        <v>2803</v>
      </c>
      <c r="H346" s="512" t="str">
        <f>IFERROR(VLOOKUP(G346,'Cadastro de assessores'!A:B,2,FALSE),"Não Cadastrado")</f>
        <v>18236</v>
      </c>
      <c r="I346" s="512"/>
      <c r="J346" s="51" t="s">
        <v>3823</v>
      </c>
      <c r="K346" s="512" t="s">
        <v>107</v>
      </c>
      <c r="L346" s="610">
        <v>44266.0</v>
      </c>
      <c r="M346" s="610">
        <v>44266.0</v>
      </c>
      <c r="N346" s="522"/>
      <c r="O346" s="522" t="s">
        <v>3836</v>
      </c>
      <c r="P346" s="612">
        <v>0.012</v>
      </c>
      <c r="Q346" s="620" t="s">
        <v>4851</v>
      </c>
      <c r="R346" s="613"/>
      <c r="S346" s="522" t="str">
        <f t="shared" si="37"/>
        <v>Qualificado</v>
      </c>
      <c r="T346" s="522" t="s">
        <v>108</v>
      </c>
      <c r="U346" s="522" t="s">
        <v>3487</v>
      </c>
      <c r="V346" s="522" t="s">
        <v>29</v>
      </c>
      <c r="W346" s="614"/>
      <c r="X346" s="614"/>
      <c r="Y346" s="614"/>
      <c r="Z346" s="614"/>
      <c r="AA346" s="614"/>
      <c r="AB346" s="614"/>
      <c r="AC346" s="614"/>
      <c r="AD346" s="614"/>
      <c r="AE346" s="614"/>
      <c r="AF346" s="614"/>
      <c r="AG346" s="614"/>
      <c r="AH346" s="614"/>
      <c r="AI346" s="614"/>
      <c r="AJ346" s="614"/>
      <c r="AK346" s="450"/>
      <c r="AL346" s="450"/>
      <c r="AM346" s="450"/>
      <c r="AN346" s="683"/>
      <c r="AO346" s="683">
        <v>201954.1</v>
      </c>
      <c r="AP346" s="450">
        <v>202852.06</v>
      </c>
      <c r="AQ346" s="450">
        <v>202487.48</v>
      </c>
      <c r="AR346" s="450">
        <v>205149.78</v>
      </c>
      <c r="AS346" s="450">
        <v>204729.64</v>
      </c>
      <c r="AT346" s="450">
        <v>203100.33</v>
      </c>
      <c r="AU346" s="450">
        <v>202950.8</v>
      </c>
      <c r="AV346" s="450">
        <v>201870.78</v>
      </c>
      <c r="AW346" s="450">
        <v>200146.25</v>
      </c>
      <c r="AX346" s="450">
        <v>200782.89</v>
      </c>
      <c r="AY346" s="450">
        <v>202879.77</v>
      </c>
      <c r="AZ346" s="450">
        <v>206469.79</v>
      </c>
      <c r="BA346" s="450">
        <v>207928.19</v>
      </c>
      <c r="BB346" s="450">
        <v>212603.54</v>
      </c>
      <c r="BC346" s="450">
        <v>1508584.52</v>
      </c>
      <c r="BD346" s="450">
        <v>213289.16</v>
      </c>
      <c r="BE346" s="450">
        <v>213751.81</v>
      </c>
      <c r="BF346" s="450">
        <v>216538.31</v>
      </c>
      <c r="BG346" s="450">
        <v>218074.6657</v>
      </c>
      <c r="BH346" s="450">
        <v>219043.36</v>
      </c>
      <c r="BI346" s="450">
        <v>223090.4</v>
      </c>
      <c r="BJ346" s="450">
        <v>223367.66</v>
      </c>
      <c r="BK346" s="450">
        <v>225079.94</v>
      </c>
      <c r="BL346" s="450">
        <v>227581.7</v>
      </c>
      <c r="BM346" s="450">
        <v>229005.91</v>
      </c>
      <c r="BN346" s="450">
        <v>231275.95</v>
      </c>
      <c r="BO346" s="450">
        <v>112.29</v>
      </c>
      <c r="BP346" s="450">
        <v>112.29</v>
      </c>
      <c r="BQ346" s="450">
        <v>112.29</v>
      </c>
      <c r="BR346" s="450">
        <v>112.29</v>
      </c>
      <c r="BS346" s="615">
        <f t="array" ref="BS346">XLOOKUP(D346,'PL TOTAL XP'!A:A,'PL TOTAL XP'!C:C,"0")</f>
        <v>0</v>
      </c>
      <c r="BT346" s="616"/>
    </row>
    <row r="347" ht="15.75" customHeight="1">
      <c r="A347" s="183" t="s">
        <v>3820</v>
      </c>
      <c r="B347" s="78" t="s">
        <v>4854</v>
      </c>
      <c r="C347" s="132" t="s">
        <v>4855</v>
      </c>
      <c r="D347" s="566">
        <v>7438369.0</v>
      </c>
      <c r="E347" s="522" t="s">
        <v>105</v>
      </c>
      <c r="F347" s="511" t="s">
        <v>29</v>
      </c>
      <c r="G347" s="566" t="s">
        <v>3873</v>
      </c>
      <c r="H347" s="522" t="str">
        <f>IFERROR(VLOOKUP(G347,'Cadastro de assessores'!A:B,2,FALSE),"Não Cadastrado")</f>
        <v>12624</v>
      </c>
      <c r="I347" s="522"/>
      <c r="J347" s="51" t="s">
        <v>186</v>
      </c>
      <c r="K347" s="522" t="s">
        <v>2563</v>
      </c>
      <c r="L347" s="686">
        <v>44551.0</v>
      </c>
      <c r="M347" s="686">
        <v>44551.0</v>
      </c>
      <c r="N347" s="687">
        <v>44329.0</v>
      </c>
      <c r="O347" s="566" t="s">
        <v>3840</v>
      </c>
      <c r="P347" s="612">
        <v>0.025</v>
      </c>
      <c r="Q347" s="620" t="s">
        <v>4856</v>
      </c>
      <c r="R347" s="613"/>
      <c r="S347" s="522" t="str">
        <f t="shared" si="37"/>
        <v>Não Qualificado</v>
      </c>
      <c r="T347" s="522" t="s">
        <v>108</v>
      </c>
      <c r="U347" s="522" t="s">
        <v>2623</v>
      </c>
      <c r="V347" s="522" t="s">
        <v>29</v>
      </c>
      <c r="W347" s="614"/>
      <c r="X347" s="614"/>
      <c r="Y347" s="614"/>
      <c r="Z347" s="614"/>
      <c r="AA347" s="614"/>
      <c r="AB347" s="614"/>
      <c r="AC347" s="614"/>
      <c r="AD347" s="614"/>
      <c r="AE347" s="614"/>
      <c r="AF347" s="614"/>
      <c r="AG347" s="614"/>
      <c r="AH347" s="614"/>
      <c r="AI347" s="614"/>
      <c r="AJ347" s="614"/>
      <c r="AK347" s="450"/>
      <c r="AL347" s="450"/>
      <c r="AM347" s="450"/>
      <c r="AN347" s="450"/>
      <c r="AO347" s="450"/>
      <c r="AP347" s="450"/>
      <c r="AQ347" s="450"/>
      <c r="AR347" s="450"/>
      <c r="AS347" s="450"/>
      <c r="AT347" s="450"/>
      <c r="AU347" s="450"/>
      <c r="AV347" s="450"/>
      <c r="AW347" s="450"/>
      <c r="AX347" s="468"/>
      <c r="AY347" s="468"/>
      <c r="AZ347" s="614"/>
      <c r="BA347" s="614">
        <v>0.0</v>
      </c>
      <c r="BB347" s="614">
        <v>30467.31</v>
      </c>
      <c r="BC347" s="614">
        <v>156168.97</v>
      </c>
      <c r="BD347" s="450" t="s">
        <v>2566</v>
      </c>
      <c r="BE347" s="450" t="s">
        <v>2566</v>
      </c>
      <c r="BF347" s="450">
        <v>0.0</v>
      </c>
      <c r="BG347" s="450">
        <v>0.0</v>
      </c>
      <c r="BH347" s="450">
        <v>0.0</v>
      </c>
      <c r="BI347" s="450">
        <v>0.0</v>
      </c>
      <c r="BJ347" s="450">
        <v>0.0</v>
      </c>
      <c r="BK347" s="450">
        <v>0.0</v>
      </c>
      <c r="BL347" s="450">
        <v>0.0</v>
      </c>
      <c r="BM347" s="450">
        <v>0.0</v>
      </c>
      <c r="BN347" s="450">
        <v>0.0</v>
      </c>
      <c r="BO347" s="450">
        <v>0.0</v>
      </c>
      <c r="BP347" s="450">
        <v>0.0</v>
      </c>
      <c r="BQ347" s="450">
        <v>0.0</v>
      </c>
      <c r="BR347" s="450">
        <v>0.0</v>
      </c>
      <c r="BS347" s="615" t="str">
        <f t="array" ref="BS347">XLOOKUP(D347,'PL TOTAL XP'!A:A,'PL TOTAL XP'!C:C,"0")</f>
        <v>0</v>
      </c>
      <c r="BT347" s="616"/>
    </row>
    <row r="348" ht="15.75" customHeight="1">
      <c r="A348" s="183" t="s">
        <v>3820</v>
      </c>
      <c r="B348" s="78" t="s">
        <v>4854</v>
      </c>
      <c r="C348" s="132" t="s">
        <v>4855</v>
      </c>
      <c r="D348" s="566">
        <v>7542389.0</v>
      </c>
      <c r="E348" s="522" t="s">
        <v>105</v>
      </c>
      <c r="F348" s="511" t="s">
        <v>29</v>
      </c>
      <c r="G348" s="566" t="s">
        <v>3873</v>
      </c>
      <c r="H348" s="522" t="str">
        <f>IFERROR(VLOOKUP(G348,'Cadastro de assessores'!A:B,2,FALSE),"Não Cadastrado")</f>
        <v>12624</v>
      </c>
      <c r="I348" s="522"/>
      <c r="J348" s="51" t="s">
        <v>186</v>
      </c>
      <c r="K348" s="522" t="s">
        <v>2563</v>
      </c>
      <c r="L348" s="567">
        <v>44579.0</v>
      </c>
      <c r="M348" s="567">
        <v>44579.0</v>
      </c>
      <c r="N348" s="567">
        <v>44694.0</v>
      </c>
      <c r="O348" s="566" t="s">
        <v>3834</v>
      </c>
      <c r="P348" s="612">
        <v>0.007</v>
      </c>
      <c r="Q348" s="620" t="s">
        <v>4856</v>
      </c>
      <c r="R348" s="613"/>
      <c r="S348" s="522" t="str">
        <f t="shared" si="37"/>
        <v>Não Qualificado</v>
      </c>
      <c r="T348" s="522" t="s">
        <v>108</v>
      </c>
      <c r="U348" s="522" t="s">
        <v>2623</v>
      </c>
      <c r="V348" s="522" t="s">
        <v>29</v>
      </c>
      <c r="W348" s="614"/>
      <c r="X348" s="614"/>
      <c r="Y348" s="614"/>
      <c r="Z348" s="614"/>
      <c r="AA348" s="614"/>
      <c r="AB348" s="614"/>
      <c r="AC348" s="614"/>
      <c r="AD348" s="614"/>
      <c r="AE348" s="614"/>
      <c r="AF348" s="614"/>
      <c r="AG348" s="614"/>
      <c r="AH348" s="614"/>
      <c r="AI348" s="614"/>
      <c r="AJ348" s="614"/>
      <c r="AK348" s="450"/>
      <c r="AL348" s="450"/>
      <c r="AM348" s="450"/>
      <c r="AN348" s="450"/>
      <c r="AO348" s="450"/>
      <c r="AP348" s="450"/>
      <c r="AQ348" s="450"/>
      <c r="AR348" s="450"/>
      <c r="AS348" s="450"/>
      <c r="AT348" s="450"/>
      <c r="AU348" s="450"/>
      <c r="AV348" s="450"/>
      <c r="AW348" s="450"/>
      <c r="AX348" s="468"/>
      <c r="AY348" s="468"/>
      <c r="AZ348" s="634">
        <v>119497.48</v>
      </c>
      <c r="BA348" s="634">
        <v>133883.44</v>
      </c>
      <c r="BB348" s="634">
        <v>133883.94</v>
      </c>
      <c r="BC348" s="634">
        <v>830803.48</v>
      </c>
      <c r="BD348" s="450" t="s">
        <v>2566</v>
      </c>
      <c r="BE348" s="450" t="s">
        <v>2566</v>
      </c>
      <c r="BF348" s="450">
        <v>0.0</v>
      </c>
      <c r="BG348" s="450">
        <v>0.0</v>
      </c>
      <c r="BH348" s="450">
        <v>0.0</v>
      </c>
      <c r="BI348" s="450">
        <v>0.0</v>
      </c>
      <c r="BJ348" s="450">
        <v>0.0</v>
      </c>
      <c r="BK348" s="450">
        <v>0.0</v>
      </c>
      <c r="BL348" s="450">
        <v>0.0</v>
      </c>
      <c r="BM348" s="450">
        <v>0.0</v>
      </c>
      <c r="BN348" s="450">
        <v>0.0</v>
      </c>
      <c r="BO348" s="450">
        <v>0.0</v>
      </c>
      <c r="BP348" s="450">
        <v>0.0</v>
      </c>
      <c r="BQ348" s="450">
        <v>0.0</v>
      </c>
      <c r="BR348" s="450">
        <v>0.0</v>
      </c>
      <c r="BS348" s="615" t="str">
        <f t="array" ref="BS348">XLOOKUP(D348,'PL TOTAL XP'!A:A,'PL TOTAL XP'!C:C,"0")</f>
        <v>0</v>
      </c>
      <c r="BT348" s="616"/>
    </row>
    <row r="349" ht="15.75" customHeight="1">
      <c r="A349" s="183" t="s">
        <v>3820</v>
      </c>
      <c r="B349" s="78" t="s">
        <v>4857</v>
      </c>
      <c r="C349" s="617" t="s">
        <v>4858</v>
      </c>
      <c r="D349" s="522">
        <v>4455201.0</v>
      </c>
      <c r="E349" s="522" t="s">
        <v>105</v>
      </c>
      <c r="F349" s="522" t="s">
        <v>29</v>
      </c>
      <c r="G349" s="522" t="s">
        <v>3993</v>
      </c>
      <c r="H349" s="522" t="str">
        <f>IFERROR(VLOOKUP(G349,'Cadastro de assessores'!A:B,2,FALSE),"Não Cadastrado")</f>
        <v>16459</v>
      </c>
      <c r="I349" s="522"/>
      <c r="J349" s="51" t="s">
        <v>186</v>
      </c>
      <c r="K349" s="522" t="s">
        <v>2563</v>
      </c>
      <c r="L349" s="619">
        <v>44097.0</v>
      </c>
      <c r="M349" s="619">
        <v>44097.0</v>
      </c>
      <c r="N349" s="619">
        <v>44210.0</v>
      </c>
      <c r="O349" s="522" t="s">
        <v>3824</v>
      </c>
      <c r="P349" s="612">
        <v>0.02</v>
      </c>
      <c r="Q349" s="620" t="s">
        <v>4859</v>
      </c>
      <c r="R349" s="613"/>
      <c r="S349" s="522" t="str">
        <f t="shared" si="37"/>
        <v/>
      </c>
      <c r="T349" s="522" t="s">
        <v>108</v>
      </c>
      <c r="U349" s="522" t="s">
        <v>2591</v>
      </c>
      <c r="V349" s="522" t="s">
        <v>29</v>
      </c>
      <c r="W349" s="614" t="s">
        <v>3830</v>
      </c>
      <c r="X349" s="614" t="s">
        <v>3830</v>
      </c>
      <c r="Y349" s="614" t="s">
        <v>3830</v>
      </c>
      <c r="Z349" s="614" t="s">
        <v>3830</v>
      </c>
      <c r="AA349" s="614" t="s">
        <v>3830</v>
      </c>
      <c r="AB349" s="614" t="s">
        <v>3830</v>
      </c>
      <c r="AC349" s="614" t="s">
        <v>3830</v>
      </c>
      <c r="AD349" s="614" t="s">
        <v>3830</v>
      </c>
      <c r="AE349" s="614" t="s">
        <v>3830</v>
      </c>
      <c r="AF349" s="614" t="s">
        <v>3830</v>
      </c>
      <c r="AG349" s="614" t="s">
        <v>3830</v>
      </c>
      <c r="AH349" s="614" t="s">
        <v>4860</v>
      </c>
      <c r="AI349" s="614" t="s">
        <v>4861</v>
      </c>
      <c r="AJ349" s="614" t="s">
        <v>4862</v>
      </c>
      <c r="AK349" s="450">
        <v>774604.53</v>
      </c>
      <c r="AL349" s="450">
        <v>753280.3</v>
      </c>
      <c r="AM349" s="450">
        <v>690327.24</v>
      </c>
      <c r="AN349" s="450">
        <v>685623.34</v>
      </c>
      <c r="AO349" s="450">
        <v>713304.58</v>
      </c>
      <c r="AP349" s="450">
        <v>718059.13</v>
      </c>
      <c r="AQ349" s="450">
        <v>714527.22</v>
      </c>
      <c r="AR349" s="450">
        <v>735509.98</v>
      </c>
      <c r="AS349" s="450">
        <v>728065.06</v>
      </c>
      <c r="AT349" s="450">
        <v>705050.81</v>
      </c>
      <c r="AU349" s="450">
        <v>693189.9</v>
      </c>
      <c r="AV349" s="450">
        <v>677689.93</v>
      </c>
      <c r="AW349" s="450">
        <v>635151.74</v>
      </c>
      <c r="AX349" s="450">
        <v>633391.68</v>
      </c>
      <c r="AY349" s="450">
        <v>643145.08</v>
      </c>
      <c r="AZ349" s="450"/>
      <c r="BA349" s="450">
        <v>0.0</v>
      </c>
      <c r="BB349" s="450">
        <v>0.0</v>
      </c>
      <c r="BC349" s="450">
        <v>0.0</v>
      </c>
      <c r="BD349" s="450" t="s">
        <v>2566</v>
      </c>
      <c r="BE349" s="450" t="s">
        <v>2566</v>
      </c>
      <c r="BF349" s="450">
        <v>0.0</v>
      </c>
      <c r="BG349" s="450">
        <v>0.0</v>
      </c>
      <c r="BH349" s="450">
        <v>0.0</v>
      </c>
      <c r="BI349" s="450">
        <v>0.0</v>
      </c>
      <c r="BJ349" s="450">
        <v>0.0</v>
      </c>
      <c r="BK349" s="450">
        <v>0.0</v>
      </c>
      <c r="BL349" s="450">
        <v>0.0</v>
      </c>
      <c r="BM349" s="450">
        <v>0.0</v>
      </c>
      <c r="BN349" s="450">
        <v>0.0</v>
      </c>
      <c r="BO349" s="450">
        <v>0.0</v>
      </c>
      <c r="BP349" s="450">
        <v>0.0</v>
      </c>
      <c r="BQ349" s="450">
        <v>0.0</v>
      </c>
      <c r="BR349" s="450">
        <v>0.0</v>
      </c>
      <c r="BS349" s="615" t="str">
        <f t="array" ref="BS349">XLOOKUP(D349,'PL TOTAL XP'!A:A,'PL TOTAL XP'!C:C,"0")</f>
        <v>0</v>
      </c>
      <c r="BT349" s="616"/>
    </row>
    <row r="350" ht="15.75" customHeight="1">
      <c r="A350" s="183" t="s">
        <v>3820</v>
      </c>
      <c r="B350" s="78" t="s">
        <v>1694</v>
      </c>
      <c r="C350" s="564" t="s">
        <v>1692</v>
      </c>
      <c r="D350" s="566">
        <v>8598875.0</v>
      </c>
      <c r="E350" s="512" t="s">
        <v>18</v>
      </c>
      <c r="F350" s="512" t="s">
        <v>29</v>
      </c>
      <c r="G350" s="566" t="s">
        <v>3666</v>
      </c>
      <c r="H350" s="609" t="str">
        <f>IFERROR(VLOOKUP(G350,'Cadastro de assessores'!A:B,2,FALSE),"Não Cadastrado")</f>
        <v>14739</v>
      </c>
      <c r="I350" s="609"/>
      <c r="J350" s="51" t="s">
        <v>3823</v>
      </c>
      <c r="K350" s="512" t="s">
        <v>107</v>
      </c>
      <c r="L350" s="624">
        <v>44699.0</v>
      </c>
      <c r="M350" s="624">
        <v>44708.0</v>
      </c>
      <c r="N350" s="566"/>
      <c r="O350" s="566" t="s">
        <v>4037</v>
      </c>
      <c r="P350" s="612">
        <v>0.02</v>
      </c>
      <c r="Q350" s="620" t="s">
        <v>4863</v>
      </c>
      <c r="R350" s="613"/>
      <c r="S350" s="522" t="str">
        <f t="shared" si="37"/>
        <v/>
      </c>
      <c r="T350" s="522" t="s">
        <v>108</v>
      </c>
      <c r="U350" s="566" t="s">
        <v>4341</v>
      </c>
      <c r="V350" s="522" t="s">
        <v>152</v>
      </c>
      <c r="W350" s="468"/>
      <c r="X350" s="468"/>
      <c r="Y350" s="468"/>
      <c r="Z350" s="468"/>
      <c r="AA350" s="468"/>
      <c r="AB350" s="468"/>
      <c r="AC350" s="468"/>
      <c r="AD350" s="468"/>
      <c r="AE350" s="468"/>
      <c r="AF350" s="468"/>
      <c r="AG350" s="468"/>
      <c r="AH350" s="468"/>
      <c r="AI350" s="614"/>
      <c r="AJ350" s="450"/>
      <c r="AK350" s="450"/>
      <c r="AL350" s="450"/>
      <c r="AM350" s="450"/>
      <c r="AN350" s="450"/>
      <c r="AO350" s="450"/>
      <c r="AP350" s="450"/>
      <c r="AQ350" s="450"/>
      <c r="AR350" s="450"/>
      <c r="AS350" s="450"/>
      <c r="AT350" s="450"/>
      <c r="AU350" s="468"/>
      <c r="AV350" s="450"/>
      <c r="AW350" s="450"/>
      <c r="AX350" s="450"/>
      <c r="AY350" s="450"/>
      <c r="AZ350" s="450"/>
      <c r="BA350" s="450"/>
      <c r="BB350" s="450"/>
      <c r="BC350" s="450">
        <v>0.0</v>
      </c>
      <c r="BD350" s="450" t="s">
        <v>2566</v>
      </c>
      <c r="BE350" s="450">
        <v>138554.7</v>
      </c>
      <c r="BF350" s="450">
        <v>147423.68</v>
      </c>
      <c r="BG350" s="450">
        <v>155945.14</v>
      </c>
      <c r="BH350" s="450">
        <v>150354.77</v>
      </c>
      <c r="BI350" s="450">
        <v>167228.41</v>
      </c>
      <c r="BJ350" s="450">
        <v>216429.48</v>
      </c>
      <c r="BK350" s="450">
        <v>209762.99</v>
      </c>
      <c r="BL350" s="450">
        <v>214537.92</v>
      </c>
      <c r="BM350" s="450">
        <v>201086.56</v>
      </c>
      <c r="BN350" s="450">
        <v>7056.78</v>
      </c>
      <c r="BO350" s="450">
        <v>7461.18</v>
      </c>
      <c r="BP350" s="450">
        <v>0.0</v>
      </c>
      <c r="BQ350" s="450">
        <v>0.0</v>
      </c>
      <c r="BR350" s="450">
        <v>0.0</v>
      </c>
      <c r="BS350" s="615">
        <f t="array" ref="BS350">XLOOKUP(D350,'PL TOTAL XP'!A:A,'PL TOTAL XP'!C:C,"0")</f>
        <v>0</v>
      </c>
      <c r="BT350" s="616"/>
    </row>
    <row r="351" ht="15.75" customHeight="1">
      <c r="A351" s="183" t="s">
        <v>3820</v>
      </c>
      <c r="B351" s="78" t="s">
        <v>1694</v>
      </c>
      <c r="C351" s="564" t="s">
        <v>1692</v>
      </c>
      <c r="D351" s="566">
        <v>8524764.0</v>
      </c>
      <c r="E351" s="512" t="s">
        <v>18</v>
      </c>
      <c r="F351" s="512" t="s">
        <v>29</v>
      </c>
      <c r="G351" s="566" t="s">
        <v>3666</v>
      </c>
      <c r="H351" s="609" t="str">
        <f>IFERROR(VLOOKUP(G351,'Cadastro de assessores'!A:B,2,FALSE),"Não Cadastrado")</f>
        <v>14739</v>
      </c>
      <c r="I351" s="609"/>
      <c r="J351" s="51" t="s">
        <v>3823</v>
      </c>
      <c r="K351" s="512" t="s">
        <v>107</v>
      </c>
      <c r="L351" s="624">
        <v>44691.0</v>
      </c>
      <c r="M351" s="624">
        <v>44698.0</v>
      </c>
      <c r="N351" s="566"/>
      <c r="O351" s="566" t="s">
        <v>3840</v>
      </c>
      <c r="P351" s="612">
        <v>0.025</v>
      </c>
      <c r="Q351" s="620" t="s">
        <v>4863</v>
      </c>
      <c r="R351" s="613"/>
      <c r="S351" s="522" t="str">
        <f t="shared" si="37"/>
        <v>Qualificado</v>
      </c>
      <c r="T351" s="522" t="s">
        <v>108</v>
      </c>
      <c r="U351" s="566" t="s">
        <v>4341</v>
      </c>
      <c r="V351" s="566" t="s">
        <v>152</v>
      </c>
      <c r="W351" s="468"/>
      <c r="X351" s="468"/>
      <c r="Y351" s="468"/>
      <c r="Z351" s="468"/>
      <c r="AA351" s="468"/>
      <c r="AB351" s="468"/>
      <c r="AC351" s="468"/>
      <c r="AD351" s="468"/>
      <c r="AE351" s="468"/>
      <c r="AF351" s="468"/>
      <c r="AG351" s="468"/>
      <c r="AH351" s="468"/>
      <c r="AI351" s="614"/>
      <c r="AJ351" s="450"/>
      <c r="AK351" s="450"/>
      <c r="AL351" s="450"/>
      <c r="AM351" s="683"/>
      <c r="AN351" s="683"/>
      <c r="AO351" s="450"/>
      <c r="AP351" s="450"/>
      <c r="AQ351" s="450"/>
      <c r="AR351" s="468"/>
      <c r="AS351" s="450"/>
      <c r="AT351" s="450"/>
      <c r="AU351" s="450"/>
      <c r="AV351" s="450"/>
      <c r="AW351" s="450"/>
      <c r="AX351" s="450"/>
      <c r="AY351" s="450"/>
      <c r="AZ351" s="450"/>
      <c r="BA351" s="450"/>
      <c r="BB351" s="450"/>
      <c r="BC351" s="450">
        <v>1119603.89</v>
      </c>
      <c r="BD351" s="450">
        <v>237952.74</v>
      </c>
      <c r="BE351" s="450">
        <v>227591.61</v>
      </c>
      <c r="BF351" s="450">
        <v>235897.35</v>
      </c>
      <c r="BG351" s="450">
        <v>238028.04</v>
      </c>
      <c r="BH351" s="450">
        <v>237712.06</v>
      </c>
      <c r="BI351" s="450">
        <v>263197.54</v>
      </c>
      <c r="BJ351" s="450">
        <v>380180.74</v>
      </c>
      <c r="BK351" s="450">
        <v>378507.95</v>
      </c>
      <c r="BL351" s="450">
        <v>382409.58</v>
      </c>
      <c r="BM351" s="450">
        <v>368144.81</v>
      </c>
      <c r="BN351" s="450">
        <v>26433.7</v>
      </c>
      <c r="BO351" s="450">
        <v>23206.02</v>
      </c>
      <c r="BP351" s="450">
        <v>0.0</v>
      </c>
      <c r="BQ351" s="450">
        <v>0.0</v>
      </c>
      <c r="BR351" s="450">
        <v>0.0</v>
      </c>
      <c r="BS351" s="615">
        <f t="array" ref="BS351">XLOOKUP(D351,'PL TOTAL XP'!A:A,'PL TOTAL XP'!C:C,"0")</f>
        <v>0</v>
      </c>
      <c r="BT351" s="616"/>
    </row>
    <row r="352" ht="15.75" customHeight="1">
      <c r="A352" s="183" t="s">
        <v>3820</v>
      </c>
      <c r="B352" s="78" t="s">
        <v>4864</v>
      </c>
      <c r="C352" s="688" t="s">
        <v>4865</v>
      </c>
      <c r="D352" s="689">
        <v>5686058.0</v>
      </c>
      <c r="E352" s="522" t="s">
        <v>18</v>
      </c>
      <c r="F352" s="511" t="s">
        <v>29</v>
      </c>
      <c r="G352" s="511" t="s">
        <v>4358</v>
      </c>
      <c r="H352" s="511" t="str">
        <f>IFERROR(VLOOKUP(G352,'Cadastro de assessores'!A:B,2,FALSE),"Não Cadastrado")</f>
        <v>16130</v>
      </c>
      <c r="I352" s="511"/>
      <c r="J352" s="51" t="s">
        <v>186</v>
      </c>
      <c r="K352" s="522" t="s">
        <v>2563</v>
      </c>
      <c r="L352" s="619">
        <v>44370.0</v>
      </c>
      <c r="M352" s="619">
        <v>44370.0</v>
      </c>
      <c r="N352" s="619">
        <v>44768.0</v>
      </c>
      <c r="O352" s="522" t="s">
        <v>3834</v>
      </c>
      <c r="P352" s="612">
        <v>0.007</v>
      </c>
      <c r="Q352" s="620" t="s">
        <v>4866</v>
      </c>
      <c r="R352" s="613"/>
      <c r="S352" s="522" t="str">
        <f t="shared" si="37"/>
        <v>Não Qualificado</v>
      </c>
      <c r="T352" s="522" t="s">
        <v>108</v>
      </c>
      <c r="U352" s="566" t="s">
        <v>2614</v>
      </c>
      <c r="V352" s="566" t="s">
        <v>29</v>
      </c>
      <c r="W352" s="468"/>
      <c r="X352" s="468"/>
      <c r="Y352" s="468"/>
      <c r="Z352" s="468"/>
      <c r="AA352" s="468"/>
      <c r="AB352" s="468"/>
      <c r="AC352" s="468"/>
      <c r="AD352" s="468"/>
      <c r="AE352" s="468"/>
      <c r="AF352" s="468"/>
      <c r="AG352" s="468"/>
      <c r="AH352" s="468"/>
      <c r="AI352" s="614"/>
      <c r="AJ352" s="450"/>
      <c r="AK352" s="450"/>
      <c r="AL352" s="450"/>
      <c r="AM352" s="450"/>
      <c r="AN352" s="450"/>
      <c r="AO352" s="450"/>
      <c r="AP352" s="450"/>
      <c r="AQ352" s="450"/>
      <c r="AR352" s="468"/>
      <c r="AS352" s="450">
        <v>99246.78</v>
      </c>
      <c r="AT352" s="450">
        <v>97305.05</v>
      </c>
      <c r="AU352" s="450">
        <v>96614.96</v>
      </c>
      <c r="AV352" s="450">
        <v>94951.89</v>
      </c>
      <c r="AW352" s="450">
        <v>95565.96</v>
      </c>
      <c r="AX352" s="450">
        <v>96304.6</v>
      </c>
      <c r="AY352" s="450">
        <v>117165.5</v>
      </c>
      <c r="AZ352" s="450">
        <v>118168.01</v>
      </c>
      <c r="BA352" s="450">
        <v>139079.83</v>
      </c>
      <c r="BB352" s="450">
        <v>284735.23</v>
      </c>
      <c r="BC352" s="450">
        <v>531842.69</v>
      </c>
      <c r="BD352" s="450">
        <v>548401.83</v>
      </c>
      <c r="BE352" s="450">
        <v>648875.89</v>
      </c>
      <c r="BF352" s="450">
        <v>0.0</v>
      </c>
      <c r="BG352" s="450">
        <v>0.0</v>
      </c>
      <c r="BH352" s="450">
        <v>0.0</v>
      </c>
      <c r="BI352" s="450">
        <v>0.0</v>
      </c>
      <c r="BJ352" s="450">
        <v>0.0</v>
      </c>
      <c r="BK352" s="450">
        <v>0.0</v>
      </c>
      <c r="BL352" s="450">
        <v>0.0</v>
      </c>
      <c r="BM352" s="450">
        <v>0.0</v>
      </c>
      <c r="BN352" s="450">
        <v>0.0</v>
      </c>
      <c r="BO352" s="450">
        <v>0.0</v>
      </c>
      <c r="BP352" s="450">
        <v>0.0</v>
      </c>
      <c r="BQ352" s="450">
        <v>0.0</v>
      </c>
      <c r="BR352" s="450">
        <v>0.0</v>
      </c>
      <c r="BS352" s="615" t="str">
        <f t="array" ref="BS352">XLOOKUP(D352,'PL TOTAL XP'!A:A,'PL TOTAL XP'!C:C,"0")</f>
        <v>0</v>
      </c>
      <c r="BT352" s="616"/>
    </row>
    <row r="353" ht="15.75" customHeight="1">
      <c r="A353" s="183" t="s">
        <v>3820</v>
      </c>
      <c r="B353" s="78" t="s">
        <v>1702</v>
      </c>
      <c r="C353" s="617" t="s">
        <v>4867</v>
      </c>
      <c r="D353" s="522">
        <v>4899222.0</v>
      </c>
      <c r="E353" s="512" t="s">
        <v>18</v>
      </c>
      <c r="F353" s="512" t="s">
        <v>19</v>
      </c>
      <c r="G353" s="512" t="s">
        <v>213</v>
      </c>
      <c r="H353" s="609" t="str">
        <f>IFERROR(VLOOKUP(G353,'Cadastro de assessores'!A:B,2,FALSE),"Não Cadastrado")</f>
        <v>17831</v>
      </c>
      <c r="I353" s="609"/>
      <c r="J353" s="46" t="s">
        <v>107</v>
      </c>
      <c r="K353" s="512" t="s">
        <v>107</v>
      </c>
      <c r="L353" s="624">
        <v>44714.0</v>
      </c>
      <c r="M353" s="624">
        <v>44714.0</v>
      </c>
      <c r="N353" s="566"/>
      <c r="O353" s="566" t="s">
        <v>3840</v>
      </c>
      <c r="P353" s="612">
        <v>0.025</v>
      </c>
      <c r="Q353" s="620" t="s">
        <v>4868</v>
      </c>
      <c r="R353" s="613"/>
      <c r="S353" s="522" t="str">
        <f t="shared" si="37"/>
        <v/>
      </c>
      <c r="T353" s="522" t="s">
        <v>108</v>
      </c>
      <c r="U353" s="522" t="s">
        <v>2652</v>
      </c>
      <c r="V353" s="522" t="s">
        <v>19</v>
      </c>
      <c r="W353" s="614"/>
      <c r="X353" s="614"/>
      <c r="Y353" s="614"/>
      <c r="Z353" s="614"/>
      <c r="AA353" s="614"/>
      <c r="AB353" s="614"/>
      <c r="AC353" s="614"/>
      <c r="AD353" s="614"/>
      <c r="AE353" s="614"/>
      <c r="AF353" s="614"/>
      <c r="AG353" s="614"/>
      <c r="AH353" s="614"/>
      <c r="AI353" s="614"/>
      <c r="AJ353" s="614"/>
      <c r="AK353" s="450"/>
      <c r="AL353" s="450"/>
      <c r="AM353" s="450"/>
      <c r="AN353" s="683"/>
      <c r="AO353" s="683"/>
      <c r="AP353" s="450"/>
      <c r="AQ353" s="450"/>
      <c r="AR353" s="450"/>
      <c r="AS353" s="450"/>
      <c r="AT353" s="450"/>
      <c r="AU353" s="450"/>
      <c r="AV353" s="450"/>
      <c r="AW353" s="450"/>
      <c r="AX353" s="450"/>
      <c r="AY353" s="450"/>
      <c r="AZ353" s="450"/>
      <c r="BA353" s="450"/>
      <c r="BB353" s="450"/>
      <c r="BC353" s="450"/>
      <c r="BD353" s="450">
        <v>646194.66</v>
      </c>
      <c r="BE353" s="450">
        <v>843079.98</v>
      </c>
      <c r="BF353" s="450">
        <v>478004.06</v>
      </c>
      <c r="BG353" s="450">
        <v>792260.4245</v>
      </c>
      <c r="BH353" s="450">
        <v>694471.53</v>
      </c>
      <c r="BI353" s="450">
        <v>509495.87</v>
      </c>
      <c r="BJ353" s="450">
        <v>380167.11</v>
      </c>
      <c r="BK353" s="450">
        <v>2630.27</v>
      </c>
      <c r="BL353" s="450">
        <v>1979.16</v>
      </c>
      <c r="BM353" s="450">
        <v>1993.5</v>
      </c>
      <c r="BN353" s="450">
        <v>175.05</v>
      </c>
      <c r="BO353" s="450">
        <v>1891.45</v>
      </c>
      <c r="BP353" s="450">
        <v>1903.3</v>
      </c>
      <c r="BQ353" s="450">
        <v>1916.92</v>
      </c>
      <c r="BR353" s="450">
        <v>1927.39</v>
      </c>
      <c r="BS353" s="615">
        <f t="array" ref="BS353">XLOOKUP(D353,'PL TOTAL XP'!A:A,'PL TOTAL XP'!C:C,"0")</f>
        <v>2843.41</v>
      </c>
      <c r="BT353" s="616"/>
    </row>
    <row r="354" ht="15.75" customHeight="1">
      <c r="A354" s="183" t="s">
        <v>3820</v>
      </c>
      <c r="B354" s="78" t="s">
        <v>4869</v>
      </c>
      <c r="C354" s="617" t="s">
        <v>4870</v>
      </c>
      <c r="D354" s="522">
        <v>4402972.0</v>
      </c>
      <c r="E354" s="512" t="s">
        <v>2550</v>
      </c>
      <c r="F354" s="512" t="s">
        <v>29</v>
      </c>
      <c r="G354" s="512" t="s">
        <v>2550</v>
      </c>
      <c r="H354" s="512" t="str">
        <f>IFERROR(VLOOKUP(G354,'Cadastro de assessores'!A:B,2,FALSE),"Não Cadastrado")</f>
        <v>18986</v>
      </c>
      <c r="I354" s="512"/>
      <c r="J354" s="51" t="s">
        <v>3823</v>
      </c>
      <c r="K354" s="522" t="s">
        <v>147</v>
      </c>
      <c r="L354" s="610">
        <v>44063.0</v>
      </c>
      <c r="M354" s="610">
        <v>44068.0</v>
      </c>
      <c r="N354" s="522"/>
      <c r="O354" s="522" t="s">
        <v>3828</v>
      </c>
      <c r="P354" s="612">
        <v>0.015</v>
      </c>
      <c r="Q354" s="620"/>
      <c r="R354" s="613"/>
      <c r="S354" s="522" t="str">
        <f t="shared" si="37"/>
        <v>Não Qualificado</v>
      </c>
      <c r="T354" s="522" t="s">
        <v>108</v>
      </c>
      <c r="U354" s="522" t="s">
        <v>3884</v>
      </c>
      <c r="V354" s="522" t="s">
        <v>29</v>
      </c>
      <c r="W354" s="614" t="s">
        <v>3830</v>
      </c>
      <c r="X354" s="614" t="s">
        <v>3830</v>
      </c>
      <c r="Y354" s="614" t="s">
        <v>3830</v>
      </c>
      <c r="Z354" s="614" t="s">
        <v>3830</v>
      </c>
      <c r="AA354" s="614" t="s">
        <v>3830</v>
      </c>
      <c r="AB354" s="614" t="s">
        <v>3830</v>
      </c>
      <c r="AC354" s="614" t="s">
        <v>3830</v>
      </c>
      <c r="AD354" s="614" t="s">
        <v>3830</v>
      </c>
      <c r="AE354" s="614" t="s">
        <v>3830</v>
      </c>
      <c r="AF354" s="614" t="s">
        <v>3830</v>
      </c>
      <c r="AG354" s="614" t="s">
        <v>4871</v>
      </c>
      <c r="AH354" s="614" t="s">
        <v>4872</v>
      </c>
      <c r="AI354" s="614" t="s">
        <v>4873</v>
      </c>
      <c r="AJ354" s="614" t="s">
        <v>4874</v>
      </c>
      <c r="AK354" s="450">
        <v>94454.37</v>
      </c>
      <c r="AL354" s="450">
        <v>73479.28</v>
      </c>
      <c r="AM354" s="450">
        <v>1298.32</v>
      </c>
      <c r="AN354" s="683">
        <v>1226.15</v>
      </c>
      <c r="AO354" s="683">
        <v>1226.47</v>
      </c>
      <c r="AP354" s="450">
        <v>1225.36</v>
      </c>
      <c r="AQ354" s="450">
        <v>1225.08</v>
      </c>
      <c r="AR354" s="450">
        <v>324.06</v>
      </c>
      <c r="AS354" s="450">
        <v>323.64</v>
      </c>
      <c r="AT354" s="450">
        <v>323.2</v>
      </c>
      <c r="AU354" s="450">
        <v>322.76</v>
      </c>
      <c r="AV354" s="450">
        <v>283.84</v>
      </c>
      <c r="AW354" s="450"/>
      <c r="AX354" s="450">
        <v>0.06</v>
      </c>
      <c r="AY354" s="450">
        <v>0.06</v>
      </c>
      <c r="AZ354" s="450">
        <v>0.06</v>
      </c>
      <c r="BA354" s="450">
        <v>0.06</v>
      </c>
      <c r="BB354" s="450">
        <v>0.06</v>
      </c>
      <c r="BC354" s="450">
        <v>105027.9</v>
      </c>
      <c r="BD354" s="450">
        <v>0.06</v>
      </c>
      <c r="BE354" s="450" t="s">
        <v>2566</v>
      </c>
      <c r="BF354" s="450">
        <v>0.06</v>
      </c>
      <c r="BG354" s="450">
        <v>0.06</v>
      </c>
      <c r="BH354" s="450">
        <v>0.06</v>
      </c>
      <c r="BI354" s="450">
        <v>0.06</v>
      </c>
      <c r="BJ354" s="450">
        <v>0.06</v>
      </c>
      <c r="BK354" s="450">
        <v>0.06</v>
      </c>
      <c r="BL354" s="450">
        <v>0.06</v>
      </c>
      <c r="BM354" s="450">
        <v>0.06</v>
      </c>
      <c r="BN354" s="450">
        <v>0.06</v>
      </c>
      <c r="BO354" s="450">
        <v>0.06</v>
      </c>
      <c r="BP354" s="450">
        <v>0.06</v>
      </c>
      <c r="BQ354" s="450">
        <v>0.06</v>
      </c>
      <c r="BR354" s="450">
        <v>0.06</v>
      </c>
      <c r="BS354" s="615">
        <f t="array" ref="BS354">XLOOKUP(D354,'PL TOTAL XP'!A:A,'PL TOTAL XP'!C:C,"0")</f>
        <v>0</v>
      </c>
      <c r="BT354" s="616"/>
    </row>
    <row r="355" ht="15.75" customHeight="1">
      <c r="A355" s="183" t="s">
        <v>3820</v>
      </c>
      <c r="B355" s="78" t="s">
        <v>4875</v>
      </c>
      <c r="C355" s="617" t="s">
        <v>4876</v>
      </c>
      <c r="D355" s="522">
        <v>4681835.0</v>
      </c>
      <c r="E355" s="522" t="s">
        <v>105</v>
      </c>
      <c r="F355" s="522" t="s">
        <v>29</v>
      </c>
      <c r="G355" s="522" t="s">
        <v>3993</v>
      </c>
      <c r="H355" s="522" t="str">
        <f>IFERROR(VLOOKUP(G355,'Cadastro de assessores'!A:B,2,FALSE),"Não Cadastrado")</f>
        <v>16459</v>
      </c>
      <c r="I355" s="522"/>
      <c r="J355" s="51" t="s">
        <v>186</v>
      </c>
      <c r="K355" s="522" t="s">
        <v>2563</v>
      </c>
      <c r="L355" s="619">
        <v>44204.0</v>
      </c>
      <c r="M355" s="619">
        <v>44204.0</v>
      </c>
      <c r="N355" s="619">
        <v>44713.0</v>
      </c>
      <c r="O355" s="522" t="s">
        <v>3824</v>
      </c>
      <c r="P355" s="612">
        <v>0.02</v>
      </c>
      <c r="Q355" s="620" t="s">
        <v>4877</v>
      </c>
      <c r="R355" s="613"/>
      <c r="S355" s="522" t="str">
        <f t="shared" si="37"/>
        <v>Não Qualificado</v>
      </c>
      <c r="T355" s="522" t="s">
        <v>108</v>
      </c>
      <c r="U355" s="522" t="s">
        <v>2623</v>
      </c>
      <c r="V355" s="522" t="s">
        <v>29</v>
      </c>
      <c r="W355" s="614"/>
      <c r="X355" s="614"/>
      <c r="Y355" s="614"/>
      <c r="Z355" s="614"/>
      <c r="AA355" s="614"/>
      <c r="AB355" s="614"/>
      <c r="AC355" s="614"/>
      <c r="AD355" s="614"/>
      <c r="AE355" s="614"/>
      <c r="AF355" s="614"/>
      <c r="AG355" s="614"/>
      <c r="AH355" s="614"/>
      <c r="AI355" s="614"/>
      <c r="AJ355" s="614"/>
      <c r="AK355" s="450"/>
      <c r="AL355" s="450">
        <v>96179.17</v>
      </c>
      <c r="AM355" s="450">
        <v>92407.43</v>
      </c>
      <c r="AN355" s="450">
        <v>92371.06</v>
      </c>
      <c r="AO355" s="450">
        <v>96514.89</v>
      </c>
      <c r="AP355" s="450">
        <v>97322.08</v>
      </c>
      <c r="AQ355" s="450">
        <v>96720.15</v>
      </c>
      <c r="AR355" s="450">
        <v>100081.11</v>
      </c>
      <c r="AS355" s="450">
        <v>98711.22</v>
      </c>
      <c r="AT355" s="450">
        <v>95561.7</v>
      </c>
      <c r="AU355" s="450">
        <v>94461.34</v>
      </c>
      <c r="AV355" s="450">
        <v>91168.91</v>
      </c>
      <c r="AW355" s="450">
        <v>86375.18</v>
      </c>
      <c r="AX355" s="450">
        <v>86161.87</v>
      </c>
      <c r="AY355" s="450">
        <v>87472.18</v>
      </c>
      <c r="AZ355" s="450">
        <v>90711.81</v>
      </c>
      <c r="BA355" s="450">
        <v>91463.2</v>
      </c>
      <c r="BB355" s="450">
        <v>95563.28</v>
      </c>
      <c r="BC355" s="450">
        <v>202352.48</v>
      </c>
      <c r="BD355" s="450">
        <v>93639.74</v>
      </c>
      <c r="BE355" s="450" t="s">
        <v>2566</v>
      </c>
      <c r="BF355" s="450">
        <v>0.0</v>
      </c>
      <c r="BG355" s="450">
        <v>0.0</v>
      </c>
      <c r="BH355" s="450">
        <v>0.0</v>
      </c>
      <c r="BI355" s="450">
        <v>0.0</v>
      </c>
      <c r="BJ355" s="450">
        <v>0.0</v>
      </c>
      <c r="BK355" s="450">
        <v>0.0</v>
      </c>
      <c r="BL355" s="450">
        <v>0.0</v>
      </c>
      <c r="BM355" s="450">
        <v>0.0</v>
      </c>
      <c r="BN355" s="450">
        <v>0.0</v>
      </c>
      <c r="BO355" s="450">
        <v>0.0</v>
      </c>
      <c r="BP355" s="450">
        <v>0.0</v>
      </c>
      <c r="BQ355" s="450">
        <v>0.0</v>
      </c>
      <c r="BR355" s="450">
        <v>0.0</v>
      </c>
      <c r="BS355" s="615" t="str">
        <f t="array" ref="BS355">XLOOKUP(D355,'PL TOTAL XP'!A:A,'PL TOTAL XP'!C:C,"0")</f>
        <v>0</v>
      </c>
      <c r="BT355" s="616"/>
    </row>
    <row r="356" ht="15.75" customHeight="1">
      <c r="A356" s="183" t="s">
        <v>3820</v>
      </c>
      <c r="B356" s="78" t="s">
        <v>4878</v>
      </c>
      <c r="C356" s="617" t="s">
        <v>4879</v>
      </c>
      <c r="D356" s="522">
        <v>4557602.0</v>
      </c>
      <c r="E356" s="512" t="s">
        <v>105</v>
      </c>
      <c r="F356" s="512" t="s">
        <v>29</v>
      </c>
      <c r="G356" s="512" t="s">
        <v>4087</v>
      </c>
      <c r="H356" s="512" t="str">
        <f>IFERROR(VLOOKUP(G356,'Cadastro de assessores'!A:B,2,FALSE),"Não Cadastrado")</f>
        <v>17243</v>
      </c>
      <c r="I356" s="512"/>
      <c r="J356" s="51" t="s">
        <v>3823</v>
      </c>
      <c r="K356" s="512" t="s">
        <v>107</v>
      </c>
      <c r="L356" s="610">
        <v>44165.0</v>
      </c>
      <c r="M356" s="610">
        <v>44169.0</v>
      </c>
      <c r="N356" s="522"/>
      <c r="O356" s="522" t="s">
        <v>3824</v>
      </c>
      <c r="P356" s="612">
        <v>0.02</v>
      </c>
      <c r="Q356" s="620"/>
      <c r="R356" s="613"/>
      <c r="S356" s="522" t="str">
        <f t="shared" si="37"/>
        <v>Não Qualificado</v>
      </c>
      <c r="T356" s="522" t="s">
        <v>108</v>
      </c>
      <c r="U356" s="522" t="s">
        <v>2580</v>
      </c>
      <c r="V356" s="522" t="s">
        <v>29</v>
      </c>
      <c r="W356" s="614" t="s">
        <v>3830</v>
      </c>
      <c r="X356" s="614" t="s">
        <v>3830</v>
      </c>
      <c r="Y356" s="614" t="s">
        <v>3830</v>
      </c>
      <c r="Z356" s="614" t="s">
        <v>3830</v>
      </c>
      <c r="AA356" s="614" t="s">
        <v>3830</v>
      </c>
      <c r="AB356" s="614" t="s">
        <v>3830</v>
      </c>
      <c r="AC356" s="614" t="s">
        <v>3830</v>
      </c>
      <c r="AD356" s="614" t="s">
        <v>3830</v>
      </c>
      <c r="AE356" s="614" t="s">
        <v>3830</v>
      </c>
      <c r="AF356" s="614" t="s">
        <v>3830</v>
      </c>
      <c r="AG356" s="614" t="s">
        <v>3830</v>
      </c>
      <c r="AH356" s="614" t="s">
        <v>3830</v>
      </c>
      <c r="AI356" s="614" t="s">
        <v>3830</v>
      </c>
      <c r="AJ356" s="614" t="s">
        <v>3830</v>
      </c>
      <c r="AK356" s="450">
        <v>317233.19</v>
      </c>
      <c r="AL356" s="450">
        <v>309671.52</v>
      </c>
      <c r="AM356" s="450">
        <v>293527.47</v>
      </c>
      <c r="AN356" s="683">
        <v>292200.83</v>
      </c>
      <c r="AO356" s="683">
        <v>305587.8</v>
      </c>
      <c r="AP356" s="450">
        <v>308117.75</v>
      </c>
      <c r="AQ356" s="450">
        <v>306220.64</v>
      </c>
      <c r="AR356" s="450">
        <v>316996.88</v>
      </c>
      <c r="AS356" s="450">
        <v>312758.85</v>
      </c>
      <c r="AT356" s="450">
        <v>303088.8</v>
      </c>
      <c r="AU356" s="450">
        <v>299789.64</v>
      </c>
      <c r="AV356" s="450">
        <v>290114.83</v>
      </c>
      <c r="AW356" s="450">
        <v>275603.76</v>
      </c>
      <c r="AX356" s="450">
        <v>274443.04</v>
      </c>
      <c r="AY356" s="450">
        <v>278831.42</v>
      </c>
      <c r="AZ356" s="450">
        <v>288143.89</v>
      </c>
      <c r="BA356" s="450">
        <v>290898.22</v>
      </c>
      <c r="BB356" s="450">
        <v>304496.45</v>
      </c>
      <c r="BC356" s="450">
        <v>77756.17</v>
      </c>
      <c r="BD356" s="450">
        <v>297564.41</v>
      </c>
      <c r="BE356" s="450">
        <v>291165.57</v>
      </c>
      <c r="BF356" s="450">
        <v>299399.73</v>
      </c>
      <c r="BG356" s="450">
        <v>303840.3086</v>
      </c>
      <c r="BH356" s="450">
        <v>301904.36</v>
      </c>
      <c r="BI356" s="450">
        <v>316744.91</v>
      </c>
      <c r="BJ356" s="450">
        <v>317091.54</v>
      </c>
      <c r="BK356" s="450">
        <v>318201.11</v>
      </c>
      <c r="BL356" s="450">
        <v>319067.62</v>
      </c>
      <c r="BM356" s="450">
        <v>317919.15</v>
      </c>
      <c r="BN356" s="450">
        <v>319255.13</v>
      </c>
      <c r="BO356" s="450">
        <v>320710.18</v>
      </c>
      <c r="BP356" s="450">
        <v>318004.18</v>
      </c>
      <c r="BQ356" s="450">
        <v>323912.65</v>
      </c>
      <c r="BR356" s="450">
        <v>0.0</v>
      </c>
      <c r="BS356" s="615" t="str">
        <f t="array" ref="BS356">XLOOKUP(D356,'PL TOTAL XP'!A:A,'PL TOTAL XP'!C:C,"0")</f>
        <v>0</v>
      </c>
      <c r="BT356" s="616"/>
    </row>
    <row r="357" ht="15.75" customHeight="1">
      <c r="A357" s="183" t="s">
        <v>3820</v>
      </c>
      <c r="B357" s="78" t="s">
        <v>4880</v>
      </c>
      <c r="C357" s="564" t="s">
        <v>1750</v>
      </c>
      <c r="D357" s="478">
        <v>8993002.0</v>
      </c>
      <c r="E357" s="522" t="s">
        <v>18</v>
      </c>
      <c r="F357" s="511" t="s">
        <v>19</v>
      </c>
      <c r="G357" s="522" t="s">
        <v>122</v>
      </c>
      <c r="H357" s="512" t="str">
        <f>IFERROR(VLOOKUP(G357,'Cadastro de assessores'!A:B,2,FALSE),"Não Cadastrado")</f>
        <v>18890</v>
      </c>
      <c r="I357" s="512"/>
      <c r="J357" s="51" t="s">
        <v>3823</v>
      </c>
      <c r="K357" s="522" t="s">
        <v>107</v>
      </c>
      <c r="L357" s="619">
        <v>44768.0</v>
      </c>
      <c r="M357" s="619">
        <v>44769.0</v>
      </c>
      <c r="N357" s="567"/>
      <c r="O357" s="566" t="s">
        <v>4881</v>
      </c>
      <c r="P357" s="612">
        <v>0.01</v>
      </c>
      <c r="Q357" s="224" t="s">
        <v>3932</v>
      </c>
      <c r="R357" s="613"/>
      <c r="S357" s="522"/>
      <c r="T357" s="522" t="s">
        <v>108</v>
      </c>
      <c r="U357" s="490"/>
      <c r="V357" s="522" t="s">
        <v>180</v>
      </c>
      <c r="W357" s="614"/>
      <c r="X357" s="468"/>
      <c r="Y357" s="468"/>
      <c r="Z357" s="468"/>
      <c r="AA357" s="468"/>
      <c r="AB357" s="468"/>
      <c r="AC357" s="468"/>
      <c r="AD357" s="468"/>
      <c r="AE357" s="468"/>
      <c r="AF357" s="468"/>
      <c r="AG357" s="468"/>
      <c r="AH357" s="468"/>
      <c r="AI357" s="468"/>
      <c r="AJ357" s="468"/>
      <c r="AK357" s="450"/>
      <c r="AL357" s="450"/>
      <c r="AM357" s="450"/>
      <c r="AN357" s="450"/>
      <c r="AO357" s="450"/>
      <c r="AP357" s="450"/>
      <c r="AQ357" s="468"/>
      <c r="AR357" s="449"/>
      <c r="AS357" s="450"/>
      <c r="AT357" s="450"/>
      <c r="AU357" s="450"/>
      <c r="AV357" s="450"/>
      <c r="AW357" s="450"/>
      <c r="AX357" s="450"/>
      <c r="AY357" s="450"/>
      <c r="AZ357" s="450"/>
      <c r="BA357" s="450"/>
      <c r="BB357" s="450"/>
      <c r="BC357" s="450"/>
      <c r="BD357" s="450"/>
      <c r="BE357" s="450"/>
      <c r="BF357" s="450">
        <v>49731.53</v>
      </c>
      <c r="BG357" s="450">
        <v>48826.38684</v>
      </c>
      <c r="BH357" s="450">
        <v>48512.35</v>
      </c>
      <c r="BI357" s="450">
        <v>50028.03</v>
      </c>
      <c r="BJ357" s="450">
        <v>47405.94</v>
      </c>
      <c r="BK357" s="450">
        <v>47686.43</v>
      </c>
      <c r="BL357" s="450">
        <v>51036.94</v>
      </c>
      <c r="BM357" s="450">
        <v>0.0</v>
      </c>
      <c r="BN357" s="450">
        <v>0.0</v>
      </c>
      <c r="BO357" s="450">
        <v>0.0</v>
      </c>
      <c r="BP357" s="450">
        <v>0.0</v>
      </c>
      <c r="BQ357" s="450">
        <v>0.0</v>
      </c>
      <c r="BR357" s="450">
        <v>0.0</v>
      </c>
      <c r="BS357" s="615">
        <f t="array" ref="BS357">XLOOKUP(D357,'PL TOTAL XP'!A:A,'PL TOTAL XP'!C:C,"0")</f>
        <v>0</v>
      </c>
      <c r="BT357" s="616"/>
    </row>
    <row r="358" ht="15.75" customHeight="1">
      <c r="A358" s="183" t="s">
        <v>3820</v>
      </c>
      <c r="B358" s="78" t="s">
        <v>4880</v>
      </c>
      <c r="C358" s="564" t="s">
        <v>1750</v>
      </c>
      <c r="D358" s="690">
        <v>8688674.0</v>
      </c>
      <c r="E358" s="522" t="s">
        <v>18</v>
      </c>
      <c r="F358" s="511" t="s">
        <v>19</v>
      </c>
      <c r="G358" s="522" t="s">
        <v>122</v>
      </c>
      <c r="H358" s="512" t="str">
        <f>IFERROR(VLOOKUP(G358,'Cadastro de assessores'!A:B,2,FALSE),"Não Cadastrado")</f>
        <v>18890</v>
      </c>
      <c r="I358" s="512"/>
      <c r="J358" s="51" t="s">
        <v>3823</v>
      </c>
      <c r="K358" s="522" t="s">
        <v>107</v>
      </c>
      <c r="L358" s="619">
        <v>44713.0</v>
      </c>
      <c r="M358" s="619">
        <v>44714.0</v>
      </c>
      <c r="N358" s="567"/>
      <c r="O358" s="566" t="s">
        <v>4479</v>
      </c>
      <c r="P358" s="612">
        <v>0.012</v>
      </c>
      <c r="Q358" s="224" t="s">
        <v>3932</v>
      </c>
      <c r="R358" s="613"/>
      <c r="S358" s="522" t="s">
        <v>119</v>
      </c>
      <c r="T358" s="522" t="s">
        <v>108</v>
      </c>
      <c r="U358" s="490" t="s">
        <v>2652</v>
      </c>
      <c r="V358" s="522" t="s">
        <v>19</v>
      </c>
      <c r="W358" s="614"/>
      <c r="X358" s="468"/>
      <c r="Y358" s="468"/>
      <c r="Z358" s="468"/>
      <c r="AA358" s="468"/>
      <c r="AB358" s="468"/>
      <c r="AC358" s="468"/>
      <c r="AD358" s="468"/>
      <c r="AE358" s="468"/>
      <c r="AF358" s="468"/>
      <c r="AG358" s="468"/>
      <c r="AH358" s="468"/>
      <c r="AI358" s="468"/>
      <c r="AJ358" s="468"/>
      <c r="AK358" s="450"/>
      <c r="AL358" s="450"/>
      <c r="AM358" s="450"/>
      <c r="AN358" s="450"/>
      <c r="AO358" s="450"/>
      <c r="AP358" s="450"/>
      <c r="AQ358" s="468"/>
      <c r="AR358" s="449"/>
      <c r="AS358" s="450"/>
      <c r="AT358" s="450"/>
      <c r="AU358" s="450"/>
      <c r="AV358" s="450"/>
      <c r="AW358" s="450"/>
      <c r="AX358" s="450"/>
      <c r="AY358" s="450"/>
      <c r="AZ358" s="450"/>
      <c r="BA358" s="450"/>
      <c r="BB358" s="450"/>
      <c r="BC358" s="450"/>
      <c r="BD358" s="450" t="s">
        <v>2566</v>
      </c>
      <c r="BE358" s="450">
        <v>1410652.59</v>
      </c>
      <c r="BF358" s="450">
        <v>1425464.27</v>
      </c>
      <c r="BG358" s="450">
        <v>1436656.16</v>
      </c>
      <c r="BH358" s="450">
        <v>1446777.59</v>
      </c>
      <c r="BI358" s="450">
        <v>1458166.68</v>
      </c>
      <c r="BJ358" s="450">
        <v>1125921.2</v>
      </c>
      <c r="BK358" s="450">
        <v>1074731.92</v>
      </c>
      <c r="BL358" s="450">
        <v>24168.04</v>
      </c>
      <c r="BM358" s="450">
        <v>349.25</v>
      </c>
      <c r="BN358" s="450">
        <v>349.25</v>
      </c>
      <c r="BO358" s="450">
        <v>349.25</v>
      </c>
      <c r="BP358" s="450">
        <v>349.25</v>
      </c>
      <c r="BQ358" s="450">
        <v>349.25</v>
      </c>
      <c r="BR358" s="450">
        <v>349.25</v>
      </c>
      <c r="BS358" s="615">
        <f t="array" ref="BS358">XLOOKUP(D358,'PL TOTAL XP'!A:A,'PL TOTAL XP'!C:C,"0")</f>
        <v>0</v>
      </c>
      <c r="BT358" s="616"/>
    </row>
    <row r="359" ht="15.75" customHeight="1">
      <c r="A359" s="183" t="s">
        <v>3820</v>
      </c>
      <c r="B359" s="78" t="s">
        <v>4882</v>
      </c>
      <c r="C359" s="564" t="s">
        <v>4883</v>
      </c>
      <c r="D359" s="566">
        <v>5593800.0</v>
      </c>
      <c r="E359" s="522" t="s">
        <v>18</v>
      </c>
      <c r="F359" s="511" t="s">
        <v>19</v>
      </c>
      <c r="G359" s="522" t="s">
        <v>256</v>
      </c>
      <c r="H359" s="566" t="str">
        <f>IFERROR(VLOOKUP(G359,'Cadastro de assessores'!A:B,2,FALSE),"Não Cadastrado")</f>
        <v>18009</v>
      </c>
      <c r="I359" s="566"/>
      <c r="J359" s="51" t="s">
        <v>186</v>
      </c>
      <c r="K359" s="522" t="s">
        <v>2563</v>
      </c>
      <c r="L359" s="619">
        <v>44344.0</v>
      </c>
      <c r="M359" s="619">
        <v>44344.0</v>
      </c>
      <c r="N359" s="567">
        <v>44711.0</v>
      </c>
      <c r="O359" s="566" t="s">
        <v>3824</v>
      </c>
      <c r="P359" s="612">
        <v>0.02</v>
      </c>
      <c r="Q359" s="224" t="s">
        <v>4884</v>
      </c>
      <c r="R359" s="613"/>
      <c r="S359" s="522" t="str">
        <f t="shared" ref="S359:S363" si="38">IF(BC359&lt;=0,"",IF(BC359&lt;=1000000,"Não Qualificado",IF(AND(BC359&gt;1000000,BC359&lt;=10000000),"Qualificado","Profissional")))</f>
        <v>Não Qualificado</v>
      </c>
      <c r="T359" s="522" t="s">
        <v>108</v>
      </c>
      <c r="U359" s="490" t="s">
        <v>2619</v>
      </c>
      <c r="V359" s="522" t="s">
        <v>152</v>
      </c>
      <c r="W359" s="614"/>
      <c r="X359" s="468"/>
      <c r="Y359" s="468"/>
      <c r="Z359" s="468"/>
      <c r="AA359" s="468"/>
      <c r="AB359" s="468"/>
      <c r="AC359" s="468"/>
      <c r="AD359" s="468"/>
      <c r="AE359" s="468"/>
      <c r="AF359" s="468"/>
      <c r="AG359" s="468"/>
      <c r="AH359" s="468"/>
      <c r="AI359" s="468"/>
      <c r="AJ359" s="468"/>
      <c r="AK359" s="450"/>
      <c r="AL359" s="450"/>
      <c r="AM359" s="450"/>
      <c r="AN359" s="450"/>
      <c r="AO359" s="450"/>
      <c r="AP359" s="450"/>
      <c r="AQ359" s="468"/>
      <c r="AR359" s="449">
        <v>140726.9</v>
      </c>
      <c r="AS359" s="450">
        <v>138739.15</v>
      </c>
      <c r="AT359" s="450">
        <v>154241.19</v>
      </c>
      <c r="AU359" s="450">
        <v>152219.51</v>
      </c>
      <c r="AV359" s="450">
        <v>147934.25</v>
      </c>
      <c r="AW359" s="450">
        <v>140647.66</v>
      </c>
      <c r="AX359" s="450">
        <v>140121.88</v>
      </c>
      <c r="AY359" s="450">
        <v>141849.91</v>
      </c>
      <c r="AZ359" s="450">
        <v>146763.74</v>
      </c>
      <c r="BA359" s="450">
        <v>148101.17</v>
      </c>
      <c r="BB359" s="450">
        <v>154192.7</v>
      </c>
      <c r="BC359" s="450">
        <v>615862.33</v>
      </c>
      <c r="BD359" s="450">
        <v>2471.56</v>
      </c>
      <c r="BE359" s="450" t="s">
        <v>2566</v>
      </c>
      <c r="BF359" s="450">
        <v>0.0</v>
      </c>
      <c r="BG359" s="450">
        <v>0.0</v>
      </c>
      <c r="BH359" s="450">
        <v>0.0</v>
      </c>
      <c r="BI359" s="450">
        <v>0.0</v>
      </c>
      <c r="BJ359" s="450">
        <v>0.0</v>
      </c>
      <c r="BK359" s="450">
        <v>0.0</v>
      </c>
      <c r="BL359" s="450">
        <v>0.0</v>
      </c>
      <c r="BM359" s="450">
        <v>0.0</v>
      </c>
      <c r="BN359" s="450">
        <v>0.0</v>
      </c>
      <c r="BO359" s="450">
        <v>0.0</v>
      </c>
      <c r="BP359" s="450">
        <v>0.0</v>
      </c>
      <c r="BQ359" s="450">
        <v>0.0</v>
      </c>
      <c r="BR359" s="450">
        <v>0.0</v>
      </c>
      <c r="BS359" s="615" t="str">
        <f t="array" ref="BS359">XLOOKUP(D359,'PL TOTAL XP'!A:A,'PL TOTAL XP'!C:C,"0")</f>
        <v>0</v>
      </c>
      <c r="BT359" s="616"/>
    </row>
    <row r="360" ht="15.75" customHeight="1">
      <c r="A360" s="183" t="s">
        <v>3820</v>
      </c>
      <c r="B360" s="78" t="s">
        <v>4885</v>
      </c>
      <c r="C360" s="564" t="s">
        <v>4886</v>
      </c>
      <c r="D360" s="566">
        <v>6493585.0</v>
      </c>
      <c r="E360" s="512" t="s">
        <v>105</v>
      </c>
      <c r="F360" s="609" t="s">
        <v>29</v>
      </c>
      <c r="G360" s="512" t="s">
        <v>3887</v>
      </c>
      <c r="H360" s="627" t="str">
        <f>IFERROR(VLOOKUP(G360,'Cadastro de assessores'!A:B,2,FALSE),"Não Cadastrado")</f>
        <v>1298</v>
      </c>
      <c r="I360" s="627"/>
      <c r="J360" s="51" t="s">
        <v>3823</v>
      </c>
      <c r="K360" s="512" t="s">
        <v>107</v>
      </c>
      <c r="L360" s="610">
        <v>44449.0</v>
      </c>
      <c r="M360" s="610">
        <v>44452.0</v>
      </c>
      <c r="N360" s="627"/>
      <c r="O360" s="627" t="s">
        <v>3836</v>
      </c>
      <c r="P360" s="612">
        <v>0.012</v>
      </c>
      <c r="Q360" s="620"/>
      <c r="R360" s="613"/>
      <c r="S360" s="522" t="str">
        <f t="shared" si="38"/>
        <v>Não Qualificado</v>
      </c>
      <c r="T360" s="522" t="s">
        <v>108</v>
      </c>
      <c r="U360" s="478" t="s">
        <v>4112</v>
      </c>
      <c r="V360" s="522" t="s">
        <v>152</v>
      </c>
      <c r="W360" s="614"/>
      <c r="X360" s="468"/>
      <c r="Y360" s="468"/>
      <c r="Z360" s="468"/>
      <c r="AA360" s="468"/>
      <c r="AB360" s="468"/>
      <c r="AC360" s="468"/>
      <c r="AD360" s="468"/>
      <c r="AE360" s="468"/>
      <c r="AF360" s="468"/>
      <c r="AG360" s="468"/>
      <c r="AH360" s="614"/>
      <c r="AI360" s="614"/>
      <c r="AJ360" s="450"/>
      <c r="AK360" s="450"/>
      <c r="AL360" s="450"/>
      <c r="AM360" s="450"/>
      <c r="AN360" s="450"/>
      <c r="AO360" s="450"/>
      <c r="AP360" s="450"/>
      <c r="AQ360" s="450"/>
      <c r="AR360" s="450"/>
      <c r="AS360" s="450"/>
      <c r="AT360" s="450"/>
      <c r="AU360" s="468"/>
      <c r="AV360" s="450">
        <v>198562.71</v>
      </c>
      <c r="AW360" s="450">
        <v>195922.54</v>
      </c>
      <c r="AX360" s="450">
        <v>196248.35</v>
      </c>
      <c r="AY360" s="450">
        <v>198014.73</v>
      </c>
      <c r="AZ360" s="450">
        <v>204922.36</v>
      </c>
      <c r="BA360" s="450">
        <v>206477.71</v>
      </c>
      <c r="BB360" s="450">
        <v>210700.79</v>
      </c>
      <c r="BC360" s="450">
        <v>125961.82</v>
      </c>
      <c r="BD360" s="450">
        <v>210823.62</v>
      </c>
      <c r="BE360" s="450">
        <v>211478.38</v>
      </c>
      <c r="BF360" s="450">
        <v>214620.19</v>
      </c>
      <c r="BG360" s="450">
        <v>216976.7963</v>
      </c>
      <c r="BH360" s="450">
        <v>218673.21</v>
      </c>
      <c r="BI360" s="450">
        <v>223114.13</v>
      </c>
      <c r="BJ360" s="450">
        <v>223849.49</v>
      </c>
      <c r="BK360" s="450">
        <v>225840.6</v>
      </c>
      <c r="BL360" s="450">
        <v>228494.33</v>
      </c>
      <c r="BM360" s="450">
        <v>230102.72</v>
      </c>
      <c r="BN360" s="450">
        <v>228315.04</v>
      </c>
      <c r="BO360" s="450">
        <v>0.0</v>
      </c>
      <c r="BP360" s="450">
        <v>0.0</v>
      </c>
      <c r="BQ360" s="450">
        <v>0.0</v>
      </c>
      <c r="BR360" s="450">
        <v>0.0</v>
      </c>
      <c r="BS360" s="615">
        <f t="array" ref="BS360">XLOOKUP(D360,'PL TOTAL XP'!A:A,'PL TOTAL XP'!C:C,"0")</f>
        <v>0</v>
      </c>
      <c r="BT360" s="616"/>
    </row>
    <row r="361" ht="15.75" customHeight="1">
      <c r="A361" s="183" t="s">
        <v>3820</v>
      </c>
      <c r="B361" s="78" t="s">
        <v>4887</v>
      </c>
      <c r="C361" s="564" t="s">
        <v>4888</v>
      </c>
      <c r="D361" s="566">
        <v>6980115.0</v>
      </c>
      <c r="E361" s="566" t="s">
        <v>18</v>
      </c>
      <c r="F361" s="566" t="s">
        <v>19</v>
      </c>
      <c r="G361" s="566" t="s">
        <v>4152</v>
      </c>
      <c r="H361" s="566" t="str">
        <f>IFERROR(VLOOKUP(G361,'Cadastro de assessores'!A:B,2,FALSE),"Não Cadastrado")</f>
        <v>14294</v>
      </c>
      <c r="I361" s="566"/>
      <c r="J361" s="51" t="s">
        <v>186</v>
      </c>
      <c r="K361" s="522" t="s">
        <v>2563</v>
      </c>
      <c r="L361" s="618">
        <v>44517.0</v>
      </c>
      <c r="M361" s="618">
        <v>44517.0</v>
      </c>
      <c r="N361" s="567">
        <v>44816.0</v>
      </c>
      <c r="O361" s="566" t="s">
        <v>3869</v>
      </c>
      <c r="P361" s="612">
        <v>0.008</v>
      </c>
      <c r="Q361" s="482" t="s">
        <v>4889</v>
      </c>
      <c r="R361" s="613"/>
      <c r="S361" s="522" t="str">
        <f t="shared" si="38"/>
        <v>Não Qualificado</v>
      </c>
      <c r="T361" s="522" t="s">
        <v>108</v>
      </c>
      <c r="U361" s="478" t="s">
        <v>4890</v>
      </c>
      <c r="V361" s="522" t="s">
        <v>152</v>
      </c>
      <c r="W361" s="614"/>
      <c r="X361" s="468"/>
      <c r="Y361" s="468"/>
      <c r="Z361" s="468"/>
      <c r="AA361" s="468"/>
      <c r="AB361" s="468"/>
      <c r="AC361" s="468"/>
      <c r="AD361" s="468"/>
      <c r="AE361" s="468"/>
      <c r="AF361" s="468"/>
      <c r="AG361" s="468"/>
      <c r="AH361" s="614"/>
      <c r="AI361" s="450"/>
      <c r="AJ361" s="450"/>
      <c r="AK361" s="450"/>
      <c r="AL361" s="450"/>
      <c r="AM361" s="450"/>
      <c r="AN361" s="450"/>
      <c r="AO361" s="450"/>
      <c r="AP361" s="450"/>
      <c r="AQ361" s="450"/>
      <c r="AR361" s="450"/>
      <c r="AS361" s="450"/>
      <c r="AT361" s="468"/>
      <c r="AU361" s="450"/>
      <c r="AV361" s="450"/>
      <c r="AW361" s="468"/>
      <c r="AX361" s="449"/>
      <c r="AY361" s="449">
        <v>622112.9</v>
      </c>
      <c r="AZ361" s="450">
        <v>624171.54</v>
      </c>
      <c r="BA361" s="450">
        <v>624168.06</v>
      </c>
      <c r="BB361" s="450">
        <v>630465.5</v>
      </c>
      <c r="BC361" s="450">
        <v>103037.99</v>
      </c>
      <c r="BD361" s="450">
        <v>636032.88</v>
      </c>
      <c r="BE361" s="450">
        <v>635429.7</v>
      </c>
      <c r="BF361" s="450">
        <v>643027.28</v>
      </c>
      <c r="BG361" s="450">
        <v>659761.02</v>
      </c>
      <c r="BH361" s="450">
        <v>0.0</v>
      </c>
      <c r="BI361" s="450">
        <v>0.0</v>
      </c>
      <c r="BJ361" s="450">
        <v>0.0</v>
      </c>
      <c r="BK361" s="450">
        <v>0.0</v>
      </c>
      <c r="BL361" s="450">
        <v>0.0</v>
      </c>
      <c r="BM361" s="450">
        <v>0.0</v>
      </c>
      <c r="BN361" s="450">
        <v>0.0</v>
      </c>
      <c r="BO361" s="450">
        <v>0.0</v>
      </c>
      <c r="BP361" s="450">
        <v>0.0</v>
      </c>
      <c r="BQ361" s="450">
        <v>0.0</v>
      </c>
      <c r="BR361" s="450">
        <v>0.0</v>
      </c>
      <c r="BS361" s="615" t="str">
        <f t="array" ref="BS361">XLOOKUP(D361,'PL TOTAL XP'!A:A,'PL TOTAL XP'!C:C,"0")</f>
        <v>0</v>
      </c>
      <c r="BT361" s="616"/>
    </row>
    <row r="362" ht="15.75" customHeight="1">
      <c r="A362" s="183" t="s">
        <v>3820</v>
      </c>
      <c r="B362" s="78" t="s">
        <v>4891</v>
      </c>
      <c r="C362" s="564" t="s">
        <v>4892</v>
      </c>
      <c r="D362" s="566">
        <v>7719774.0</v>
      </c>
      <c r="E362" s="512" t="s">
        <v>105</v>
      </c>
      <c r="F362" s="609" t="s">
        <v>29</v>
      </c>
      <c r="G362" s="512" t="s">
        <v>3878</v>
      </c>
      <c r="H362" s="627" t="str">
        <f>IFERROR(VLOOKUP(G362,'Cadastro de assessores'!A:B,2,FALSE),"Não Cadastrado")</f>
        <v>1441</v>
      </c>
      <c r="I362" s="627"/>
      <c r="J362" s="51" t="s">
        <v>186</v>
      </c>
      <c r="K362" s="512" t="s">
        <v>107</v>
      </c>
      <c r="L362" s="610">
        <v>44585.0</v>
      </c>
      <c r="M362" s="610">
        <v>44599.0</v>
      </c>
      <c r="N362" s="654">
        <v>44886.0</v>
      </c>
      <c r="O362" s="566" t="s">
        <v>3869</v>
      </c>
      <c r="P362" s="612">
        <v>0.008</v>
      </c>
      <c r="Q362" s="224" t="s">
        <v>4893</v>
      </c>
      <c r="R362" s="613"/>
      <c r="S362" s="522" t="str">
        <f t="shared" si="38"/>
        <v>Não Qualificado</v>
      </c>
      <c r="T362" s="522" t="s">
        <v>108</v>
      </c>
      <c r="U362" s="566" t="s">
        <v>2942</v>
      </c>
      <c r="V362" s="522" t="s">
        <v>29</v>
      </c>
      <c r="W362" s="614"/>
      <c r="X362" s="468"/>
      <c r="Y362" s="468"/>
      <c r="Z362" s="468"/>
      <c r="AA362" s="468"/>
      <c r="AB362" s="468"/>
      <c r="AC362" s="468"/>
      <c r="AD362" s="468"/>
      <c r="AE362" s="468"/>
      <c r="AF362" s="468"/>
      <c r="AG362" s="468"/>
      <c r="AH362" s="468"/>
      <c r="AI362" s="614"/>
      <c r="AJ362" s="450"/>
      <c r="AK362" s="450"/>
      <c r="AL362" s="450"/>
      <c r="AM362" s="450"/>
      <c r="AN362" s="450"/>
      <c r="AO362" s="450"/>
      <c r="AP362" s="450"/>
      <c r="AQ362" s="450"/>
      <c r="AR362" s="450"/>
      <c r="AS362" s="450"/>
      <c r="AT362" s="450"/>
      <c r="AU362" s="468"/>
      <c r="AV362" s="450"/>
      <c r="AW362" s="450"/>
      <c r="AX362" s="450"/>
      <c r="AY362" s="450"/>
      <c r="AZ362" s="450"/>
      <c r="BA362" s="450">
        <v>1494682.24</v>
      </c>
      <c r="BB362" s="450">
        <v>1508520.52</v>
      </c>
      <c r="BC362" s="450">
        <v>428250.24</v>
      </c>
      <c r="BD362" s="450">
        <v>1487446.66</v>
      </c>
      <c r="BE362" s="450">
        <v>1468469.96</v>
      </c>
      <c r="BF362" s="450">
        <v>1464005.56</v>
      </c>
      <c r="BG362" s="450">
        <v>1483441.68</v>
      </c>
      <c r="BH362" s="450">
        <v>1470140.64</v>
      </c>
      <c r="BI362" s="450">
        <v>1474076.27</v>
      </c>
      <c r="BJ362" s="450">
        <v>0.0</v>
      </c>
      <c r="BK362" s="450">
        <v>0.0</v>
      </c>
      <c r="BL362" s="450">
        <v>0.0</v>
      </c>
      <c r="BM362" s="450">
        <v>0.0</v>
      </c>
      <c r="BN362" s="450">
        <v>0.0</v>
      </c>
      <c r="BO362" s="450">
        <v>0.0</v>
      </c>
      <c r="BP362" s="450">
        <v>0.0</v>
      </c>
      <c r="BQ362" s="450">
        <v>0.0</v>
      </c>
      <c r="BR362" s="450">
        <v>0.0</v>
      </c>
      <c r="BS362" s="615" t="str">
        <f t="array" ref="BS362">XLOOKUP(D362,'PL TOTAL XP'!A:A,'PL TOTAL XP'!C:C,"0")</f>
        <v>0</v>
      </c>
      <c r="BT362" s="616"/>
    </row>
    <row r="363" ht="15.75" customHeight="1">
      <c r="A363" s="183" t="s">
        <v>3820</v>
      </c>
      <c r="B363" s="78" t="s">
        <v>1767</v>
      </c>
      <c r="C363" s="564" t="s">
        <v>4894</v>
      </c>
      <c r="D363" s="566">
        <v>6604192.0</v>
      </c>
      <c r="E363" s="512" t="s">
        <v>18</v>
      </c>
      <c r="F363" s="609" t="s">
        <v>29</v>
      </c>
      <c r="G363" s="512" t="s">
        <v>704</v>
      </c>
      <c r="H363" s="512" t="str">
        <f>IFERROR(VLOOKUP(G363,'Cadastro de assessores'!A:B,2,FALSE),"Não Cadastrado")</f>
        <v>18467</v>
      </c>
      <c r="I363" s="512"/>
      <c r="J363" s="51" t="s">
        <v>3823</v>
      </c>
      <c r="K363" s="512" t="s">
        <v>107</v>
      </c>
      <c r="L363" s="610">
        <v>44460.0</v>
      </c>
      <c r="M363" s="610">
        <v>44460.0</v>
      </c>
      <c r="N363" s="566"/>
      <c r="O363" s="566" t="s">
        <v>3834</v>
      </c>
      <c r="P363" s="612">
        <v>0.007</v>
      </c>
      <c r="Q363" s="224"/>
      <c r="R363" s="613"/>
      <c r="S363" s="522" t="str">
        <f t="shared" si="38"/>
        <v>Não Qualificado</v>
      </c>
      <c r="T363" s="522" t="s">
        <v>108</v>
      </c>
      <c r="U363" s="566" t="s">
        <v>4895</v>
      </c>
      <c r="V363" s="522" t="s">
        <v>152</v>
      </c>
      <c r="W363" s="614"/>
      <c r="X363" s="468"/>
      <c r="Y363" s="468"/>
      <c r="Z363" s="468"/>
      <c r="AA363" s="468"/>
      <c r="AB363" s="468"/>
      <c r="AC363" s="468"/>
      <c r="AD363" s="468"/>
      <c r="AE363" s="468"/>
      <c r="AF363" s="468"/>
      <c r="AG363" s="468"/>
      <c r="AH363" s="468"/>
      <c r="AI363" s="614"/>
      <c r="AJ363" s="450"/>
      <c r="AK363" s="450"/>
      <c r="AL363" s="450"/>
      <c r="AM363" s="450"/>
      <c r="AN363" s="450"/>
      <c r="AO363" s="450"/>
      <c r="AP363" s="450"/>
      <c r="AQ363" s="450"/>
      <c r="AR363" s="450"/>
      <c r="AS363" s="450"/>
      <c r="AT363" s="450"/>
      <c r="AU363" s="468"/>
      <c r="AV363" s="450"/>
      <c r="AW363" s="450">
        <v>304470.2</v>
      </c>
      <c r="AX363" s="450">
        <v>308141.15</v>
      </c>
      <c r="AY363" s="450">
        <v>311235.9</v>
      </c>
      <c r="AZ363" s="450">
        <v>313997.4</v>
      </c>
      <c r="BA363" s="450">
        <v>316637.57</v>
      </c>
      <c r="BB363" s="450">
        <v>321013.12</v>
      </c>
      <c r="BC363" s="450">
        <v>613885.83</v>
      </c>
      <c r="BD363" s="450">
        <v>1522449.36</v>
      </c>
      <c r="BE363" s="450">
        <v>1534249.84</v>
      </c>
      <c r="BF363" s="450">
        <v>1522770.63</v>
      </c>
      <c r="BG363" s="450">
        <v>1539560.941</v>
      </c>
      <c r="BH363" s="450">
        <v>1551122.53</v>
      </c>
      <c r="BI363" s="450">
        <v>1562293.26</v>
      </c>
      <c r="BJ363" s="450">
        <v>1559919.75</v>
      </c>
      <c r="BK363" s="450">
        <v>1572668.71</v>
      </c>
      <c r="BL363" s="450">
        <v>1582665.74</v>
      </c>
      <c r="BM363" s="450">
        <v>1589417.95</v>
      </c>
      <c r="BN363" s="450">
        <v>0.0</v>
      </c>
      <c r="BO363" s="450">
        <v>0.0</v>
      </c>
      <c r="BP363" s="450">
        <v>0.0</v>
      </c>
      <c r="BQ363" s="450">
        <v>0.0</v>
      </c>
      <c r="BR363" s="450">
        <v>0.0</v>
      </c>
      <c r="BS363" s="615">
        <f t="array" ref="BS363">XLOOKUP(D363,'PL TOTAL XP'!A:A,'PL TOTAL XP'!C:C,"0")</f>
        <v>0</v>
      </c>
      <c r="BT363" s="616"/>
    </row>
    <row r="364" ht="15.75" customHeight="1">
      <c r="A364" s="183" t="s">
        <v>3820</v>
      </c>
      <c r="B364" s="78" t="s">
        <v>1773</v>
      </c>
      <c r="C364" s="564" t="s">
        <v>4896</v>
      </c>
      <c r="D364" s="566">
        <v>6065019.0</v>
      </c>
      <c r="E364" s="512" t="s">
        <v>18</v>
      </c>
      <c r="F364" s="511" t="s">
        <v>19</v>
      </c>
      <c r="G364" s="522" t="s">
        <v>122</v>
      </c>
      <c r="H364" s="512" t="str">
        <f>IFERROR(VLOOKUP(G364,'Cadastro de assessores'!A:B,2,FALSE),"Não Cadastrado")</f>
        <v>18890</v>
      </c>
      <c r="I364" s="512"/>
      <c r="J364" s="51" t="s">
        <v>3823</v>
      </c>
      <c r="K364" s="522" t="s">
        <v>107</v>
      </c>
      <c r="L364" s="619">
        <v>44746.0</v>
      </c>
      <c r="M364" s="619">
        <v>44749.0</v>
      </c>
      <c r="N364" s="522"/>
      <c r="O364" s="522" t="s">
        <v>3834</v>
      </c>
      <c r="P364" s="612">
        <v>0.007</v>
      </c>
      <c r="Q364" s="620" t="s">
        <v>3932</v>
      </c>
      <c r="R364" s="613"/>
      <c r="S364" s="522" t="s">
        <v>119</v>
      </c>
      <c r="T364" s="522" t="s">
        <v>108</v>
      </c>
      <c r="U364" s="522" t="s">
        <v>2652</v>
      </c>
      <c r="V364" s="522" t="s">
        <v>19</v>
      </c>
      <c r="W364" s="614"/>
      <c r="X364" s="614"/>
      <c r="Y364" s="614"/>
      <c r="Z364" s="614"/>
      <c r="AA364" s="614"/>
      <c r="AB364" s="614"/>
      <c r="AC364" s="614"/>
      <c r="AD364" s="614"/>
      <c r="AE364" s="614"/>
      <c r="AF364" s="614"/>
      <c r="AG364" s="614"/>
      <c r="AH364" s="614"/>
      <c r="AI364" s="614"/>
      <c r="AJ364" s="614"/>
      <c r="AK364" s="450"/>
      <c r="AL364" s="450"/>
      <c r="AM364" s="450"/>
      <c r="AN364" s="450"/>
      <c r="AO364" s="450"/>
      <c r="AP364" s="450"/>
      <c r="AQ364" s="450"/>
      <c r="AR364" s="450"/>
      <c r="AS364" s="450"/>
      <c r="AT364" s="450"/>
      <c r="AU364" s="450"/>
      <c r="AV364" s="450"/>
      <c r="AW364" s="450"/>
      <c r="AX364" s="450"/>
      <c r="AY364" s="450"/>
      <c r="AZ364" s="450"/>
      <c r="BA364" s="450"/>
      <c r="BB364" s="450"/>
      <c r="BC364" s="450"/>
      <c r="BD364" s="450"/>
      <c r="BE364" s="450" t="s">
        <v>2566</v>
      </c>
      <c r="BF364" s="450">
        <v>12131.07</v>
      </c>
      <c r="BG364" s="450">
        <v>18739.93586</v>
      </c>
      <c r="BH364" s="450">
        <v>24777.15</v>
      </c>
      <c r="BI364" s="450">
        <v>30855.6</v>
      </c>
      <c r="BJ364" s="450">
        <v>29896.26</v>
      </c>
      <c r="BK364" s="450">
        <v>100317.87</v>
      </c>
      <c r="BL364" s="450">
        <v>11798.19</v>
      </c>
      <c r="BM364" s="450">
        <v>854.79</v>
      </c>
      <c r="BN364" s="450">
        <v>855.05</v>
      </c>
      <c r="BO364" s="450">
        <v>0.03</v>
      </c>
      <c r="BP364" s="450">
        <v>0.03</v>
      </c>
      <c r="BQ364" s="450">
        <v>0.03</v>
      </c>
      <c r="BR364" s="450">
        <v>0.03</v>
      </c>
      <c r="BS364" s="615">
        <f t="array" ref="BS364">XLOOKUP(D364,'PL TOTAL XP'!A:A,'PL TOTAL XP'!C:C,"0")</f>
        <v>0</v>
      </c>
      <c r="BT364" s="616"/>
    </row>
    <row r="365" ht="15.75" customHeight="1">
      <c r="A365" s="183" t="s">
        <v>3820</v>
      </c>
      <c r="B365" s="78" t="s">
        <v>1777</v>
      </c>
      <c r="C365" s="564" t="s">
        <v>1774</v>
      </c>
      <c r="D365" s="566">
        <v>8688629.0</v>
      </c>
      <c r="E365" s="522" t="s">
        <v>18</v>
      </c>
      <c r="F365" s="511" t="s">
        <v>19</v>
      </c>
      <c r="G365" s="522" t="s">
        <v>122</v>
      </c>
      <c r="H365" s="512" t="str">
        <f>IFERROR(VLOOKUP(G365,'Cadastro de assessores'!A:B,2,FALSE),"Não Cadastrado")</f>
        <v>18890</v>
      </c>
      <c r="I365" s="512"/>
      <c r="J365" s="51" t="s">
        <v>3823</v>
      </c>
      <c r="K365" s="522" t="s">
        <v>107</v>
      </c>
      <c r="L365" s="619">
        <v>44712.0</v>
      </c>
      <c r="M365" s="619">
        <v>44714.0</v>
      </c>
      <c r="N365" s="522"/>
      <c r="O365" s="522" t="s">
        <v>4479</v>
      </c>
      <c r="P365" s="612">
        <v>0.012</v>
      </c>
      <c r="Q365" s="620" t="s">
        <v>3932</v>
      </c>
      <c r="R365" s="613"/>
      <c r="S365" s="522"/>
      <c r="T365" s="522" t="s">
        <v>108</v>
      </c>
      <c r="U365" s="522" t="s">
        <v>2652</v>
      </c>
      <c r="V365" s="522" t="s">
        <v>19</v>
      </c>
      <c r="W365" s="614"/>
      <c r="X365" s="614"/>
      <c r="Y365" s="614"/>
      <c r="Z365" s="614"/>
      <c r="AA365" s="614"/>
      <c r="AB365" s="614"/>
      <c r="AC365" s="614"/>
      <c r="AD365" s="614"/>
      <c r="AE365" s="614"/>
      <c r="AF365" s="614"/>
      <c r="AG365" s="614"/>
      <c r="AH365" s="614"/>
      <c r="AI365" s="614"/>
      <c r="AJ365" s="614"/>
      <c r="AK365" s="450"/>
      <c r="AL365" s="450"/>
      <c r="AM365" s="450"/>
      <c r="AN365" s="450"/>
      <c r="AO365" s="450"/>
      <c r="AP365" s="450"/>
      <c r="AQ365" s="450"/>
      <c r="AR365" s="450"/>
      <c r="AS365" s="450"/>
      <c r="AT365" s="450"/>
      <c r="AU365" s="450"/>
      <c r="AV365" s="450"/>
      <c r="AW365" s="450"/>
      <c r="AX365" s="450"/>
      <c r="AY365" s="450"/>
      <c r="AZ365" s="450"/>
      <c r="BA365" s="450"/>
      <c r="BB365" s="450"/>
      <c r="BC365" s="450"/>
      <c r="BD365" s="450" t="s">
        <v>2566</v>
      </c>
      <c r="BE365" s="450">
        <v>1612243.57</v>
      </c>
      <c r="BF365" s="450">
        <v>1628226.75</v>
      </c>
      <c r="BG365" s="450">
        <v>1637936.958</v>
      </c>
      <c r="BH365" s="450">
        <v>1646828.42</v>
      </c>
      <c r="BI365" s="450">
        <v>1661295.01</v>
      </c>
      <c r="BJ365" s="450">
        <v>1674139.22</v>
      </c>
      <c r="BK365" s="450">
        <v>1687918.14</v>
      </c>
      <c r="BL365" s="450">
        <v>53711.29</v>
      </c>
      <c r="BM365" s="450">
        <v>443.33</v>
      </c>
      <c r="BN365" s="450">
        <v>0.59</v>
      </c>
      <c r="BO365" s="450">
        <v>0.59</v>
      </c>
      <c r="BP365" s="450">
        <v>0.59</v>
      </c>
      <c r="BQ365" s="450">
        <v>0.59</v>
      </c>
      <c r="BR365" s="450">
        <v>0.59</v>
      </c>
      <c r="BS365" s="615">
        <f t="array" ref="BS365">XLOOKUP(D365,'PL TOTAL XP'!A:A,'PL TOTAL XP'!C:C,"0")</f>
        <v>0</v>
      </c>
      <c r="BT365" s="616"/>
    </row>
    <row r="366" ht="15.75" customHeight="1">
      <c r="A366" s="183" t="s">
        <v>3820</v>
      </c>
      <c r="B366" s="78" t="s">
        <v>1782</v>
      </c>
      <c r="C366" s="617" t="s">
        <v>1779</v>
      </c>
      <c r="D366" s="522">
        <v>9268978.0</v>
      </c>
      <c r="E366" s="512" t="s">
        <v>18</v>
      </c>
      <c r="F366" s="512" t="s">
        <v>19</v>
      </c>
      <c r="G366" s="512" t="s">
        <v>20</v>
      </c>
      <c r="H366" s="512">
        <f>IFERROR(VLOOKUP(G366,'Cadastro de assessores'!A:B,2,FALSE),"Não Cadastrado")</f>
        <v>12331</v>
      </c>
      <c r="I366" s="512"/>
      <c r="J366" s="51" t="s">
        <v>3823</v>
      </c>
      <c r="K366" s="522"/>
      <c r="L366" s="619">
        <v>44826.0</v>
      </c>
      <c r="M366" s="619">
        <v>44832.0</v>
      </c>
      <c r="N366" s="522"/>
      <c r="O366" s="522" t="s">
        <v>3834</v>
      </c>
      <c r="P366" s="612">
        <v>0.01</v>
      </c>
      <c r="Q366" s="620" t="s">
        <v>4897</v>
      </c>
      <c r="R366" s="613"/>
      <c r="S366" s="522"/>
      <c r="T366" s="522"/>
      <c r="U366" s="522"/>
      <c r="V366" s="522" t="s">
        <v>19</v>
      </c>
      <c r="W366" s="614"/>
      <c r="X366" s="614"/>
      <c r="Y366" s="614"/>
      <c r="Z366" s="614"/>
      <c r="AA366" s="614"/>
      <c r="AB366" s="614"/>
      <c r="AC366" s="614"/>
      <c r="AD366" s="614"/>
      <c r="AE366" s="614"/>
      <c r="AF366" s="614"/>
      <c r="AG366" s="614"/>
      <c r="AH366" s="614"/>
      <c r="AI366" s="614"/>
      <c r="AJ366" s="614"/>
      <c r="AK366" s="450"/>
      <c r="AL366" s="450"/>
      <c r="AM366" s="450"/>
      <c r="AN366" s="450"/>
      <c r="AO366" s="450"/>
      <c r="AP366" s="450"/>
      <c r="AQ366" s="450"/>
      <c r="AR366" s="450"/>
      <c r="AS366" s="450"/>
      <c r="AT366" s="450"/>
      <c r="AU366" s="450"/>
      <c r="AV366" s="450"/>
      <c r="AW366" s="450"/>
      <c r="AX366" s="450"/>
      <c r="AY366" s="450"/>
      <c r="AZ366" s="450"/>
      <c r="BA366" s="450"/>
      <c r="BB366" s="450"/>
      <c r="BC366" s="450"/>
      <c r="BD366" s="450"/>
      <c r="BE366" s="450"/>
      <c r="BF366" s="450"/>
      <c r="BG366" s="450"/>
      <c r="BH366" s="450">
        <v>210135.77</v>
      </c>
      <c r="BI366" s="450">
        <v>220039.16</v>
      </c>
      <c r="BJ366" s="450">
        <v>225153.08</v>
      </c>
      <c r="BK366" s="450">
        <v>227412.2</v>
      </c>
      <c r="BL366" s="450">
        <v>78119.87</v>
      </c>
      <c r="BM366" s="450">
        <v>419.2</v>
      </c>
      <c r="BN366" s="450">
        <v>0.0</v>
      </c>
      <c r="BO366" s="450">
        <v>0.0</v>
      </c>
      <c r="BP366" s="450">
        <v>0.0</v>
      </c>
      <c r="BQ366" s="450">
        <v>0.0</v>
      </c>
      <c r="BR366" s="450">
        <v>0.0</v>
      </c>
      <c r="BS366" s="615">
        <f t="array" ref="BS366">XLOOKUP(D366,'PL TOTAL XP'!A:A,'PL TOTAL XP'!C:C,"0")</f>
        <v>0</v>
      </c>
      <c r="BT366" s="616"/>
    </row>
    <row r="367" ht="15.75" customHeight="1">
      <c r="A367" s="183" t="s">
        <v>3820</v>
      </c>
      <c r="B367" s="78" t="s">
        <v>4898</v>
      </c>
      <c r="C367" s="617" t="s">
        <v>4899</v>
      </c>
      <c r="D367" s="522">
        <v>4488691.0</v>
      </c>
      <c r="E367" s="512" t="s">
        <v>18</v>
      </c>
      <c r="F367" s="512" t="s">
        <v>29</v>
      </c>
      <c r="G367" s="512" t="s">
        <v>3827</v>
      </c>
      <c r="H367" s="512" t="str">
        <f>IFERROR(VLOOKUP(G367,'Cadastro de assessores'!A:B,2,FALSE),"Não Cadastrado")</f>
        <v>17679</v>
      </c>
      <c r="I367" s="512"/>
      <c r="J367" s="51" t="s">
        <v>3823</v>
      </c>
      <c r="K367" s="522" t="s">
        <v>147</v>
      </c>
      <c r="L367" s="522" t="s">
        <v>2600</v>
      </c>
      <c r="M367" s="640" t="s">
        <v>4195</v>
      </c>
      <c r="N367" s="522"/>
      <c r="O367" s="522" t="s">
        <v>3836</v>
      </c>
      <c r="P367" s="612">
        <v>0.012</v>
      </c>
      <c r="Q367" s="620"/>
      <c r="R367" s="613"/>
      <c r="S367" s="522" t="str">
        <f t="shared" ref="S367:S372" si="39">IF(BC367&lt;=0,"",IF(BC367&lt;=1000000,"Não Qualificado",IF(AND(BC367&gt;1000000,BC367&lt;=10000000),"Qualificado","Profissional")))</f>
        <v>Não Qualificado</v>
      </c>
      <c r="T367" s="522" t="s">
        <v>108</v>
      </c>
      <c r="U367" s="522" t="s">
        <v>2602</v>
      </c>
      <c r="V367" s="522" t="s">
        <v>29</v>
      </c>
      <c r="W367" s="614" t="s">
        <v>3830</v>
      </c>
      <c r="X367" s="614" t="s">
        <v>3830</v>
      </c>
      <c r="Y367" s="614" t="s">
        <v>3830</v>
      </c>
      <c r="Z367" s="614" t="s">
        <v>3830</v>
      </c>
      <c r="AA367" s="614" t="s">
        <v>3830</v>
      </c>
      <c r="AB367" s="614" t="s">
        <v>3830</v>
      </c>
      <c r="AC367" s="614" t="s">
        <v>3830</v>
      </c>
      <c r="AD367" s="614" t="s">
        <v>3830</v>
      </c>
      <c r="AE367" s="614" t="s">
        <v>3830</v>
      </c>
      <c r="AF367" s="614" t="s">
        <v>3830</v>
      </c>
      <c r="AG367" s="614" t="s">
        <v>3830</v>
      </c>
      <c r="AH367" s="614" t="s">
        <v>3830</v>
      </c>
      <c r="AI367" s="614" t="s">
        <v>3830</v>
      </c>
      <c r="AJ367" s="614" t="s">
        <v>3830</v>
      </c>
      <c r="AK367" s="450" t="s">
        <v>2600</v>
      </c>
      <c r="AL367" s="450"/>
      <c r="AM367" s="450" t="s">
        <v>2600</v>
      </c>
      <c r="AN367" s="450" t="s">
        <v>2600</v>
      </c>
      <c r="AO367" s="450"/>
      <c r="AP367" s="450"/>
      <c r="AQ367" s="450"/>
      <c r="AR367" s="450"/>
      <c r="AS367" s="450"/>
      <c r="AT367" s="450"/>
      <c r="AU367" s="450"/>
      <c r="AV367" s="450"/>
      <c r="AW367" s="450"/>
      <c r="AX367" s="450"/>
      <c r="AY367" s="450"/>
      <c r="AZ367" s="450"/>
      <c r="BA367" s="450">
        <v>0.0</v>
      </c>
      <c r="BB367" s="450">
        <v>0.0</v>
      </c>
      <c r="BC367" s="450">
        <v>12149.7</v>
      </c>
      <c r="BD367" s="450" t="s">
        <v>2566</v>
      </c>
      <c r="BE367" s="450" t="s">
        <v>2566</v>
      </c>
      <c r="BF367" s="450">
        <v>0.0</v>
      </c>
      <c r="BG367" s="450">
        <v>0.0</v>
      </c>
      <c r="BH367" s="450">
        <v>0.0</v>
      </c>
      <c r="BI367" s="450">
        <v>0.0</v>
      </c>
      <c r="BJ367" s="450">
        <v>0.0</v>
      </c>
      <c r="BK367" s="450">
        <v>0.0</v>
      </c>
      <c r="BL367" s="450">
        <v>0.0</v>
      </c>
      <c r="BM367" s="450">
        <v>0.0</v>
      </c>
      <c r="BN367" s="450">
        <v>0.0</v>
      </c>
      <c r="BO367" s="450">
        <v>0.0</v>
      </c>
      <c r="BP367" s="450">
        <v>0.0</v>
      </c>
      <c r="BQ367" s="450">
        <v>0.0</v>
      </c>
      <c r="BR367" s="450">
        <v>0.0</v>
      </c>
      <c r="BS367" s="615">
        <f t="array" ref="BS367">XLOOKUP(D367,'PL TOTAL XP'!A:A,'PL TOTAL XP'!C:C,"0")</f>
        <v>0</v>
      </c>
      <c r="BT367" s="616"/>
    </row>
    <row r="368" ht="15.75" customHeight="1">
      <c r="A368" s="183" t="s">
        <v>3820</v>
      </c>
      <c r="B368" s="78" t="s">
        <v>1798</v>
      </c>
      <c r="C368" s="617" t="s">
        <v>4900</v>
      </c>
      <c r="D368" s="623">
        <v>3247402.0</v>
      </c>
      <c r="E368" s="512" t="s">
        <v>18</v>
      </c>
      <c r="F368" s="609" t="s">
        <v>19</v>
      </c>
      <c r="G368" s="512" t="s">
        <v>20</v>
      </c>
      <c r="H368" s="627">
        <f>IFERROR(VLOOKUP(G368,'Cadastro de assessores'!A:B,2,FALSE),"Não Cadastrado")</f>
        <v>12331</v>
      </c>
      <c r="I368" s="627"/>
      <c r="J368" s="51" t="s">
        <v>3823</v>
      </c>
      <c r="K368" s="512" t="s">
        <v>107</v>
      </c>
      <c r="L368" s="610">
        <v>44673.0</v>
      </c>
      <c r="M368" s="610">
        <v>44673.0</v>
      </c>
      <c r="N368" s="566"/>
      <c r="O368" s="566" t="s">
        <v>3836</v>
      </c>
      <c r="P368" s="612">
        <v>0.012</v>
      </c>
      <c r="Q368" s="482" t="s">
        <v>4901</v>
      </c>
      <c r="R368" s="613"/>
      <c r="S368" s="522" t="str">
        <f t="shared" si="39"/>
        <v>Não Qualificado</v>
      </c>
      <c r="T368" s="522" t="s">
        <v>108</v>
      </c>
      <c r="U368" s="566" t="s">
        <v>2652</v>
      </c>
      <c r="V368" s="522" t="s">
        <v>19</v>
      </c>
      <c r="W368" s="614"/>
      <c r="X368" s="468"/>
      <c r="Y368" s="468"/>
      <c r="Z368" s="468"/>
      <c r="AA368" s="468"/>
      <c r="AB368" s="468"/>
      <c r="AC368" s="468"/>
      <c r="AD368" s="468"/>
      <c r="AE368" s="468"/>
      <c r="AF368" s="468"/>
      <c r="AG368" s="468"/>
      <c r="AH368" s="468"/>
      <c r="AI368" s="614"/>
      <c r="AJ368" s="450"/>
      <c r="AK368" s="450"/>
      <c r="AL368" s="450"/>
      <c r="AM368" s="450"/>
      <c r="AN368" s="450"/>
      <c r="AO368" s="450"/>
      <c r="AP368" s="450"/>
      <c r="AQ368" s="450"/>
      <c r="AR368" s="450"/>
      <c r="AS368" s="450"/>
      <c r="AT368" s="450"/>
      <c r="AU368" s="468"/>
      <c r="AV368" s="450"/>
      <c r="AW368" s="450"/>
      <c r="AX368" s="450"/>
      <c r="AY368" s="450"/>
      <c r="AZ368" s="450"/>
      <c r="BA368" s="450"/>
      <c r="BB368" s="450"/>
      <c r="BC368" s="450">
        <v>501006.0</v>
      </c>
      <c r="BD368" s="450">
        <v>230449.33</v>
      </c>
      <c r="BE368" s="450">
        <v>230628.01</v>
      </c>
      <c r="BF368" s="450">
        <v>233855.81</v>
      </c>
      <c r="BG368" s="450">
        <v>199362.1822</v>
      </c>
      <c r="BH368" s="450">
        <v>500493.73</v>
      </c>
      <c r="BI368" s="450">
        <v>507359.81</v>
      </c>
      <c r="BJ368" s="450">
        <v>509880.36</v>
      </c>
      <c r="BK368" s="450">
        <v>514134.5</v>
      </c>
      <c r="BL368" s="450">
        <v>519917.41</v>
      </c>
      <c r="BM368" s="450">
        <v>5.51</v>
      </c>
      <c r="BN368" s="450">
        <v>6.73</v>
      </c>
      <c r="BO368" s="450">
        <v>6.73</v>
      </c>
      <c r="BP368" s="450">
        <v>6.73</v>
      </c>
      <c r="BQ368" s="450">
        <v>6.73</v>
      </c>
      <c r="BR368" s="450">
        <v>0.0</v>
      </c>
      <c r="BS368" s="615" t="str">
        <f t="array" ref="BS368">XLOOKUP(D368,'PL TOTAL XP'!A:A,'PL TOTAL XP'!C:C,"0")</f>
        <v>0</v>
      </c>
      <c r="BT368" s="616"/>
    </row>
    <row r="369" ht="15.75" customHeight="1">
      <c r="A369" s="183" t="s">
        <v>3820</v>
      </c>
      <c r="B369" s="78" t="s">
        <v>1810</v>
      </c>
      <c r="C369" s="564" t="s">
        <v>4902</v>
      </c>
      <c r="D369" s="566">
        <v>6000381.0</v>
      </c>
      <c r="E369" s="512" t="s">
        <v>105</v>
      </c>
      <c r="F369" s="512" t="s">
        <v>29</v>
      </c>
      <c r="G369" s="512" t="s">
        <v>168</v>
      </c>
      <c r="H369" s="512">
        <f>IFERROR(VLOOKUP(G369,'Cadastro de assessores'!A:B,2,FALSE),"Não Cadastrado")</f>
        <v>12344</v>
      </c>
      <c r="I369" s="512"/>
      <c r="J369" s="51" t="s">
        <v>3823</v>
      </c>
      <c r="K369" s="512" t="s">
        <v>107</v>
      </c>
      <c r="L369" s="610">
        <v>44404.0</v>
      </c>
      <c r="M369" s="610">
        <v>44404.0</v>
      </c>
      <c r="N369" s="522"/>
      <c r="O369" s="522" t="s">
        <v>3836</v>
      </c>
      <c r="P369" s="612">
        <v>0.012</v>
      </c>
      <c r="Q369" s="224" t="s">
        <v>4903</v>
      </c>
      <c r="R369" s="613"/>
      <c r="S369" s="522" t="str">
        <f t="shared" si="39"/>
        <v>Não Qualificado</v>
      </c>
      <c r="T369" s="522" t="s">
        <v>108</v>
      </c>
      <c r="U369" s="566" t="s">
        <v>2614</v>
      </c>
      <c r="V369" s="522" t="s">
        <v>29</v>
      </c>
      <c r="W369" s="614"/>
      <c r="X369" s="468"/>
      <c r="Y369" s="468"/>
      <c r="Z369" s="468"/>
      <c r="AA369" s="468"/>
      <c r="AB369" s="468"/>
      <c r="AC369" s="468"/>
      <c r="AD369" s="468"/>
      <c r="AE369" s="468"/>
      <c r="AF369" s="468"/>
      <c r="AG369" s="468"/>
      <c r="AH369" s="614"/>
      <c r="AI369" s="614"/>
      <c r="AJ369" s="450"/>
      <c r="AK369" s="450"/>
      <c r="AL369" s="450"/>
      <c r="AM369" s="683"/>
      <c r="AN369" s="683"/>
      <c r="AO369" s="450"/>
      <c r="AP369" s="450"/>
      <c r="AQ369" s="450"/>
      <c r="AR369" s="450"/>
      <c r="AS369" s="468"/>
      <c r="AT369" s="449">
        <v>298524.36</v>
      </c>
      <c r="AU369" s="449">
        <v>297960.23</v>
      </c>
      <c r="AV369" s="450">
        <v>296252.66</v>
      </c>
      <c r="AW369" s="450">
        <v>293133.87</v>
      </c>
      <c r="AX369" s="450">
        <v>294661.52</v>
      </c>
      <c r="AY369" s="450">
        <v>297491.97</v>
      </c>
      <c r="AZ369" s="450">
        <v>302140.15</v>
      </c>
      <c r="BA369" s="450">
        <v>304389.5</v>
      </c>
      <c r="BB369" s="450">
        <v>310305.51</v>
      </c>
      <c r="BC369" s="450">
        <v>435077.12</v>
      </c>
      <c r="BD369" s="450">
        <v>312992.66</v>
      </c>
      <c r="BE369" s="450">
        <v>314051.05</v>
      </c>
      <c r="BF369" s="450">
        <v>317844.27</v>
      </c>
      <c r="BG369" s="450">
        <v>319589.2727</v>
      </c>
      <c r="BH369" s="450">
        <v>320781.76</v>
      </c>
      <c r="BI369" s="450">
        <v>325873.06</v>
      </c>
      <c r="BJ369" s="450">
        <v>327190.34</v>
      </c>
      <c r="BK369" s="450">
        <v>329752.29</v>
      </c>
      <c r="BL369" s="450">
        <v>333367.57</v>
      </c>
      <c r="BM369" s="450">
        <v>335433.23</v>
      </c>
      <c r="BN369" s="450">
        <v>4.99</v>
      </c>
      <c r="BO369" s="450">
        <v>4.99</v>
      </c>
      <c r="BP369" s="450">
        <v>4.99</v>
      </c>
      <c r="BQ369" s="450">
        <v>4.99</v>
      </c>
      <c r="BR369" s="450">
        <v>4.99</v>
      </c>
      <c r="BS369" s="615">
        <f t="array" ref="BS369">XLOOKUP(D369,'PL TOTAL XP'!A:A,'PL TOTAL XP'!C:C,"0")</f>
        <v>0</v>
      </c>
      <c r="BT369" s="616"/>
    </row>
    <row r="370" ht="15.75" customHeight="1">
      <c r="A370" s="183" t="s">
        <v>3820</v>
      </c>
      <c r="B370" s="78" t="s">
        <v>4904</v>
      </c>
      <c r="C370" s="564" t="s">
        <v>4905</v>
      </c>
      <c r="D370" s="566">
        <v>3081966.0</v>
      </c>
      <c r="E370" s="512" t="s">
        <v>18</v>
      </c>
      <c r="F370" s="512" t="s">
        <v>29</v>
      </c>
      <c r="G370" s="512" t="s">
        <v>373</v>
      </c>
      <c r="H370" s="566" t="str">
        <f>IFERROR(VLOOKUP(G370,'Cadastro de assessores'!A:B,2,FALSE),"Não Cadastrado")</f>
        <v>18993</v>
      </c>
      <c r="I370" s="566"/>
      <c r="J370" s="51" t="s">
        <v>3823</v>
      </c>
      <c r="K370" s="512" t="s">
        <v>107</v>
      </c>
      <c r="L370" s="611">
        <v>44488.0</v>
      </c>
      <c r="M370" s="611">
        <v>44498.0</v>
      </c>
      <c r="N370" s="566"/>
      <c r="O370" s="566" t="s">
        <v>3834</v>
      </c>
      <c r="P370" s="612">
        <v>0.005</v>
      </c>
      <c r="Q370" s="224"/>
      <c r="R370" s="613"/>
      <c r="S370" s="522" t="str">
        <f t="shared" si="39"/>
        <v>Não Qualificado</v>
      </c>
      <c r="T370" s="522" t="s">
        <v>108</v>
      </c>
      <c r="U370" s="566" t="s">
        <v>2664</v>
      </c>
      <c r="V370" s="522" t="s">
        <v>791</v>
      </c>
      <c r="W370" s="614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614"/>
      <c r="AH370" s="614"/>
      <c r="AI370" s="614"/>
      <c r="AJ370" s="450"/>
      <c r="AK370" s="450"/>
      <c r="AL370" s="450"/>
      <c r="AM370" s="450"/>
      <c r="AN370" s="450"/>
      <c r="AO370" s="450"/>
      <c r="AP370" s="450"/>
      <c r="AQ370" s="450"/>
      <c r="AR370" s="450"/>
      <c r="AS370" s="450"/>
      <c r="AT370" s="450"/>
      <c r="AU370" s="450"/>
      <c r="AV370" s="450"/>
      <c r="AW370" s="450"/>
      <c r="AX370" s="450">
        <v>148807.49</v>
      </c>
      <c r="AY370" s="450">
        <v>150280.38</v>
      </c>
      <c r="AZ370" s="450">
        <v>151551.92</v>
      </c>
      <c r="BA370" s="450">
        <v>152719.36</v>
      </c>
      <c r="BB370" s="450">
        <v>154441.86</v>
      </c>
      <c r="BC370" s="450">
        <v>124331.55</v>
      </c>
      <c r="BD370" s="450">
        <v>157901.39</v>
      </c>
      <c r="BE370" s="450">
        <v>159407.19</v>
      </c>
      <c r="BF370" s="450">
        <v>160698.38</v>
      </c>
      <c r="BG370" s="450">
        <v>161622.9699</v>
      </c>
      <c r="BH370" s="450">
        <v>162620.43</v>
      </c>
      <c r="BI370" s="450">
        <v>163873.94</v>
      </c>
      <c r="BJ370" s="450">
        <v>165442.04</v>
      </c>
      <c r="BK370" s="450">
        <v>166885.65</v>
      </c>
      <c r="BL370" s="450">
        <v>108309.34</v>
      </c>
      <c r="BM370" s="450">
        <v>109061.65</v>
      </c>
      <c r="BN370" s="450">
        <v>110460.5</v>
      </c>
      <c r="BO370" s="450">
        <v>111514.64</v>
      </c>
      <c r="BP370" s="450">
        <v>50307.6</v>
      </c>
      <c r="BQ370" s="450">
        <v>50590.47</v>
      </c>
      <c r="BR370" s="450">
        <v>50982.51</v>
      </c>
      <c r="BS370" s="615">
        <f t="array" ref="BS370">XLOOKUP(D370,'PL TOTAL XP'!A:A,'PL TOTAL XP'!C:C,"0")</f>
        <v>0</v>
      </c>
      <c r="BT370" s="616"/>
    </row>
    <row r="371" ht="15.75" customHeight="1">
      <c r="A371" s="183" t="s">
        <v>3820</v>
      </c>
      <c r="B371" s="78" t="s">
        <v>4906</v>
      </c>
      <c r="C371" s="621" t="s">
        <v>4907</v>
      </c>
      <c r="D371" s="512">
        <v>4848711.0</v>
      </c>
      <c r="E371" s="512" t="s">
        <v>105</v>
      </c>
      <c r="F371" s="512" t="s">
        <v>29</v>
      </c>
      <c r="G371" s="512" t="s">
        <v>4084</v>
      </c>
      <c r="H371" s="512" t="str">
        <f>IFERROR(VLOOKUP(G371,'Cadastro de assessores'!A:B,2,FALSE),"Não Cadastrado")</f>
        <v>15049</v>
      </c>
      <c r="I371" s="512"/>
      <c r="J371" s="51" t="s">
        <v>3823</v>
      </c>
      <c r="K371" s="512" t="s">
        <v>107</v>
      </c>
      <c r="L371" s="610">
        <v>44236.0</v>
      </c>
      <c r="M371" s="610">
        <v>44236.0</v>
      </c>
      <c r="N371" s="522"/>
      <c r="O371" s="522" t="s">
        <v>3836</v>
      </c>
      <c r="P371" s="612">
        <v>0.012</v>
      </c>
      <c r="Q371" s="652"/>
      <c r="R371" s="613"/>
      <c r="S371" s="522" t="str">
        <f t="shared" si="39"/>
        <v>Não Qualificado</v>
      </c>
      <c r="T371" s="522" t="s">
        <v>108</v>
      </c>
      <c r="U371" s="522" t="s">
        <v>2602</v>
      </c>
      <c r="V371" s="522" t="s">
        <v>29</v>
      </c>
      <c r="W371" s="614"/>
      <c r="X371" s="614"/>
      <c r="Y371" s="614"/>
      <c r="Z371" s="614"/>
      <c r="AA371" s="614"/>
      <c r="AB371" s="614"/>
      <c r="AC371" s="614"/>
      <c r="AD371" s="614"/>
      <c r="AE371" s="614"/>
      <c r="AF371" s="614"/>
      <c r="AG371" s="614"/>
      <c r="AH371" s="614"/>
      <c r="AI371" s="614" t="s">
        <v>3830</v>
      </c>
      <c r="AJ371" s="614"/>
      <c r="AK371" s="450"/>
      <c r="AL371" s="450"/>
      <c r="AM371" s="450">
        <v>154879.93</v>
      </c>
      <c r="AN371" s="683">
        <v>155088.12</v>
      </c>
      <c r="AO371" s="683">
        <v>157476.63</v>
      </c>
      <c r="AP371" s="450">
        <v>158057.03</v>
      </c>
      <c r="AQ371" s="450">
        <v>157786.46</v>
      </c>
      <c r="AR371" s="450">
        <v>159802.49</v>
      </c>
      <c r="AS371" s="450">
        <v>159536.3</v>
      </c>
      <c r="AT371" s="450">
        <v>158372.56</v>
      </c>
      <c r="AU371" s="450">
        <v>158287.92</v>
      </c>
      <c r="AV371" s="450">
        <v>157252.02</v>
      </c>
      <c r="AW371" s="450">
        <v>155466.36</v>
      </c>
      <c r="AX371" s="450">
        <v>156240.44</v>
      </c>
      <c r="AY371" s="450">
        <v>157955.02</v>
      </c>
      <c r="AZ371" s="450">
        <v>160602.78</v>
      </c>
      <c r="BA371" s="450">
        <v>161847.22</v>
      </c>
      <c r="BB371" s="450">
        <v>165326.03</v>
      </c>
      <c r="BC371" s="450">
        <v>117338.96</v>
      </c>
      <c r="BD371" s="450">
        <v>163834.95</v>
      </c>
      <c r="BE371" s="450">
        <v>164240.82</v>
      </c>
      <c r="BF371" s="450">
        <v>166058.57</v>
      </c>
      <c r="BG371" s="450">
        <v>165488.9922</v>
      </c>
      <c r="BH371" s="450">
        <v>166086.43</v>
      </c>
      <c r="BI371" s="450">
        <v>168623.49</v>
      </c>
      <c r="BJ371" s="450">
        <v>169221.56</v>
      </c>
      <c r="BK371" s="450">
        <v>169807.29</v>
      </c>
      <c r="BL371" s="450">
        <v>171632.45</v>
      </c>
      <c r="BM371" s="450">
        <v>244.41</v>
      </c>
      <c r="BN371" s="450">
        <v>0.0</v>
      </c>
      <c r="BO371" s="450">
        <v>0.0</v>
      </c>
      <c r="BP371" s="450">
        <v>0.0</v>
      </c>
      <c r="BQ371" s="450">
        <v>0.0</v>
      </c>
      <c r="BR371" s="450">
        <v>0.0</v>
      </c>
      <c r="BS371" s="615">
        <f t="array" ref="BS371">XLOOKUP(D371,'PL TOTAL XP'!A:A,'PL TOTAL XP'!C:C,"0")</f>
        <v>0</v>
      </c>
      <c r="BT371" s="616"/>
    </row>
    <row r="372" ht="15.75" customHeight="1">
      <c r="A372" s="183" t="s">
        <v>3820</v>
      </c>
      <c r="B372" s="78" t="s">
        <v>3693</v>
      </c>
      <c r="C372" s="617" t="s">
        <v>3691</v>
      </c>
      <c r="D372" s="522">
        <v>3064790.0</v>
      </c>
      <c r="E372" s="522" t="s">
        <v>18</v>
      </c>
      <c r="F372" s="522" t="s">
        <v>29</v>
      </c>
      <c r="G372" s="522" t="s">
        <v>704</v>
      </c>
      <c r="H372" s="522" t="str">
        <f>IFERROR(VLOOKUP(G372,'Cadastro de assessores'!A:B,2,FALSE),"Não Cadastrado")</f>
        <v>18467</v>
      </c>
      <c r="I372" s="522"/>
      <c r="J372" s="51" t="s">
        <v>186</v>
      </c>
      <c r="K372" s="522" t="s">
        <v>2563</v>
      </c>
      <c r="L372" s="619">
        <v>43699.0</v>
      </c>
      <c r="M372" s="619">
        <v>43699.0</v>
      </c>
      <c r="N372" s="522"/>
      <c r="O372" s="522" t="s">
        <v>3828</v>
      </c>
      <c r="P372" s="612">
        <v>0.015</v>
      </c>
      <c r="Q372" s="620" t="s">
        <v>4908</v>
      </c>
      <c r="R372" s="613"/>
      <c r="S372" s="522" t="str">
        <f t="shared" si="39"/>
        <v>Não Qualificado</v>
      </c>
      <c r="T372" s="522" t="s">
        <v>108</v>
      </c>
      <c r="U372" s="522" t="s">
        <v>2842</v>
      </c>
      <c r="V372" s="522" t="s">
        <v>19</v>
      </c>
      <c r="W372" s="614" t="s">
        <v>4909</v>
      </c>
      <c r="X372" s="614"/>
      <c r="Y372" s="614" t="s">
        <v>4910</v>
      </c>
      <c r="Z372" s="614" t="s">
        <v>3830</v>
      </c>
      <c r="AA372" s="614" t="s">
        <v>3830</v>
      </c>
      <c r="AB372" s="614" t="s">
        <v>3830</v>
      </c>
      <c r="AC372" s="614" t="s">
        <v>3830</v>
      </c>
      <c r="AD372" s="614" t="s">
        <v>3830</v>
      </c>
      <c r="AE372" s="614" t="s">
        <v>3830</v>
      </c>
      <c r="AF372" s="614" t="s">
        <v>3830</v>
      </c>
      <c r="AG372" s="614" t="s">
        <v>3830</v>
      </c>
      <c r="AH372" s="614"/>
      <c r="AI372" s="614"/>
      <c r="AJ372" s="614"/>
      <c r="AK372" s="450"/>
      <c r="AL372" s="450"/>
      <c r="AM372" s="450" t="s">
        <v>2600</v>
      </c>
      <c r="AN372" s="450" t="s">
        <v>2600</v>
      </c>
      <c r="AO372" s="450"/>
      <c r="AP372" s="450"/>
      <c r="AQ372" s="450"/>
      <c r="AR372" s="450"/>
      <c r="AS372" s="450"/>
      <c r="AT372" s="450"/>
      <c r="AU372" s="450"/>
      <c r="AV372" s="450"/>
      <c r="AW372" s="450"/>
      <c r="AX372" s="450"/>
      <c r="AY372" s="450"/>
      <c r="AZ372" s="450"/>
      <c r="BA372" s="450">
        <v>0.0</v>
      </c>
      <c r="BB372" s="450">
        <v>0.0</v>
      </c>
      <c r="BC372" s="450">
        <v>128599.14</v>
      </c>
      <c r="BD372" s="450" t="s">
        <v>2566</v>
      </c>
      <c r="BE372" s="450" t="s">
        <v>2566</v>
      </c>
      <c r="BF372" s="450">
        <v>0.0</v>
      </c>
      <c r="BG372" s="450">
        <v>0.0</v>
      </c>
      <c r="BH372" s="450">
        <v>0.0</v>
      </c>
      <c r="BI372" s="450">
        <v>0.0</v>
      </c>
      <c r="BJ372" s="450">
        <v>0.0</v>
      </c>
      <c r="BK372" s="450">
        <v>0.0</v>
      </c>
      <c r="BL372" s="450">
        <v>0.0</v>
      </c>
      <c r="BM372" s="450">
        <v>0.0</v>
      </c>
      <c r="BN372" s="450">
        <v>0.0</v>
      </c>
      <c r="BO372" s="450">
        <v>0.0</v>
      </c>
      <c r="BP372" s="450">
        <v>0.0</v>
      </c>
      <c r="BQ372" s="450">
        <v>0.0</v>
      </c>
      <c r="BR372" s="450">
        <v>0.0</v>
      </c>
      <c r="BS372" s="615" t="str">
        <f t="array" ref="BS372">XLOOKUP(D372,'PL TOTAL XP'!A:A,'PL TOTAL XP'!C:C,"0")</f>
        <v>0</v>
      </c>
      <c r="BT372" s="616"/>
    </row>
    <row r="373" ht="15.75" customHeight="1">
      <c r="A373" s="183" t="s">
        <v>3820</v>
      </c>
      <c r="B373" s="78" t="s">
        <v>1817</v>
      </c>
      <c r="C373" s="645" t="s">
        <v>4911</v>
      </c>
      <c r="D373" s="623">
        <v>188081.0</v>
      </c>
      <c r="E373" s="609" t="s">
        <v>18</v>
      </c>
      <c r="F373" s="609" t="s">
        <v>29</v>
      </c>
      <c r="G373" s="512" t="s">
        <v>60</v>
      </c>
      <c r="H373" s="522">
        <f>IFERROR(VLOOKUP(G373,'Cadastro de assessores'!A:B,2,FALSE),"Não Cadastrado")</f>
        <v>12332</v>
      </c>
      <c r="I373" s="522"/>
      <c r="J373" s="51" t="s">
        <v>3823</v>
      </c>
      <c r="K373" s="512" t="s">
        <v>107</v>
      </c>
      <c r="L373" s="619">
        <v>44770.0</v>
      </c>
      <c r="M373" s="619">
        <v>44774.0</v>
      </c>
      <c r="N373" s="522"/>
      <c r="O373" s="522" t="s">
        <v>3834</v>
      </c>
      <c r="P373" s="612">
        <v>0.007</v>
      </c>
      <c r="Q373" s="652"/>
      <c r="R373" s="613"/>
      <c r="S373" s="522"/>
      <c r="T373" s="522"/>
      <c r="U373" s="522"/>
      <c r="V373" s="522" t="s">
        <v>152</v>
      </c>
      <c r="W373" s="614"/>
      <c r="X373" s="614"/>
      <c r="Y373" s="614"/>
      <c r="Z373" s="614"/>
      <c r="AA373" s="614"/>
      <c r="AB373" s="614"/>
      <c r="AC373" s="614"/>
      <c r="AD373" s="614"/>
      <c r="AE373" s="614"/>
      <c r="AF373" s="614"/>
      <c r="AG373" s="614"/>
      <c r="AH373" s="614"/>
      <c r="AI373" s="614"/>
      <c r="AJ373" s="614"/>
      <c r="AK373" s="450"/>
      <c r="AL373" s="450"/>
      <c r="AM373" s="450"/>
      <c r="AN373" s="683"/>
      <c r="AO373" s="683"/>
      <c r="AP373" s="450"/>
      <c r="AQ373" s="450"/>
      <c r="AR373" s="450"/>
      <c r="AS373" s="450"/>
      <c r="AT373" s="450"/>
      <c r="AU373" s="450"/>
      <c r="AV373" s="450"/>
      <c r="AW373" s="450"/>
      <c r="AX373" s="450"/>
      <c r="AY373" s="450"/>
      <c r="AZ373" s="450"/>
      <c r="BA373" s="450"/>
      <c r="BB373" s="450"/>
      <c r="BC373" s="450"/>
      <c r="BD373" s="450"/>
      <c r="BE373" s="450"/>
      <c r="BF373" s="450">
        <v>0.0</v>
      </c>
      <c r="BG373" s="450">
        <v>252769.9428</v>
      </c>
      <c r="BH373" s="450">
        <v>255247.38</v>
      </c>
      <c r="BI373" s="450">
        <v>338156.19</v>
      </c>
      <c r="BJ373" s="450">
        <v>341323.48</v>
      </c>
      <c r="BK373" s="450">
        <v>344469.54</v>
      </c>
      <c r="BL373" s="450">
        <v>566800.34</v>
      </c>
      <c r="BM373" s="450">
        <v>350469.23</v>
      </c>
      <c r="BN373" s="450">
        <v>303227.2</v>
      </c>
      <c r="BO373" s="450">
        <v>0.0</v>
      </c>
      <c r="BP373" s="450">
        <v>0.0</v>
      </c>
      <c r="BQ373" s="450">
        <v>0.0</v>
      </c>
      <c r="BR373" s="450">
        <v>0.0</v>
      </c>
      <c r="BS373" s="615">
        <f t="array" ref="BS373">XLOOKUP(D373,'PL TOTAL XP'!A:A,'PL TOTAL XP'!C:C,"0")</f>
        <v>0</v>
      </c>
      <c r="BT373" s="616"/>
    </row>
    <row r="374" ht="15.75" customHeight="1">
      <c r="A374" s="183" t="s">
        <v>3820</v>
      </c>
      <c r="B374" s="78" t="s">
        <v>1822</v>
      </c>
      <c r="C374" s="645" t="s">
        <v>1819</v>
      </c>
      <c r="D374" s="623">
        <v>2834519.0</v>
      </c>
      <c r="E374" s="609" t="s">
        <v>18</v>
      </c>
      <c r="F374" s="609" t="s">
        <v>19</v>
      </c>
      <c r="G374" s="512" t="s">
        <v>20</v>
      </c>
      <c r="H374" s="627">
        <f>IFERROR(VLOOKUP(G374,'Cadastro de assessores'!A:B,2,FALSE),"Não Cadastrado")</f>
        <v>12331</v>
      </c>
      <c r="I374" s="627"/>
      <c r="J374" s="51" t="s">
        <v>3823</v>
      </c>
      <c r="K374" s="512" t="s">
        <v>107</v>
      </c>
      <c r="L374" s="619">
        <v>44596.0</v>
      </c>
      <c r="M374" s="619">
        <v>44614.0</v>
      </c>
      <c r="N374" s="522"/>
      <c r="O374" s="522" t="s">
        <v>3828</v>
      </c>
      <c r="P374" s="612">
        <v>0.015</v>
      </c>
      <c r="Q374" s="620" t="s">
        <v>4912</v>
      </c>
      <c r="R374" s="613"/>
      <c r="S374" s="522" t="str">
        <f t="shared" ref="S374:S379" si="40">IF(BC374&lt;=0,"",IF(BC374&lt;=1000000,"Não Qualificado",IF(AND(BC374&gt;1000000,BC374&lt;=10000000),"Qualificado","Profissional")))</f>
        <v>Qualificado</v>
      </c>
      <c r="T374" s="522" t="s">
        <v>108</v>
      </c>
      <c r="U374" s="522" t="s">
        <v>2652</v>
      </c>
      <c r="V374" s="522" t="s">
        <v>19</v>
      </c>
      <c r="W374" s="614"/>
      <c r="X374" s="614"/>
      <c r="Y374" s="614"/>
      <c r="Z374" s="614"/>
      <c r="AA374" s="614"/>
      <c r="AB374" s="614"/>
      <c r="AC374" s="614"/>
      <c r="AD374" s="614"/>
      <c r="AE374" s="614"/>
      <c r="AF374" s="614"/>
      <c r="AG374" s="614"/>
      <c r="AH374" s="614"/>
      <c r="AI374" s="614"/>
      <c r="AJ374" s="614"/>
      <c r="AK374" s="450"/>
      <c r="AL374" s="450"/>
      <c r="AM374" s="450"/>
      <c r="AN374" s="683"/>
      <c r="AO374" s="683"/>
      <c r="AP374" s="450"/>
      <c r="AQ374" s="450"/>
      <c r="AR374" s="450"/>
      <c r="AS374" s="450"/>
      <c r="AT374" s="450"/>
      <c r="AU374" s="450"/>
      <c r="AV374" s="450"/>
      <c r="AW374" s="450"/>
      <c r="AX374" s="450"/>
      <c r="AY374" s="450"/>
      <c r="AZ374" s="450"/>
      <c r="BA374" s="450">
        <v>178148.22</v>
      </c>
      <c r="BB374" s="450">
        <v>184654.33</v>
      </c>
      <c r="BC374" s="450">
        <v>1120443.75</v>
      </c>
      <c r="BD374" s="450">
        <v>148217.62</v>
      </c>
      <c r="BE374" s="450">
        <v>139911.74</v>
      </c>
      <c r="BF374" s="450">
        <v>151115.27</v>
      </c>
      <c r="BG374" s="450">
        <v>164470.1813</v>
      </c>
      <c r="BH374" s="450">
        <v>163933.62</v>
      </c>
      <c r="BI374" s="450">
        <v>114520.74</v>
      </c>
      <c r="BJ374" s="450">
        <v>112332.7</v>
      </c>
      <c r="BK374" s="450">
        <v>96854.51</v>
      </c>
      <c r="BL374" s="450">
        <v>98084.75</v>
      </c>
      <c r="BM374" s="450">
        <v>101552.8</v>
      </c>
      <c r="BN374" s="450">
        <v>2001.54</v>
      </c>
      <c r="BO374" s="450">
        <v>2074.87</v>
      </c>
      <c r="BP374" s="450">
        <v>2097.1</v>
      </c>
      <c r="BQ374" s="450">
        <v>2114.07</v>
      </c>
      <c r="BR374" s="450">
        <v>1477.3</v>
      </c>
      <c r="BS374" s="615">
        <f t="array" ref="BS374">XLOOKUP(D374,'PL TOTAL XP'!A:A,'PL TOTAL XP'!C:C,"0")</f>
        <v>66.14</v>
      </c>
      <c r="BT374" s="616"/>
    </row>
    <row r="375" ht="15.75" customHeight="1">
      <c r="A375" s="183" t="s">
        <v>3820</v>
      </c>
      <c r="B375" s="78">
        <v>7.31212665E9</v>
      </c>
      <c r="C375" s="617" t="s">
        <v>4913</v>
      </c>
      <c r="D375" s="522">
        <v>4854627.0</v>
      </c>
      <c r="E375" s="522" t="s">
        <v>18</v>
      </c>
      <c r="F375" s="522" t="s">
        <v>19</v>
      </c>
      <c r="G375" s="522" t="s">
        <v>256</v>
      </c>
      <c r="H375" s="522" t="str">
        <f>IFERROR(VLOOKUP(G375,'Cadastro de assessores'!A:B,2,FALSE),"Não Cadastrado")</f>
        <v>18009</v>
      </c>
      <c r="I375" s="522"/>
      <c r="J375" s="51" t="s">
        <v>186</v>
      </c>
      <c r="K375" s="522" t="s">
        <v>2563</v>
      </c>
      <c r="L375" s="619">
        <v>44237.0</v>
      </c>
      <c r="M375" s="619">
        <v>44237.0</v>
      </c>
      <c r="N375" s="619">
        <v>44613.0</v>
      </c>
      <c r="O375" s="522" t="s">
        <v>3828</v>
      </c>
      <c r="P375" s="612">
        <v>0.015</v>
      </c>
      <c r="Q375" s="620" t="s">
        <v>4914</v>
      </c>
      <c r="R375" s="613"/>
      <c r="S375" s="522" t="str">
        <f t="shared" si="40"/>
        <v/>
      </c>
      <c r="T375" s="522" t="s">
        <v>108</v>
      </c>
      <c r="U375" s="522" t="s">
        <v>2619</v>
      </c>
      <c r="V375" s="522" t="s">
        <v>152</v>
      </c>
      <c r="W375" s="614"/>
      <c r="X375" s="614"/>
      <c r="Y375" s="614"/>
      <c r="Z375" s="614"/>
      <c r="AA375" s="614"/>
      <c r="AB375" s="614"/>
      <c r="AC375" s="614"/>
      <c r="AD375" s="614"/>
      <c r="AE375" s="614"/>
      <c r="AF375" s="614"/>
      <c r="AG375" s="614"/>
      <c r="AH375" s="614"/>
      <c r="AI375" s="614"/>
      <c r="AJ375" s="614"/>
      <c r="AK375" s="450"/>
      <c r="AL375" s="450"/>
      <c r="AM375" s="450">
        <v>192732.9</v>
      </c>
      <c r="AN375" s="450">
        <v>193596.62</v>
      </c>
      <c r="AO375" s="450">
        <v>199152.52</v>
      </c>
      <c r="AP375" s="450">
        <v>200370.03</v>
      </c>
      <c r="AQ375" s="450">
        <v>199537.44</v>
      </c>
      <c r="AR375" s="450">
        <v>204119.34</v>
      </c>
      <c r="AS375" s="450">
        <v>202792.61</v>
      </c>
      <c r="AT375" s="450">
        <v>198775.82</v>
      </c>
      <c r="AU375" s="450">
        <v>197572.66</v>
      </c>
      <c r="AV375" s="450">
        <v>194198.87</v>
      </c>
      <c r="AW375" s="450">
        <v>189054.87</v>
      </c>
      <c r="AX375" s="450">
        <v>188318.29</v>
      </c>
      <c r="AY375" s="450">
        <v>190688.55</v>
      </c>
      <c r="AZ375" s="450">
        <v>196346.64</v>
      </c>
      <c r="BA375" s="450">
        <v>197619.38</v>
      </c>
      <c r="BB375" s="450">
        <v>0.0</v>
      </c>
      <c r="BC375" s="450"/>
      <c r="BD375" s="450" t="s">
        <v>2566</v>
      </c>
      <c r="BE375" s="450" t="s">
        <v>2566</v>
      </c>
      <c r="BF375" s="450">
        <v>0.0</v>
      </c>
      <c r="BG375" s="450">
        <v>0.0</v>
      </c>
      <c r="BH375" s="450">
        <v>0.0</v>
      </c>
      <c r="BI375" s="450">
        <v>0.0</v>
      </c>
      <c r="BJ375" s="450">
        <v>0.0</v>
      </c>
      <c r="BK375" s="450">
        <v>0.0</v>
      </c>
      <c r="BL375" s="450">
        <v>0.0</v>
      </c>
      <c r="BM375" s="450">
        <v>0.0</v>
      </c>
      <c r="BN375" s="450">
        <v>0.0</v>
      </c>
      <c r="BO375" s="450">
        <v>0.0</v>
      </c>
      <c r="BP375" s="450">
        <v>0.0</v>
      </c>
      <c r="BQ375" s="450">
        <v>0.0</v>
      </c>
      <c r="BR375" s="450">
        <v>0.0</v>
      </c>
      <c r="BS375" s="615" t="str">
        <f t="array" ref="BS375">XLOOKUP(D375,'PL TOTAL XP'!A:A,'PL TOTAL XP'!C:C,"0")</f>
        <v>0</v>
      </c>
      <c r="BT375" s="616"/>
    </row>
    <row r="376" ht="15.75" customHeight="1">
      <c r="A376" s="183" t="s">
        <v>3820</v>
      </c>
      <c r="B376" s="78" t="s">
        <v>4915</v>
      </c>
      <c r="C376" s="564" t="s">
        <v>4916</v>
      </c>
      <c r="D376" s="566">
        <v>5378763.0</v>
      </c>
      <c r="E376" s="522" t="s">
        <v>18</v>
      </c>
      <c r="F376" s="511" t="s">
        <v>19</v>
      </c>
      <c r="G376" s="522" t="s">
        <v>256</v>
      </c>
      <c r="H376" s="511" t="str">
        <f>IFERROR(VLOOKUP(G376,'Cadastro de assessores'!A:B,2,FALSE),"Não Cadastrado")</f>
        <v>18009</v>
      </c>
      <c r="I376" s="511"/>
      <c r="J376" s="51" t="s">
        <v>186</v>
      </c>
      <c r="K376" s="522" t="s">
        <v>2563</v>
      </c>
      <c r="L376" s="522" t="s">
        <v>2600</v>
      </c>
      <c r="M376" s="522" t="s">
        <v>2600</v>
      </c>
      <c r="N376" s="619">
        <v>44619.0</v>
      </c>
      <c r="O376" s="522" t="s">
        <v>3840</v>
      </c>
      <c r="P376" s="612">
        <v>0.025</v>
      </c>
      <c r="Q376" s="224"/>
      <c r="R376" s="613"/>
      <c r="S376" s="522" t="str">
        <f t="shared" si="40"/>
        <v>Não Qualificado</v>
      </c>
      <c r="T376" s="522" t="s">
        <v>108</v>
      </c>
      <c r="U376" s="522" t="s">
        <v>2619</v>
      </c>
      <c r="V376" s="522" t="s">
        <v>152</v>
      </c>
      <c r="W376" s="614"/>
      <c r="X376" s="614"/>
      <c r="Y376" s="468"/>
      <c r="Z376" s="468"/>
      <c r="AA376" s="468"/>
      <c r="AB376" s="468"/>
      <c r="AC376" s="468"/>
      <c r="AD376" s="468"/>
      <c r="AE376" s="468"/>
      <c r="AF376" s="468"/>
      <c r="AG376" s="468"/>
      <c r="AH376" s="468"/>
      <c r="AI376" s="468"/>
      <c r="AJ376" s="468"/>
      <c r="AK376" s="450"/>
      <c r="AL376" s="450"/>
      <c r="AM376" s="450"/>
      <c r="AN376" s="450"/>
      <c r="AO376" s="450"/>
      <c r="AP376" s="450"/>
      <c r="AQ376" s="468"/>
      <c r="AR376" s="449"/>
      <c r="AS376" s="450"/>
      <c r="AT376" s="450"/>
      <c r="AU376" s="450"/>
      <c r="AV376" s="450"/>
      <c r="AW376" s="450"/>
      <c r="AX376" s="450"/>
      <c r="AY376" s="450"/>
      <c r="AZ376" s="450"/>
      <c r="BA376" s="450">
        <v>0.0</v>
      </c>
      <c r="BB376" s="450">
        <v>0.0</v>
      </c>
      <c r="BC376" s="450">
        <v>321004.04</v>
      </c>
      <c r="BD376" s="450" t="s">
        <v>2566</v>
      </c>
      <c r="BE376" s="450" t="s">
        <v>2566</v>
      </c>
      <c r="BF376" s="450">
        <v>10000.0</v>
      </c>
      <c r="BG376" s="450">
        <v>0.0</v>
      </c>
      <c r="BH376" s="450">
        <v>0.0</v>
      </c>
      <c r="BI376" s="450">
        <v>0.0</v>
      </c>
      <c r="BJ376" s="450">
        <v>0.0</v>
      </c>
      <c r="BK376" s="450">
        <v>0.0</v>
      </c>
      <c r="BL376" s="450">
        <v>0.0</v>
      </c>
      <c r="BM376" s="450">
        <v>0.0</v>
      </c>
      <c r="BN376" s="450">
        <v>0.0</v>
      </c>
      <c r="BO376" s="450">
        <v>0.0</v>
      </c>
      <c r="BP376" s="450">
        <v>0.0</v>
      </c>
      <c r="BQ376" s="450">
        <v>0.0</v>
      </c>
      <c r="BR376" s="450">
        <v>0.0</v>
      </c>
      <c r="BS376" s="615" t="str">
        <f t="array" ref="BS376">XLOOKUP(D376,'PL TOTAL XP'!A:A,'PL TOTAL XP'!C:C,"0")</f>
        <v>0</v>
      </c>
      <c r="BT376" s="616"/>
    </row>
    <row r="377" ht="15.75" customHeight="1">
      <c r="A377" s="183" t="s">
        <v>3820</v>
      </c>
      <c r="B377" s="78" t="s">
        <v>4917</v>
      </c>
      <c r="C377" s="564" t="s">
        <v>4918</v>
      </c>
      <c r="D377" s="566">
        <v>5947531.0</v>
      </c>
      <c r="E377" s="512" t="s">
        <v>18</v>
      </c>
      <c r="F377" s="609" t="s">
        <v>19</v>
      </c>
      <c r="G377" s="512" t="s">
        <v>256</v>
      </c>
      <c r="H377" s="609" t="str">
        <f>IFERROR(VLOOKUP(G377,'Cadastro de assessores'!A:B,2,FALSE),"Não Cadastrado")</f>
        <v>18009</v>
      </c>
      <c r="I377" s="609"/>
      <c r="J377" s="51" t="s">
        <v>3823</v>
      </c>
      <c r="K377" s="522" t="s">
        <v>147</v>
      </c>
      <c r="L377" s="522" t="s">
        <v>2600</v>
      </c>
      <c r="M377" s="640" t="s">
        <v>4195</v>
      </c>
      <c r="N377" s="566"/>
      <c r="O377" s="566" t="s">
        <v>3840</v>
      </c>
      <c r="P377" s="612">
        <v>0.025</v>
      </c>
      <c r="Q377" s="482"/>
      <c r="R377" s="613"/>
      <c r="S377" s="522" t="str">
        <f t="shared" si="40"/>
        <v/>
      </c>
      <c r="T377" s="522" t="s">
        <v>108</v>
      </c>
      <c r="U377" s="522" t="s">
        <v>2619</v>
      </c>
      <c r="V377" s="522" t="s">
        <v>152</v>
      </c>
      <c r="W377" s="614"/>
      <c r="X377" s="614"/>
      <c r="Y377" s="468"/>
      <c r="Z377" s="468"/>
      <c r="AA377" s="468"/>
      <c r="AB377" s="468"/>
      <c r="AC377" s="468"/>
      <c r="AD377" s="468"/>
      <c r="AE377" s="468"/>
      <c r="AF377" s="468"/>
      <c r="AG377" s="468"/>
      <c r="AH377" s="614"/>
      <c r="AI377" s="450"/>
      <c r="AJ377" s="450"/>
      <c r="AK377" s="450"/>
      <c r="AL377" s="450"/>
      <c r="AM377" s="450"/>
      <c r="AN377" s="450"/>
      <c r="AO377" s="450"/>
      <c r="AP377" s="450"/>
      <c r="AQ377" s="468"/>
      <c r="AR377" s="450"/>
      <c r="AS377" s="468"/>
      <c r="AT377" s="449"/>
      <c r="AU377" s="449"/>
      <c r="AV377" s="450"/>
      <c r="AW377" s="450"/>
      <c r="AX377" s="450"/>
      <c r="AY377" s="450"/>
      <c r="AZ377" s="450"/>
      <c r="BA377" s="450">
        <v>0.0</v>
      </c>
      <c r="BB377" s="450">
        <v>0.0</v>
      </c>
      <c r="BC377" s="450"/>
      <c r="BD377" s="450" t="s">
        <v>2566</v>
      </c>
      <c r="BE377" s="450" t="s">
        <v>2566</v>
      </c>
      <c r="BF377" s="450">
        <v>0.0</v>
      </c>
      <c r="BG377" s="450">
        <v>0.0</v>
      </c>
      <c r="BH377" s="450">
        <v>0.0</v>
      </c>
      <c r="BI377" s="450">
        <v>0.0</v>
      </c>
      <c r="BJ377" s="450">
        <v>0.0</v>
      </c>
      <c r="BK377" s="450">
        <v>0.0</v>
      </c>
      <c r="BL377" s="450">
        <v>0.0</v>
      </c>
      <c r="BM377" s="450">
        <v>0.0</v>
      </c>
      <c r="BN377" s="450">
        <v>0.0</v>
      </c>
      <c r="BO377" s="450">
        <v>0.0</v>
      </c>
      <c r="BP377" s="450">
        <v>0.0</v>
      </c>
      <c r="BQ377" s="450">
        <v>0.0</v>
      </c>
      <c r="BR377" s="450">
        <v>0.0</v>
      </c>
      <c r="BS377" s="615">
        <f t="array" ref="BS377">XLOOKUP(D377,'PL TOTAL XP'!A:A,'PL TOTAL XP'!C:C,"0")</f>
        <v>0</v>
      </c>
      <c r="BT377" s="616"/>
    </row>
    <row r="378" ht="15.75" customHeight="1">
      <c r="A378" s="183" t="s">
        <v>3820</v>
      </c>
      <c r="B378" s="78" t="s">
        <v>4919</v>
      </c>
      <c r="C378" s="564" t="s">
        <v>4920</v>
      </c>
      <c r="D378" s="566">
        <v>5655163.0</v>
      </c>
      <c r="E378" s="522" t="s">
        <v>18</v>
      </c>
      <c r="F378" s="511" t="s">
        <v>19</v>
      </c>
      <c r="G378" s="511" t="s">
        <v>256</v>
      </c>
      <c r="H378" s="511" t="str">
        <f>IFERROR(VLOOKUP(G378,'Cadastro de assessores'!A:B,2,FALSE),"Não Cadastrado")</f>
        <v>18009</v>
      </c>
      <c r="I378" s="511"/>
      <c r="J378" s="51" t="s">
        <v>186</v>
      </c>
      <c r="K378" s="522" t="s">
        <v>2563</v>
      </c>
      <c r="L378" s="619"/>
      <c r="M378" s="619">
        <v>44369.0</v>
      </c>
      <c r="N378" s="654">
        <v>44545.0</v>
      </c>
      <c r="O378" s="566" t="s">
        <v>3840</v>
      </c>
      <c r="P378" s="612">
        <v>0.025</v>
      </c>
      <c r="Q378" s="644" t="s">
        <v>4921</v>
      </c>
      <c r="R378" s="613"/>
      <c r="S378" s="522" t="str">
        <f t="shared" si="40"/>
        <v>Não Qualificado</v>
      </c>
      <c r="T378" s="522" t="s">
        <v>108</v>
      </c>
      <c r="U378" s="478" t="s">
        <v>4922</v>
      </c>
      <c r="V378" s="522" t="s">
        <v>152</v>
      </c>
      <c r="W378" s="614"/>
      <c r="X378" s="614"/>
      <c r="Y378" s="468"/>
      <c r="Z378" s="468"/>
      <c r="AA378" s="468"/>
      <c r="AB378" s="468"/>
      <c r="AC378" s="468"/>
      <c r="AD378" s="468"/>
      <c r="AE378" s="468"/>
      <c r="AF378" s="468"/>
      <c r="AG378" s="468"/>
      <c r="AH378" s="468"/>
      <c r="AI378" s="614"/>
      <c r="AJ378" s="450"/>
      <c r="AK378" s="450"/>
      <c r="AL378" s="450"/>
      <c r="AM378" s="450"/>
      <c r="AN378" s="450"/>
      <c r="AO378" s="450"/>
      <c r="AP378" s="450"/>
      <c r="AQ378" s="450"/>
      <c r="AR378" s="468"/>
      <c r="AS378" s="450">
        <v>133106.04</v>
      </c>
      <c r="AT378" s="450">
        <v>126045.16</v>
      </c>
      <c r="AU378" s="450">
        <v>123039.47</v>
      </c>
      <c r="AV378" s="450">
        <v>116166.74</v>
      </c>
      <c r="AW378" s="450">
        <v>105240.49</v>
      </c>
      <c r="AX378" s="450">
        <v>104171.26</v>
      </c>
      <c r="AY378" s="450"/>
      <c r="AZ378" s="450"/>
      <c r="BA378" s="450">
        <v>0.0</v>
      </c>
      <c r="BB378" s="450">
        <v>0.0</v>
      </c>
      <c r="BC378" s="450">
        <v>148158.71</v>
      </c>
      <c r="BD378" s="450" t="s">
        <v>2566</v>
      </c>
      <c r="BE378" s="450" t="s">
        <v>2566</v>
      </c>
      <c r="BF378" s="450">
        <v>0.0</v>
      </c>
      <c r="BG378" s="450">
        <v>0.0</v>
      </c>
      <c r="BH378" s="450">
        <v>0.0</v>
      </c>
      <c r="BI378" s="450">
        <v>0.0</v>
      </c>
      <c r="BJ378" s="450">
        <v>0.0</v>
      </c>
      <c r="BK378" s="450">
        <v>0.0</v>
      </c>
      <c r="BL378" s="450">
        <v>0.0</v>
      </c>
      <c r="BM378" s="450">
        <v>0.0</v>
      </c>
      <c r="BN378" s="450">
        <v>0.0</v>
      </c>
      <c r="BO378" s="450">
        <v>0.0</v>
      </c>
      <c r="BP378" s="450">
        <v>0.0</v>
      </c>
      <c r="BQ378" s="450">
        <v>0.0</v>
      </c>
      <c r="BR378" s="450">
        <v>0.0</v>
      </c>
      <c r="BS378" s="615" t="str">
        <f t="array" ref="BS378">XLOOKUP(D378,'PL TOTAL XP'!A:A,'PL TOTAL XP'!C:C,"0")</f>
        <v>0</v>
      </c>
      <c r="BT378" s="616"/>
    </row>
    <row r="379" ht="15.75" customHeight="1">
      <c r="A379" s="183" t="s">
        <v>3820</v>
      </c>
      <c r="B379" s="78" t="s">
        <v>4923</v>
      </c>
      <c r="C379" s="645" t="s">
        <v>4924</v>
      </c>
      <c r="D379" s="627">
        <v>7048589.0</v>
      </c>
      <c r="E379" s="512" t="s">
        <v>18</v>
      </c>
      <c r="F379" s="609" t="s">
        <v>19</v>
      </c>
      <c r="G379" s="512" t="s">
        <v>213</v>
      </c>
      <c r="H379" s="609" t="str">
        <f>IFERROR(VLOOKUP(G379,'Cadastro de assessores'!A:B,2,FALSE),"Não Cadastrado")</f>
        <v>17831</v>
      </c>
      <c r="I379" s="609"/>
      <c r="J379" s="51" t="s">
        <v>3823</v>
      </c>
      <c r="K379" s="522" t="s">
        <v>107</v>
      </c>
      <c r="L379" s="610">
        <v>44508.0</v>
      </c>
      <c r="M379" s="610">
        <v>44508.0</v>
      </c>
      <c r="N379" s="566"/>
      <c r="O379" s="566" t="s">
        <v>3836</v>
      </c>
      <c r="P379" s="612">
        <v>0.012</v>
      </c>
      <c r="Q379" s="224"/>
      <c r="R379" s="613"/>
      <c r="S379" s="522" t="str">
        <f t="shared" si="40"/>
        <v>Não Qualificado</v>
      </c>
      <c r="T379" s="522" t="s">
        <v>108</v>
      </c>
      <c r="U379" s="522" t="s">
        <v>2842</v>
      </c>
      <c r="V379" s="522" t="s">
        <v>19</v>
      </c>
      <c r="W379" s="614"/>
      <c r="X379" s="614"/>
      <c r="Y379" s="468"/>
      <c r="Z379" s="468"/>
      <c r="AA379" s="468"/>
      <c r="AB379" s="468"/>
      <c r="AC379" s="468"/>
      <c r="AD379" s="468"/>
      <c r="AE379" s="468"/>
      <c r="AF379" s="468"/>
      <c r="AG379" s="614"/>
      <c r="AH379" s="614"/>
      <c r="AI379" s="614"/>
      <c r="AJ379" s="450"/>
      <c r="AK379" s="450"/>
      <c r="AL379" s="450"/>
      <c r="AM379" s="450"/>
      <c r="AN379" s="450"/>
      <c r="AO379" s="450"/>
      <c r="AP379" s="450"/>
      <c r="AQ379" s="450"/>
      <c r="AR379" s="450"/>
      <c r="AS379" s="450"/>
      <c r="AT379" s="450"/>
      <c r="AU379" s="450"/>
      <c r="AV379" s="450"/>
      <c r="AW379" s="468"/>
      <c r="AX379" s="449"/>
      <c r="AY379" s="449">
        <v>143656.05</v>
      </c>
      <c r="AZ379" s="450">
        <v>229.69</v>
      </c>
      <c r="BA379" s="450">
        <v>231.16</v>
      </c>
      <c r="BB379" s="450">
        <v>235.96</v>
      </c>
      <c r="BC379" s="450">
        <v>251784.73</v>
      </c>
      <c r="BD379" s="450">
        <v>352.23</v>
      </c>
      <c r="BE379" s="450">
        <v>355.46</v>
      </c>
      <c r="BF379" s="450">
        <v>357.11</v>
      </c>
      <c r="BG379" s="450">
        <v>359.09</v>
      </c>
      <c r="BH379" s="450">
        <v>360.63</v>
      </c>
      <c r="BI379" s="450">
        <v>362.5</v>
      </c>
      <c r="BJ379" s="450">
        <v>365.06</v>
      </c>
      <c r="BK379" s="450">
        <v>366.81</v>
      </c>
      <c r="BL379" s="450">
        <v>369.04</v>
      </c>
      <c r="BM379" s="450">
        <v>370.74</v>
      </c>
      <c r="BN379" s="450">
        <v>371.45</v>
      </c>
      <c r="BO379" s="450">
        <v>371.45</v>
      </c>
      <c r="BP379" s="450">
        <v>371.45</v>
      </c>
      <c r="BQ379" s="450">
        <v>371.45</v>
      </c>
      <c r="BR379" s="450">
        <v>371.45</v>
      </c>
      <c r="BS379" s="615">
        <f t="array" ref="BS379">XLOOKUP(D379,'PL TOTAL XP'!A:A,'PL TOTAL XP'!C:C,"0")</f>
        <v>0</v>
      </c>
      <c r="BT379" s="616"/>
    </row>
    <row r="380" ht="15.75" customHeight="1">
      <c r="A380" s="183" t="s">
        <v>3820</v>
      </c>
      <c r="B380" s="78" t="s">
        <v>4925</v>
      </c>
      <c r="C380" s="645" t="s">
        <v>4926</v>
      </c>
      <c r="D380" s="609">
        <v>3502759.0</v>
      </c>
      <c r="E380" s="512" t="s">
        <v>18</v>
      </c>
      <c r="F380" s="609" t="s">
        <v>19</v>
      </c>
      <c r="G380" s="512" t="s">
        <v>20</v>
      </c>
      <c r="H380" s="609"/>
      <c r="I380" s="609"/>
      <c r="J380" s="51" t="s">
        <v>3823</v>
      </c>
      <c r="K380" s="522"/>
      <c r="L380" s="611"/>
      <c r="M380" s="512"/>
      <c r="N380" s="566"/>
      <c r="O380" s="566" t="s">
        <v>3828</v>
      </c>
      <c r="P380" s="612">
        <v>0.015</v>
      </c>
      <c r="Q380" s="224"/>
      <c r="R380" s="613"/>
      <c r="S380" s="522"/>
      <c r="T380" s="522"/>
      <c r="U380" s="566"/>
      <c r="V380" s="522" t="s">
        <v>19</v>
      </c>
      <c r="W380" s="614"/>
      <c r="X380" s="614"/>
      <c r="Y380" s="468"/>
      <c r="Z380" s="468"/>
      <c r="AA380" s="468"/>
      <c r="AB380" s="468"/>
      <c r="AC380" s="468"/>
      <c r="AD380" s="468"/>
      <c r="AE380" s="468"/>
      <c r="AF380" s="468"/>
      <c r="AG380" s="614"/>
      <c r="AH380" s="614"/>
      <c r="AI380" s="614"/>
      <c r="AJ380" s="450"/>
      <c r="AK380" s="450"/>
      <c r="AL380" s="450"/>
      <c r="AM380" s="450"/>
      <c r="AN380" s="450"/>
      <c r="AO380" s="450"/>
      <c r="AP380" s="450"/>
      <c r="AQ380" s="450"/>
      <c r="AR380" s="450"/>
      <c r="AS380" s="450"/>
      <c r="AT380" s="450"/>
      <c r="AU380" s="450"/>
      <c r="AV380" s="450"/>
      <c r="AW380" s="468"/>
      <c r="AX380" s="449"/>
      <c r="AY380" s="449"/>
      <c r="AZ380" s="450"/>
      <c r="BA380" s="450"/>
      <c r="BB380" s="450"/>
      <c r="BC380" s="450"/>
      <c r="BD380" s="450"/>
      <c r="BE380" s="450"/>
      <c r="BF380" s="450"/>
      <c r="BG380" s="450"/>
      <c r="BH380" s="450"/>
      <c r="BI380" s="450"/>
      <c r="BJ380" s="450"/>
      <c r="BK380" s="450"/>
      <c r="BL380" s="450">
        <v>190952.18</v>
      </c>
      <c r="BM380" s="450">
        <v>188025.53</v>
      </c>
      <c r="BN380" s="450">
        <v>0.0</v>
      </c>
      <c r="BO380" s="450">
        <v>0.0</v>
      </c>
      <c r="BP380" s="450">
        <v>0.0</v>
      </c>
      <c r="BQ380" s="450">
        <v>0.0</v>
      </c>
      <c r="BR380" s="450">
        <v>0.0</v>
      </c>
      <c r="BS380" s="615" t="str">
        <f t="array" ref="BS380">XLOOKUP(D380,'PL TOTAL XP'!A:A,'PL TOTAL XP'!C:C,"0")</f>
        <v>0</v>
      </c>
      <c r="BT380" s="616"/>
    </row>
    <row r="381" ht="15.75" customHeight="1">
      <c r="A381" s="183" t="s">
        <v>3820</v>
      </c>
      <c r="B381" s="78" t="s">
        <v>4927</v>
      </c>
      <c r="C381" s="645" t="s">
        <v>4928</v>
      </c>
      <c r="D381" s="609">
        <v>9281869.0</v>
      </c>
      <c r="E381" s="512" t="s">
        <v>18</v>
      </c>
      <c r="F381" s="609" t="s">
        <v>176</v>
      </c>
      <c r="G381" s="512" t="s">
        <v>4929</v>
      </c>
      <c r="H381" s="609">
        <f>IFERROR(VLOOKUP(G381,'Cadastro de assessores'!A:B,2,FALSE),"Não Cadastrado")</f>
        <v>12360</v>
      </c>
      <c r="I381" s="609"/>
      <c r="J381" s="51" t="s">
        <v>186</v>
      </c>
      <c r="K381" s="522"/>
      <c r="L381" s="611">
        <v>44831.0</v>
      </c>
      <c r="M381" s="611">
        <v>44831.0</v>
      </c>
      <c r="N381" s="566"/>
      <c r="O381" s="566" t="s">
        <v>3840</v>
      </c>
      <c r="P381" s="612">
        <v>0.025</v>
      </c>
      <c r="Q381" s="224" t="s">
        <v>4930</v>
      </c>
      <c r="R381" s="613"/>
      <c r="S381" s="522"/>
      <c r="T381" s="522"/>
      <c r="U381" s="566"/>
      <c r="V381" s="522" t="s">
        <v>19</v>
      </c>
      <c r="W381" s="614"/>
      <c r="X381" s="614"/>
      <c r="Y381" s="468"/>
      <c r="Z381" s="468"/>
      <c r="AA381" s="468"/>
      <c r="AB381" s="468"/>
      <c r="AC381" s="468"/>
      <c r="AD381" s="468"/>
      <c r="AE381" s="468"/>
      <c r="AF381" s="468"/>
      <c r="AG381" s="614"/>
      <c r="AH381" s="614"/>
      <c r="AI381" s="614"/>
      <c r="AJ381" s="450"/>
      <c r="AK381" s="450"/>
      <c r="AL381" s="450"/>
      <c r="AM381" s="450"/>
      <c r="AN381" s="450"/>
      <c r="AO381" s="450"/>
      <c r="AP381" s="450"/>
      <c r="AQ381" s="450"/>
      <c r="AR381" s="450"/>
      <c r="AS381" s="450"/>
      <c r="AT381" s="450"/>
      <c r="AU381" s="450"/>
      <c r="AV381" s="450"/>
      <c r="AW381" s="468"/>
      <c r="AX381" s="449"/>
      <c r="AY381" s="449"/>
      <c r="AZ381" s="450"/>
      <c r="BA381" s="450"/>
      <c r="BB381" s="450"/>
      <c r="BC381" s="450"/>
      <c r="BD381" s="450"/>
      <c r="BE381" s="450"/>
      <c r="BF381" s="450"/>
      <c r="BG381" s="450"/>
      <c r="BH381" s="450">
        <v>99669.71</v>
      </c>
      <c r="BI381" s="450">
        <v>96983.41</v>
      </c>
      <c r="BJ381" s="450">
        <v>0.0</v>
      </c>
      <c r="BK381" s="450">
        <v>0.0</v>
      </c>
      <c r="BL381" s="450">
        <v>0.0</v>
      </c>
      <c r="BM381" s="450">
        <v>0.0</v>
      </c>
      <c r="BN381" s="450">
        <v>0.0</v>
      </c>
      <c r="BO381" s="450">
        <v>0.0</v>
      </c>
      <c r="BP381" s="450">
        <v>0.0</v>
      </c>
      <c r="BQ381" s="450">
        <v>0.0</v>
      </c>
      <c r="BR381" s="450">
        <v>0.0</v>
      </c>
      <c r="BS381" s="615" t="str">
        <f t="array" ref="BS381">XLOOKUP(D381,'PL TOTAL XP'!A:A,'PL TOTAL XP'!C:C,"0")</f>
        <v>0</v>
      </c>
      <c r="BT381" s="616"/>
    </row>
    <row r="382" ht="15.75" customHeight="1">
      <c r="A382" s="183" t="s">
        <v>3820</v>
      </c>
      <c r="B382" s="78" t="s">
        <v>1838</v>
      </c>
      <c r="C382" s="645" t="s">
        <v>1836</v>
      </c>
      <c r="D382" s="609">
        <v>4006849.0</v>
      </c>
      <c r="E382" s="512" t="s">
        <v>18</v>
      </c>
      <c r="F382" s="609" t="s">
        <v>19</v>
      </c>
      <c r="G382" s="512" t="s">
        <v>256</v>
      </c>
      <c r="H382" s="609" t="str">
        <f>IFERROR(VLOOKUP(G382,'Cadastro de assessores'!A:B,2,FALSE),"Não Cadastrado")</f>
        <v>18009</v>
      </c>
      <c r="I382" s="609"/>
      <c r="J382" s="51" t="s">
        <v>3823</v>
      </c>
      <c r="K382" s="522" t="s">
        <v>107</v>
      </c>
      <c r="L382" s="611">
        <v>44517.0</v>
      </c>
      <c r="M382" s="611">
        <v>44517.0</v>
      </c>
      <c r="N382" s="566"/>
      <c r="O382" s="566" t="s">
        <v>3828</v>
      </c>
      <c r="P382" s="612">
        <v>0.015</v>
      </c>
      <c r="Q382" s="224" t="s">
        <v>4094</v>
      </c>
      <c r="R382" s="613"/>
      <c r="S382" s="522" t="str">
        <f t="shared" ref="S382:S385" si="41">IF(BC382&lt;=0,"",IF(BC382&lt;=1000000,"Não Qualificado",IF(AND(BC382&gt;1000000,BC382&lt;=10000000),"Qualificado","Profissional")))</f>
        <v>Não Qualificado</v>
      </c>
      <c r="T382" s="522" t="s">
        <v>108</v>
      </c>
      <c r="U382" s="566" t="s">
        <v>4095</v>
      </c>
      <c r="V382" s="522" t="s">
        <v>19</v>
      </c>
      <c r="W382" s="614"/>
      <c r="X382" s="614"/>
      <c r="Y382" s="468"/>
      <c r="Z382" s="468"/>
      <c r="AA382" s="468"/>
      <c r="AB382" s="468"/>
      <c r="AC382" s="468"/>
      <c r="AD382" s="468"/>
      <c r="AE382" s="468"/>
      <c r="AF382" s="468"/>
      <c r="AG382" s="614"/>
      <c r="AH382" s="614"/>
      <c r="AI382" s="614"/>
      <c r="AJ382" s="450"/>
      <c r="AK382" s="450"/>
      <c r="AL382" s="450"/>
      <c r="AM382" s="450"/>
      <c r="AN382" s="450"/>
      <c r="AO382" s="450"/>
      <c r="AP382" s="450"/>
      <c r="AQ382" s="450"/>
      <c r="AR382" s="450"/>
      <c r="AS382" s="450"/>
      <c r="AT382" s="450"/>
      <c r="AU382" s="450"/>
      <c r="AV382" s="450"/>
      <c r="AW382" s="468"/>
      <c r="AX382" s="449"/>
      <c r="AY382" s="449">
        <v>1154690.82</v>
      </c>
      <c r="AZ382" s="450">
        <v>1185044.9</v>
      </c>
      <c r="BA382" s="450">
        <v>1192460.35</v>
      </c>
      <c r="BB382" s="450">
        <v>1232692.22</v>
      </c>
      <c r="BC382" s="450">
        <v>210796.51</v>
      </c>
      <c r="BD382" s="450">
        <v>1220416.37</v>
      </c>
      <c r="BE382" s="450">
        <v>1218127.27</v>
      </c>
      <c r="BF382" s="450">
        <v>1237671.2</v>
      </c>
      <c r="BG382" s="450">
        <v>1244901.25</v>
      </c>
      <c r="BH382" s="450">
        <v>1248058.23</v>
      </c>
      <c r="BI382" s="450">
        <v>1284223.81</v>
      </c>
      <c r="BJ382" s="450">
        <v>1285944.77</v>
      </c>
      <c r="BK382" s="450">
        <v>1294417.73</v>
      </c>
      <c r="BL382" s="450">
        <v>1303546.17</v>
      </c>
      <c r="BM382" s="450">
        <v>1311574.18</v>
      </c>
      <c r="BN382" s="450">
        <v>1326126.39</v>
      </c>
      <c r="BO382" s="450">
        <v>0.0</v>
      </c>
      <c r="BP382" s="450">
        <v>0.0</v>
      </c>
      <c r="BQ382" s="450">
        <v>0.0</v>
      </c>
      <c r="BR382" s="450">
        <v>0.0</v>
      </c>
      <c r="BS382" s="615" t="str">
        <f t="array" ref="BS382">XLOOKUP(D382,'PL TOTAL XP'!A:A,'PL TOTAL XP'!C:C,"0")</f>
        <v>0</v>
      </c>
      <c r="BT382" s="616"/>
    </row>
    <row r="383" ht="15.75" customHeight="1">
      <c r="A383" s="183" t="s">
        <v>3820</v>
      </c>
      <c r="B383" s="78" t="s">
        <v>4931</v>
      </c>
      <c r="C383" s="617" t="s">
        <v>4932</v>
      </c>
      <c r="D383" s="522">
        <v>4017894.0</v>
      </c>
      <c r="E383" s="522" t="s">
        <v>18</v>
      </c>
      <c r="F383" s="522" t="s">
        <v>29</v>
      </c>
      <c r="G383" s="522" t="s">
        <v>4316</v>
      </c>
      <c r="H383" s="522" t="str">
        <f>IFERROR(VLOOKUP(G383,'Cadastro de assessores'!A:B,2,FALSE),"Não Cadastrado")</f>
        <v>12846</v>
      </c>
      <c r="I383" s="522"/>
      <c r="J383" s="51" t="s">
        <v>186</v>
      </c>
      <c r="K383" s="522" t="s">
        <v>2563</v>
      </c>
      <c r="L383" s="619"/>
      <c r="M383" s="619">
        <v>44291.0</v>
      </c>
      <c r="N383" s="619">
        <v>44378.0</v>
      </c>
      <c r="O383" s="522" t="s">
        <v>3840</v>
      </c>
      <c r="P383" s="612">
        <v>0.01</v>
      </c>
      <c r="Q383" s="620" t="s">
        <v>4317</v>
      </c>
      <c r="R383" s="613"/>
      <c r="S383" s="522" t="str">
        <f t="shared" si="41"/>
        <v>Não Qualificado</v>
      </c>
      <c r="T383" s="522" t="s">
        <v>108</v>
      </c>
      <c r="U383" s="522" t="s">
        <v>2842</v>
      </c>
      <c r="V383" s="522" t="s">
        <v>19</v>
      </c>
      <c r="W383" s="614"/>
      <c r="X383" s="614"/>
      <c r="Y383" s="614"/>
      <c r="Z383" s="614"/>
      <c r="AA383" s="614"/>
      <c r="AB383" s="614"/>
      <c r="AC383" s="614"/>
      <c r="AD383" s="614"/>
      <c r="AE383" s="614"/>
      <c r="AF383" s="614"/>
      <c r="AG383" s="614"/>
      <c r="AH383" s="614"/>
      <c r="AI383" s="614"/>
      <c r="AJ383" s="614"/>
      <c r="AK383" s="450"/>
      <c r="AL383" s="450"/>
      <c r="AM383" s="450"/>
      <c r="AN383" s="450"/>
      <c r="AO383" s="450"/>
      <c r="AP383" s="450">
        <v>1281133.42</v>
      </c>
      <c r="AQ383" s="450">
        <v>1293411.05</v>
      </c>
      <c r="AR383" s="450">
        <v>1311526.19</v>
      </c>
      <c r="AS383" s="450">
        <v>1322381.07</v>
      </c>
      <c r="AT383" s="450"/>
      <c r="AU383" s="450"/>
      <c r="AV383" s="450"/>
      <c r="AW383" s="450"/>
      <c r="AX383" s="450"/>
      <c r="AY383" s="450"/>
      <c r="AZ383" s="450"/>
      <c r="BA383" s="450">
        <v>0.0</v>
      </c>
      <c r="BB383" s="450">
        <v>0.0</v>
      </c>
      <c r="BC383" s="450">
        <v>233620.35</v>
      </c>
      <c r="BD383" s="450" t="s">
        <v>2566</v>
      </c>
      <c r="BE383" s="450" t="s">
        <v>2566</v>
      </c>
      <c r="BF383" s="450">
        <v>0.0</v>
      </c>
      <c r="BG383" s="450">
        <v>0.0</v>
      </c>
      <c r="BH383" s="450">
        <v>0.0</v>
      </c>
      <c r="BI383" s="450">
        <v>0.0</v>
      </c>
      <c r="BJ383" s="450">
        <v>0.0</v>
      </c>
      <c r="BK383" s="450">
        <v>0.0</v>
      </c>
      <c r="BL383" s="450">
        <v>0.0</v>
      </c>
      <c r="BM383" s="450">
        <v>0.0</v>
      </c>
      <c r="BN383" s="450">
        <v>0.0</v>
      </c>
      <c r="BO383" s="450">
        <v>0.0</v>
      </c>
      <c r="BP383" s="450">
        <v>0.0</v>
      </c>
      <c r="BQ383" s="450">
        <v>0.0</v>
      </c>
      <c r="BR383" s="450">
        <v>0.0</v>
      </c>
      <c r="BS383" s="615" t="str">
        <f t="array" ref="BS383">XLOOKUP(D383,'PL TOTAL XP'!A:A,'PL TOTAL XP'!C:C,"0")</f>
        <v>0</v>
      </c>
      <c r="BT383" s="616"/>
    </row>
    <row r="384" ht="15.75" customHeight="1">
      <c r="A384" s="183" t="s">
        <v>3820</v>
      </c>
      <c r="B384" s="78" t="s">
        <v>2814</v>
      </c>
      <c r="C384" s="617" t="s">
        <v>4933</v>
      </c>
      <c r="D384" s="522">
        <v>2172838.0</v>
      </c>
      <c r="E384" s="522" t="s">
        <v>18</v>
      </c>
      <c r="F384" s="522" t="s">
        <v>29</v>
      </c>
      <c r="G384" s="522" t="s">
        <v>2803</v>
      </c>
      <c r="H384" s="522" t="str">
        <f>IFERROR(VLOOKUP(G384,'Cadastro de assessores'!A:B,2,FALSE),"Não Cadastrado")</f>
        <v>18236</v>
      </c>
      <c r="I384" s="522"/>
      <c r="J384" s="51" t="s">
        <v>186</v>
      </c>
      <c r="K384" s="522" t="s">
        <v>2563</v>
      </c>
      <c r="L384" s="619"/>
      <c r="M384" s="619">
        <v>43671.0</v>
      </c>
      <c r="N384" s="522" t="s">
        <v>3915</v>
      </c>
      <c r="O384" s="522" t="s">
        <v>3840</v>
      </c>
      <c r="P384" s="612">
        <v>1.0E-4</v>
      </c>
      <c r="Q384" s="524" t="s">
        <v>3916</v>
      </c>
      <c r="R384" s="613"/>
      <c r="S384" s="522" t="str">
        <f t="shared" si="41"/>
        <v>Não Qualificado</v>
      </c>
      <c r="T384" s="522" t="s">
        <v>369</v>
      </c>
      <c r="U384" s="522" t="s">
        <v>2602</v>
      </c>
      <c r="V384" s="522" t="s">
        <v>29</v>
      </c>
      <c r="W384" s="614" t="s">
        <v>4934</v>
      </c>
      <c r="X384" s="614"/>
      <c r="Y384" s="614" t="s">
        <v>4935</v>
      </c>
      <c r="Z384" s="614" t="s">
        <v>3830</v>
      </c>
      <c r="AA384" s="614" t="s">
        <v>3830</v>
      </c>
      <c r="AB384" s="614" t="s">
        <v>3830</v>
      </c>
      <c r="AC384" s="614" t="s">
        <v>3830</v>
      </c>
      <c r="AD384" s="614" t="s">
        <v>3830</v>
      </c>
      <c r="AE384" s="614" t="s">
        <v>3830</v>
      </c>
      <c r="AF384" s="614" t="s">
        <v>3830</v>
      </c>
      <c r="AG384" s="614" t="s">
        <v>3830</v>
      </c>
      <c r="AH384" s="614"/>
      <c r="AI384" s="614" t="s">
        <v>3830</v>
      </c>
      <c r="AJ384" s="614"/>
      <c r="AK384" s="450"/>
      <c r="AL384" s="450"/>
      <c r="AM384" s="450" t="s">
        <v>2600</v>
      </c>
      <c r="AN384" s="450" t="s">
        <v>2600</v>
      </c>
      <c r="AO384" s="450"/>
      <c r="AP384" s="450"/>
      <c r="AQ384" s="450"/>
      <c r="AR384" s="450"/>
      <c r="AS384" s="450"/>
      <c r="AT384" s="450"/>
      <c r="AU384" s="450"/>
      <c r="AV384" s="450"/>
      <c r="AW384" s="450"/>
      <c r="AX384" s="450"/>
      <c r="AY384" s="450"/>
      <c r="AZ384" s="450"/>
      <c r="BA384" s="450">
        <v>0.0</v>
      </c>
      <c r="BB384" s="450">
        <v>0.0</v>
      </c>
      <c r="BC384" s="450">
        <v>700251.99</v>
      </c>
      <c r="BD384" s="450" t="s">
        <v>2566</v>
      </c>
      <c r="BE384" s="450" t="s">
        <v>2566</v>
      </c>
      <c r="BF384" s="450">
        <v>0.0</v>
      </c>
      <c r="BG384" s="450">
        <v>0.0</v>
      </c>
      <c r="BH384" s="450">
        <v>0.0</v>
      </c>
      <c r="BI384" s="450">
        <v>0.0</v>
      </c>
      <c r="BJ384" s="450">
        <v>0.0</v>
      </c>
      <c r="BK384" s="450">
        <v>0.0</v>
      </c>
      <c r="BL384" s="450">
        <v>0.0</v>
      </c>
      <c r="BM384" s="450">
        <v>0.0</v>
      </c>
      <c r="BN384" s="450">
        <v>0.0</v>
      </c>
      <c r="BO384" s="450">
        <v>0.0</v>
      </c>
      <c r="BP384" s="450">
        <v>0.0</v>
      </c>
      <c r="BQ384" s="450">
        <v>0.0</v>
      </c>
      <c r="BR384" s="450">
        <v>0.0</v>
      </c>
      <c r="BS384" s="615" t="str">
        <f t="array" ref="BS384">XLOOKUP(D384,'PL TOTAL XP'!A:A,'PL TOTAL XP'!C:C,"0")</f>
        <v>0</v>
      </c>
      <c r="BT384" s="616"/>
    </row>
    <row r="385" ht="15.75" customHeight="1">
      <c r="A385" s="183" t="s">
        <v>3820</v>
      </c>
      <c r="B385" s="78" t="s">
        <v>4936</v>
      </c>
      <c r="C385" s="617" t="s">
        <v>4937</v>
      </c>
      <c r="D385" s="522">
        <v>6683617.0</v>
      </c>
      <c r="E385" s="522" t="s">
        <v>18</v>
      </c>
      <c r="F385" s="522" t="s">
        <v>19</v>
      </c>
      <c r="G385" s="511" t="s">
        <v>256</v>
      </c>
      <c r="H385" s="522" t="str">
        <f>IFERROR(VLOOKUP(G385,'Cadastro de assessores'!A:B,2,FALSE),"Não Cadastrado")</f>
        <v>18009</v>
      </c>
      <c r="I385" s="522"/>
      <c r="J385" s="51" t="s">
        <v>186</v>
      </c>
      <c r="K385" s="522" t="s">
        <v>2563</v>
      </c>
      <c r="L385" s="619"/>
      <c r="M385" s="619">
        <v>44463.0</v>
      </c>
      <c r="N385" s="619">
        <v>44678.0</v>
      </c>
      <c r="O385" s="522" t="s">
        <v>4037</v>
      </c>
      <c r="P385" s="612">
        <v>0.02</v>
      </c>
      <c r="Q385" s="224" t="s">
        <v>4938</v>
      </c>
      <c r="R385" s="613"/>
      <c r="S385" s="522" t="str">
        <f t="shared" si="41"/>
        <v>Não Qualificado</v>
      </c>
      <c r="T385" s="522" t="s">
        <v>108</v>
      </c>
      <c r="U385" s="566" t="s">
        <v>4939</v>
      </c>
      <c r="V385" s="522" t="s">
        <v>3908</v>
      </c>
      <c r="W385" s="614"/>
      <c r="X385" s="468"/>
      <c r="Y385" s="468"/>
      <c r="Z385" s="468"/>
      <c r="AA385" s="468"/>
      <c r="AB385" s="468"/>
      <c r="AC385" s="468"/>
      <c r="AD385" s="468"/>
      <c r="AE385" s="468"/>
      <c r="AF385" s="468"/>
      <c r="AG385" s="614"/>
      <c r="AH385" s="614"/>
      <c r="AI385" s="614"/>
      <c r="AJ385" s="450"/>
      <c r="AK385" s="450"/>
      <c r="AL385" s="450"/>
      <c r="AM385" s="450"/>
      <c r="AN385" s="450"/>
      <c r="AO385" s="450"/>
      <c r="AP385" s="450"/>
      <c r="AQ385" s="450"/>
      <c r="AR385" s="450"/>
      <c r="AS385" s="450"/>
      <c r="AT385" s="450"/>
      <c r="AU385" s="468"/>
      <c r="AV385" s="450"/>
      <c r="AW385" s="450">
        <v>50414.87</v>
      </c>
      <c r="AX385" s="450">
        <v>45721.57</v>
      </c>
      <c r="AY385" s="450">
        <v>46351.95</v>
      </c>
      <c r="AZ385" s="450">
        <v>48129.78</v>
      </c>
      <c r="BA385" s="450">
        <v>49538.29</v>
      </c>
      <c r="BB385" s="450">
        <v>51830.18</v>
      </c>
      <c r="BC385" s="450">
        <v>169257.75</v>
      </c>
      <c r="BD385" s="450" t="s">
        <v>2566</v>
      </c>
      <c r="BE385" s="450" t="s">
        <v>2566</v>
      </c>
      <c r="BF385" s="450">
        <v>0.0</v>
      </c>
      <c r="BG385" s="450">
        <v>0.0</v>
      </c>
      <c r="BH385" s="450">
        <v>0.0</v>
      </c>
      <c r="BI385" s="450">
        <v>0.0</v>
      </c>
      <c r="BJ385" s="450">
        <v>0.0</v>
      </c>
      <c r="BK385" s="450">
        <v>0.0</v>
      </c>
      <c r="BL385" s="450">
        <v>0.0</v>
      </c>
      <c r="BM385" s="450">
        <v>0.0</v>
      </c>
      <c r="BN385" s="450">
        <v>0.0</v>
      </c>
      <c r="BO385" s="450">
        <v>0.0</v>
      </c>
      <c r="BP385" s="450">
        <v>0.0</v>
      </c>
      <c r="BQ385" s="450">
        <v>0.0</v>
      </c>
      <c r="BR385" s="450">
        <v>0.0</v>
      </c>
      <c r="BS385" s="615" t="str">
        <f t="array" ref="BS385">XLOOKUP(D385,'PL TOTAL XP'!A:A,'PL TOTAL XP'!C:C,"0")</f>
        <v>0</v>
      </c>
      <c r="BT385" s="616"/>
    </row>
    <row r="386" ht="15.75" customHeight="1">
      <c r="A386" s="183" t="s">
        <v>3820</v>
      </c>
      <c r="B386" s="78" t="s">
        <v>1847</v>
      </c>
      <c r="C386" s="617" t="s">
        <v>4940</v>
      </c>
      <c r="D386" s="522">
        <v>2587496.0</v>
      </c>
      <c r="E386" s="522" t="s">
        <v>18</v>
      </c>
      <c r="F386" s="522" t="s">
        <v>19</v>
      </c>
      <c r="G386" s="511" t="s">
        <v>213</v>
      </c>
      <c r="H386" s="522"/>
      <c r="I386" s="522"/>
      <c r="J386" s="51" t="s">
        <v>186</v>
      </c>
      <c r="K386" s="522"/>
      <c r="L386" s="619"/>
      <c r="M386" s="619">
        <v>44861.0</v>
      </c>
      <c r="N386" s="619"/>
      <c r="O386" s="522" t="s">
        <v>4941</v>
      </c>
      <c r="P386" s="612">
        <v>0.01</v>
      </c>
      <c r="Q386" s="620"/>
      <c r="R386" s="613"/>
      <c r="S386" s="522"/>
      <c r="T386" s="522"/>
      <c r="U386" s="566"/>
      <c r="V386" s="522" t="s">
        <v>19</v>
      </c>
      <c r="W386" s="614"/>
      <c r="X386" s="614"/>
      <c r="Y386" s="614"/>
      <c r="Z386" s="614"/>
      <c r="AA386" s="614"/>
      <c r="AB386" s="614"/>
      <c r="AC386" s="614"/>
      <c r="AD386" s="614"/>
      <c r="AE386" s="614"/>
      <c r="AF386" s="614"/>
      <c r="AG386" s="614"/>
      <c r="AH386" s="614"/>
      <c r="AI386" s="614"/>
      <c r="AJ386" s="614"/>
      <c r="AK386" s="450"/>
      <c r="AL386" s="450"/>
      <c r="AM386" s="450"/>
      <c r="AN386" s="450"/>
      <c r="AO386" s="450"/>
      <c r="AP386" s="450"/>
      <c r="AQ386" s="450"/>
      <c r="AR386" s="450"/>
      <c r="AS386" s="450"/>
      <c r="AT386" s="450"/>
      <c r="AU386" s="450"/>
      <c r="AV386" s="450"/>
      <c r="AW386" s="450"/>
      <c r="AX386" s="450"/>
      <c r="AY386" s="450"/>
      <c r="AZ386" s="450"/>
      <c r="BA386" s="450"/>
      <c r="BB386" s="450"/>
      <c r="BC386" s="450"/>
      <c r="BD386" s="450"/>
      <c r="BE386" s="450"/>
      <c r="BF386" s="450"/>
      <c r="BG386" s="450"/>
      <c r="BH386" s="450"/>
      <c r="BI386" s="450">
        <v>200988.51</v>
      </c>
      <c r="BJ386" s="450">
        <v>202983.16</v>
      </c>
      <c r="BK386" s="450">
        <v>204762.79</v>
      </c>
      <c r="BL386" s="450">
        <v>207000.32</v>
      </c>
      <c r="BM386" s="450">
        <v>208764.45</v>
      </c>
      <c r="BN386" s="450">
        <v>211245.87</v>
      </c>
      <c r="BO386" s="450">
        <v>1009.34</v>
      </c>
      <c r="BP386" s="450">
        <v>1068.81</v>
      </c>
      <c r="BQ386" s="450">
        <v>1053.55</v>
      </c>
      <c r="BR386" s="450">
        <v>1073.18</v>
      </c>
      <c r="BS386" s="615" t="str">
        <f t="array" ref="BS386">XLOOKUP(D386,'PL TOTAL XP'!A:A,'PL TOTAL XP'!C:C,"0")</f>
        <v>0</v>
      </c>
      <c r="BT386" s="616"/>
    </row>
    <row r="387" ht="15.75" customHeight="1">
      <c r="A387" s="183" t="s">
        <v>3820</v>
      </c>
      <c r="B387" s="78" t="s">
        <v>4942</v>
      </c>
      <c r="C387" s="617" t="s">
        <v>4943</v>
      </c>
      <c r="D387" s="522">
        <v>4742129.0</v>
      </c>
      <c r="E387" s="522" t="s">
        <v>18</v>
      </c>
      <c r="F387" s="522" t="s">
        <v>1818</v>
      </c>
      <c r="G387" s="511" t="s">
        <v>256</v>
      </c>
      <c r="H387" s="522" t="str">
        <f>IFERROR(VLOOKUP(G387,'Cadastro de assessores'!A:B,2,FALSE),"Não Cadastrado")</f>
        <v>18009</v>
      </c>
      <c r="I387" s="522"/>
      <c r="J387" s="51" t="s">
        <v>186</v>
      </c>
      <c r="K387" s="522" t="s">
        <v>2563</v>
      </c>
      <c r="L387" s="619"/>
      <c r="M387" s="619">
        <v>44207.0</v>
      </c>
      <c r="N387" s="619">
        <v>44648.0</v>
      </c>
      <c r="O387" s="522" t="s">
        <v>4029</v>
      </c>
      <c r="P387" s="612">
        <v>0.02</v>
      </c>
      <c r="Q387" s="620" t="s">
        <v>4944</v>
      </c>
      <c r="R387" s="613"/>
      <c r="S387" s="522" t="str">
        <f t="shared" ref="S387:S397" si="42">IF(BC387&lt;=0,"",IF(BC387&lt;=1000000,"Não Qualificado",IF(AND(BC387&gt;1000000,BC387&lt;=10000000),"Qualificado","Profissional")))</f>
        <v/>
      </c>
      <c r="T387" s="522" t="s">
        <v>108</v>
      </c>
      <c r="U387" s="566" t="s">
        <v>2619</v>
      </c>
      <c r="V387" s="522" t="s">
        <v>152</v>
      </c>
      <c r="W387" s="614"/>
      <c r="X387" s="614"/>
      <c r="Y387" s="614"/>
      <c r="Z387" s="614"/>
      <c r="AA387" s="614"/>
      <c r="AB387" s="614"/>
      <c r="AC387" s="614"/>
      <c r="AD387" s="614"/>
      <c r="AE387" s="614"/>
      <c r="AF387" s="614"/>
      <c r="AG387" s="614"/>
      <c r="AH387" s="614"/>
      <c r="AI387" s="614"/>
      <c r="AJ387" s="614"/>
      <c r="AK387" s="450"/>
      <c r="AL387" s="450">
        <v>224570.39</v>
      </c>
      <c r="AM387" s="450">
        <v>336721.76</v>
      </c>
      <c r="AN387" s="450">
        <v>337117.81</v>
      </c>
      <c r="AO387" s="450">
        <v>352032.43</v>
      </c>
      <c r="AP387" s="450">
        <v>439774.48</v>
      </c>
      <c r="AQ387" s="450">
        <v>436896.14</v>
      </c>
      <c r="AR387" s="450">
        <v>548573.53</v>
      </c>
      <c r="AS387" s="450">
        <v>685024.87</v>
      </c>
      <c r="AT387" s="450">
        <v>738293.69</v>
      </c>
      <c r="AU387" s="450">
        <v>726507.76</v>
      </c>
      <c r="AV387" s="450">
        <v>701854.81</v>
      </c>
      <c r="AW387" s="450">
        <v>656127.12</v>
      </c>
      <c r="AX387" s="450">
        <v>652318.31</v>
      </c>
      <c r="AY387" s="450">
        <v>663629.2</v>
      </c>
      <c r="AZ387" s="450">
        <v>690477.12</v>
      </c>
      <c r="BA387" s="450">
        <v>697547.68</v>
      </c>
      <c r="BB387" s="450">
        <v>115.53</v>
      </c>
      <c r="BC387" s="450"/>
      <c r="BD387" s="450" t="s">
        <v>2566</v>
      </c>
      <c r="BE387" s="450" t="s">
        <v>2566</v>
      </c>
      <c r="BF387" s="450">
        <v>0.0</v>
      </c>
      <c r="BG387" s="450">
        <v>0.0</v>
      </c>
      <c r="BH387" s="450">
        <v>0.0</v>
      </c>
      <c r="BI387" s="450">
        <v>0.0</v>
      </c>
      <c r="BJ387" s="450">
        <v>0.0</v>
      </c>
      <c r="BK387" s="450">
        <v>0.0</v>
      </c>
      <c r="BL387" s="450">
        <v>0.0</v>
      </c>
      <c r="BM387" s="450">
        <v>0.0</v>
      </c>
      <c r="BN387" s="450">
        <v>0.0</v>
      </c>
      <c r="BO387" s="450">
        <v>0.0</v>
      </c>
      <c r="BP387" s="450">
        <v>0.0</v>
      </c>
      <c r="BQ387" s="450">
        <v>0.0</v>
      </c>
      <c r="BR387" s="450">
        <v>0.0</v>
      </c>
      <c r="BS387" s="615" t="str">
        <f t="array" ref="BS387">XLOOKUP(D387,'PL TOTAL XP'!A:A,'PL TOTAL XP'!C:C,"0")</f>
        <v>0</v>
      </c>
      <c r="BT387" s="616"/>
    </row>
    <row r="388" ht="15.75" customHeight="1">
      <c r="A388" s="183" t="s">
        <v>3820</v>
      </c>
      <c r="B388" s="78" t="s">
        <v>4942</v>
      </c>
      <c r="C388" s="617" t="s">
        <v>4943</v>
      </c>
      <c r="D388" s="522">
        <v>4782053.0</v>
      </c>
      <c r="E388" s="522" t="s">
        <v>18</v>
      </c>
      <c r="F388" s="522" t="s">
        <v>1818</v>
      </c>
      <c r="G388" s="511" t="s">
        <v>256</v>
      </c>
      <c r="H388" s="522" t="str">
        <f>IFERROR(VLOOKUP(G388,'Cadastro de assessores'!A:B,2,FALSE),"Não Cadastrado")</f>
        <v>18009</v>
      </c>
      <c r="I388" s="522"/>
      <c r="J388" s="51" t="s">
        <v>186</v>
      </c>
      <c r="K388" s="522" t="s">
        <v>2563</v>
      </c>
      <c r="L388" s="619"/>
      <c r="M388" s="619">
        <v>44216.0</v>
      </c>
      <c r="N388" s="619">
        <v>44648.0</v>
      </c>
      <c r="O388" s="522" t="s">
        <v>3869</v>
      </c>
      <c r="P388" s="612">
        <v>0.008</v>
      </c>
      <c r="Q388" s="620" t="s">
        <v>4945</v>
      </c>
      <c r="R388" s="613"/>
      <c r="S388" s="522" t="str">
        <f t="shared" si="42"/>
        <v/>
      </c>
      <c r="T388" s="522" t="s">
        <v>108</v>
      </c>
      <c r="U388" s="566" t="s">
        <v>2619</v>
      </c>
      <c r="V388" s="522" t="s">
        <v>152</v>
      </c>
      <c r="W388" s="614"/>
      <c r="X388" s="468"/>
      <c r="Y388" s="614"/>
      <c r="Z388" s="614"/>
      <c r="AA388" s="614"/>
      <c r="AB388" s="614"/>
      <c r="AC388" s="614"/>
      <c r="AD388" s="614"/>
      <c r="AE388" s="614"/>
      <c r="AF388" s="614"/>
      <c r="AG388" s="614"/>
      <c r="AH388" s="614"/>
      <c r="AI388" s="614"/>
      <c r="AJ388" s="614"/>
      <c r="AK388" s="450"/>
      <c r="AL388" s="450">
        <v>150327.2</v>
      </c>
      <c r="AM388" s="450">
        <v>151542.71</v>
      </c>
      <c r="AN388" s="450">
        <v>146001.16</v>
      </c>
      <c r="AO388" s="450">
        <v>144764.4</v>
      </c>
      <c r="AP388" s="450">
        <v>143692.04</v>
      </c>
      <c r="AQ388" s="450">
        <v>144346.87</v>
      </c>
      <c r="AR388" s="450">
        <v>142014.29</v>
      </c>
      <c r="AS388" s="450">
        <v>140255.92</v>
      </c>
      <c r="AT388" s="450">
        <v>143143.78</v>
      </c>
      <c r="AU388" s="450">
        <v>140273.0</v>
      </c>
      <c r="AV388" s="450">
        <v>139142.76</v>
      </c>
      <c r="AW388" s="450">
        <v>137257.21</v>
      </c>
      <c r="AX388" s="450">
        <v>130248.82</v>
      </c>
      <c r="AY388" s="450">
        <v>137909.68</v>
      </c>
      <c r="AZ388" s="450">
        <v>138356.51</v>
      </c>
      <c r="BA388" s="450">
        <v>138386.23</v>
      </c>
      <c r="BB388" s="450">
        <v>0.0</v>
      </c>
      <c r="BC388" s="450"/>
      <c r="BD388" s="450" t="s">
        <v>2566</v>
      </c>
      <c r="BE388" s="450" t="s">
        <v>2566</v>
      </c>
      <c r="BF388" s="450">
        <v>0.0</v>
      </c>
      <c r="BG388" s="450">
        <v>0.0</v>
      </c>
      <c r="BH388" s="450">
        <v>0.0</v>
      </c>
      <c r="BI388" s="450">
        <v>0.0</v>
      </c>
      <c r="BJ388" s="450">
        <v>0.0</v>
      </c>
      <c r="BK388" s="450">
        <v>0.0</v>
      </c>
      <c r="BL388" s="450">
        <v>0.0</v>
      </c>
      <c r="BM388" s="450">
        <v>0.0</v>
      </c>
      <c r="BN388" s="450">
        <v>0.0</v>
      </c>
      <c r="BO388" s="450">
        <v>0.0</v>
      </c>
      <c r="BP388" s="450">
        <v>0.0</v>
      </c>
      <c r="BQ388" s="450">
        <v>0.0</v>
      </c>
      <c r="BR388" s="450">
        <v>0.0</v>
      </c>
      <c r="BS388" s="615" t="str">
        <f t="array" ref="BS388">XLOOKUP(D388,'PL TOTAL XP'!A:A,'PL TOTAL XP'!C:C,"0")</f>
        <v>0</v>
      </c>
      <c r="BT388" s="616"/>
    </row>
    <row r="389" ht="15.75" customHeight="1">
      <c r="A389" s="183" t="s">
        <v>3820</v>
      </c>
      <c r="B389" s="78" t="s">
        <v>1853</v>
      </c>
      <c r="C389" s="617" t="s">
        <v>4946</v>
      </c>
      <c r="D389" s="609">
        <v>5663320.0</v>
      </c>
      <c r="E389" s="512" t="s">
        <v>18</v>
      </c>
      <c r="F389" s="609" t="s">
        <v>29</v>
      </c>
      <c r="G389" s="609" t="s">
        <v>4947</v>
      </c>
      <c r="H389" s="609">
        <f>IFERROR(VLOOKUP(G389,'Cadastro de assessores'!A:B,2,FALSE),"Não Cadastrado")</f>
        <v>12338</v>
      </c>
      <c r="I389" s="609"/>
      <c r="J389" s="51" t="s">
        <v>3823</v>
      </c>
      <c r="K389" s="512" t="s">
        <v>107</v>
      </c>
      <c r="L389" s="610">
        <v>44385.0</v>
      </c>
      <c r="M389" s="610">
        <v>44385.0</v>
      </c>
      <c r="N389" s="566"/>
      <c r="O389" s="566" t="s">
        <v>3869</v>
      </c>
      <c r="P389" s="612">
        <v>0.008</v>
      </c>
      <c r="Q389" s="482" t="s">
        <v>4948</v>
      </c>
      <c r="R389" s="613"/>
      <c r="S389" s="522" t="str">
        <f t="shared" si="42"/>
        <v>Não Qualificado</v>
      </c>
      <c r="T389" s="522" t="s">
        <v>108</v>
      </c>
      <c r="U389" s="566" t="s">
        <v>2591</v>
      </c>
      <c r="V389" s="522" t="s">
        <v>29</v>
      </c>
      <c r="W389" s="614"/>
      <c r="X389" s="468"/>
      <c r="Y389" s="468"/>
      <c r="Z389" s="468"/>
      <c r="AA389" s="468"/>
      <c r="AB389" s="468"/>
      <c r="AC389" s="468"/>
      <c r="AD389" s="468"/>
      <c r="AE389" s="468"/>
      <c r="AF389" s="468"/>
      <c r="AG389" s="468"/>
      <c r="AH389" s="468"/>
      <c r="AI389" s="468"/>
      <c r="AJ389" s="450"/>
      <c r="AK389" s="450"/>
      <c r="AL389" s="450"/>
      <c r="AM389" s="683"/>
      <c r="AN389" s="683"/>
      <c r="AO389" s="450"/>
      <c r="AP389" s="450"/>
      <c r="AQ389" s="450"/>
      <c r="AR389" s="468"/>
      <c r="AS389" s="450"/>
      <c r="AT389" s="450">
        <v>233890.4</v>
      </c>
      <c r="AU389" s="450">
        <v>226700.52</v>
      </c>
      <c r="AV389" s="450">
        <v>224260.6</v>
      </c>
      <c r="AW389" s="450">
        <v>214936.12</v>
      </c>
      <c r="AX389" s="450">
        <v>210709.05</v>
      </c>
      <c r="AY389" s="450">
        <v>222949.45</v>
      </c>
      <c r="AZ389" s="450">
        <v>223662.39</v>
      </c>
      <c r="BA389" s="450">
        <v>223729.29</v>
      </c>
      <c r="BB389" s="450">
        <v>225909.93</v>
      </c>
      <c r="BC389" s="450">
        <v>219675.44</v>
      </c>
      <c r="BD389" s="450">
        <v>227907.85</v>
      </c>
      <c r="BE389" s="450">
        <v>227733.09</v>
      </c>
      <c r="BF389" s="450">
        <v>230473.63</v>
      </c>
      <c r="BG389" s="450">
        <v>210734.56</v>
      </c>
      <c r="BH389" s="450">
        <v>190593.61</v>
      </c>
      <c r="BI389" s="450">
        <v>192484.43</v>
      </c>
      <c r="BJ389" s="450">
        <v>186696.69</v>
      </c>
      <c r="BK389" s="450">
        <v>186079.9</v>
      </c>
      <c r="BL389" s="450">
        <v>186979.68</v>
      </c>
      <c r="BM389" s="450">
        <v>185506.95</v>
      </c>
      <c r="BN389" s="450">
        <v>0.0</v>
      </c>
      <c r="BO389" s="450">
        <v>0.0</v>
      </c>
      <c r="BP389" s="450">
        <v>0.0</v>
      </c>
      <c r="BQ389" s="450">
        <v>0.0</v>
      </c>
      <c r="BR389" s="450">
        <v>0.0</v>
      </c>
      <c r="BS389" s="615">
        <f t="array" ref="BS389">XLOOKUP(D389,'PL TOTAL XP'!A:A,'PL TOTAL XP'!C:C,"0")</f>
        <v>0</v>
      </c>
      <c r="BT389" s="616"/>
    </row>
    <row r="390" ht="15.75" customHeight="1">
      <c r="A390" s="183" t="s">
        <v>3820</v>
      </c>
      <c r="B390" s="78" t="s">
        <v>1853</v>
      </c>
      <c r="C390" s="617" t="s">
        <v>4946</v>
      </c>
      <c r="D390" s="522">
        <v>2660830.0</v>
      </c>
      <c r="E390" s="512" t="s">
        <v>18</v>
      </c>
      <c r="F390" s="512" t="s">
        <v>29</v>
      </c>
      <c r="G390" s="512" t="s">
        <v>168</v>
      </c>
      <c r="H390" s="512">
        <f>IFERROR(VLOOKUP(G390,'Cadastro de assessores'!A:B,2,FALSE),"Não Cadastrado")</f>
        <v>12344</v>
      </c>
      <c r="I390" s="512"/>
      <c r="J390" s="51" t="s">
        <v>3823</v>
      </c>
      <c r="K390" s="512" t="s">
        <v>107</v>
      </c>
      <c r="L390" s="610">
        <v>43741.0</v>
      </c>
      <c r="M390" s="610">
        <v>43741.0</v>
      </c>
      <c r="N390" s="522"/>
      <c r="O390" s="522" t="s">
        <v>4508</v>
      </c>
      <c r="P390" s="612">
        <v>0.007</v>
      </c>
      <c r="Q390" s="482" t="s">
        <v>4948</v>
      </c>
      <c r="R390" s="613"/>
      <c r="S390" s="522" t="str">
        <f t="shared" si="42"/>
        <v>Não Qualificado</v>
      </c>
      <c r="T390" s="522" t="s">
        <v>108</v>
      </c>
      <c r="U390" s="566" t="s">
        <v>2591</v>
      </c>
      <c r="V390" s="522" t="s">
        <v>29</v>
      </c>
      <c r="W390" s="614" t="s">
        <v>4949</v>
      </c>
      <c r="X390" s="468"/>
      <c r="Y390" s="614" t="s">
        <v>4950</v>
      </c>
      <c r="Z390" s="614" t="s">
        <v>4951</v>
      </c>
      <c r="AA390" s="614" t="s">
        <v>4952</v>
      </c>
      <c r="AB390" s="614" t="s">
        <v>4953</v>
      </c>
      <c r="AC390" s="614" t="s">
        <v>4954</v>
      </c>
      <c r="AD390" s="614" t="s">
        <v>4955</v>
      </c>
      <c r="AE390" s="614" t="s">
        <v>4956</v>
      </c>
      <c r="AF390" s="614" t="s">
        <v>4957</v>
      </c>
      <c r="AG390" s="614" t="s">
        <v>4958</v>
      </c>
      <c r="AH390" s="614" t="s">
        <v>4959</v>
      </c>
      <c r="AI390" s="614" t="s">
        <v>4960</v>
      </c>
      <c r="AJ390" s="614" t="s">
        <v>4961</v>
      </c>
      <c r="AK390" s="450">
        <v>728345.95</v>
      </c>
      <c r="AL390" s="450">
        <v>718046.08</v>
      </c>
      <c r="AM390" s="450">
        <v>699729.73</v>
      </c>
      <c r="AN390" s="683">
        <v>699544.75</v>
      </c>
      <c r="AO390" s="683">
        <v>699877.13</v>
      </c>
      <c r="AP390" s="450">
        <v>704201.8</v>
      </c>
      <c r="AQ390" s="450">
        <v>702602.87</v>
      </c>
      <c r="AR390" s="450">
        <v>731952.87</v>
      </c>
      <c r="AS390" s="450">
        <v>725662.79</v>
      </c>
      <c r="AT390" s="450">
        <v>710371.14</v>
      </c>
      <c r="AU390" s="450">
        <v>706527.23</v>
      </c>
      <c r="AV390" s="450">
        <v>691154.64</v>
      </c>
      <c r="AW390" s="450">
        <v>661580.2</v>
      </c>
      <c r="AX390" s="450">
        <v>659962.36</v>
      </c>
      <c r="AY390" s="450">
        <v>668724.58</v>
      </c>
      <c r="AZ390" s="450">
        <v>688595.25</v>
      </c>
      <c r="BA390" s="450">
        <v>692986.1</v>
      </c>
      <c r="BB390" s="450">
        <v>0.0</v>
      </c>
      <c r="BC390" s="450">
        <v>205300.29</v>
      </c>
      <c r="BD390" s="450">
        <v>719705.65</v>
      </c>
      <c r="BE390" s="450">
        <v>718062.83</v>
      </c>
      <c r="BF390" s="450">
        <v>732241.88</v>
      </c>
      <c r="BG390" s="450">
        <v>738749.5456</v>
      </c>
      <c r="BH390" s="450">
        <v>740720.96</v>
      </c>
      <c r="BI390" s="450">
        <v>761158.89</v>
      </c>
      <c r="BJ390" s="450">
        <v>762447.75</v>
      </c>
      <c r="BK390" s="450">
        <v>1003486.68</v>
      </c>
      <c r="BL390" s="450">
        <v>1115595.03</v>
      </c>
      <c r="BM390" s="450">
        <v>1124836.35</v>
      </c>
      <c r="BN390" s="450">
        <v>2.34</v>
      </c>
      <c r="BO390" s="450">
        <v>0.0</v>
      </c>
      <c r="BP390" s="450">
        <v>0.0</v>
      </c>
      <c r="BQ390" s="450">
        <v>0.0</v>
      </c>
      <c r="BR390" s="450">
        <v>0.0</v>
      </c>
      <c r="BS390" s="615">
        <f t="array" ref="BS390">XLOOKUP(D390,'PL TOTAL XP'!A:A,'PL TOTAL XP'!C:C,"0")</f>
        <v>0</v>
      </c>
      <c r="BT390" s="616"/>
    </row>
    <row r="391" ht="15.75" customHeight="1">
      <c r="A391" s="183" t="s">
        <v>3820</v>
      </c>
      <c r="B391" s="78" t="s">
        <v>1853</v>
      </c>
      <c r="C391" s="617" t="s">
        <v>4946</v>
      </c>
      <c r="D391" s="623">
        <v>7878590.0</v>
      </c>
      <c r="E391" s="609" t="s">
        <v>18</v>
      </c>
      <c r="F391" s="609" t="s">
        <v>29</v>
      </c>
      <c r="G391" s="512" t="s">
        <v>168</v>
      </c>
      <c r="H391" s="512">
        <f>IFERROR(VLOOKUP(G391,'Cadastro de assessores'!A:B,2,FALSE),"Não Cadastrado")</f>
        <v>12344</v>
      </c>
      <c r="I391" s="512"/>
      <c r="J391" s="51" t="s">
        <v>3823</v>
      </c>
      <c r="K391" s="522" t="s">
        <v>147</v>
      </c>
      <c r="L391" s="522" t="s">
        <v>2600</v>
      </c>
      <c r="M391" s="640" t="s">
        <v>4195</v>
      </c>
      <c r="N391" s="566"/>
      <c r="O391" s="566" t="s">
        <v>4962</v>
      </c>
      <c r="P391" s="612">
        <v>0.01</v>
      </c>
      <c r="Q391" s="482" t="s">
        <v>4948</v>
      </c>
      <c r="R391" s="613"/>
      <c r="S391" s="522" t="str">
        <f t="shared" si="42"/>
        <v>Não Qualificado</v>
      </c>
      <c r="T391" s="522" t="s">
        <v>108</v>
      </c>
      <c r="U391" s="566" t="s">
        <v>2591</v>
      </c>
      <c r="V391" s="522" t="s">
        <v>29</v>
      </c>
      <c r="W391" s="614"/>
      <c r="X391" s="468"/>
      <c r="Y391" s="468"/>
      <c r="Z391" s="468"/>
      <c r="AA391" s="468"/>
      <c r="AB391" s="468"/>
      <c r="AC391" s="468"/>
      <c r="AD391" s="468"/>
      <c r="AE391" s="468"/>
      <c r="AF391" s="468"/>
      <c r="AG391" s="468"/>
      <c r="AH391" s="468"/>
      <c r="AI391" s="468"/>
      <c r="AJ391" s="450"/>
      <c r="AK391" s="450"/>
      <c r="AL391" s="450"/>
      <c r="AM391" s="683"/>
      <c r="AN391" s="683"/>
      <c r="AO391" s="450"/>
      <c r="AP391" s="450"/>
      <c r="AQ391" s="450"/>
      <c r="AR391" s="468"/>
      <c r="AS391" s="450"/>
      <c r="AT391" s="450"/>
      <c r="AU391" s="450"/>
      <c r="AV391" s="450"/>
      <c r="AW391" s="450"/>
      <c r="AX391" s="450"/>
      <c r="AY391" s="450"/>
      <c r="AZ391" s="450"/>
      <c r="BA391" s="450">
        <v>0.0</v>
      </c>
      <c r="BB391" s="450">
        <v>0.0</v>
      </c>
      <c r="BC391" s="450">
        <v>586690.75</v>
      </c>
      <c r="BD391" s="450" t="s">
        <v>2566</v>
      </c>
      <c r="BE391" s="450" t="s">
        <v>2566</v>
      </c>
      <c r="BF391" s="450">
        <v>0.0</v>
      </c>
      <c r="BG391" s="450">
        <v>0.0</v>
      </c>
      <c r="BH391" s="450">
        <v>0.0</v>
      </c>
      <c r="BI391" s="450">
        <v>0.0</v>
      </c>
      <c r="BJ391" s="450">
        <v>0.0</v>
      </c>
      <c r="BK391" s="450">
        <v>0.0</v>
      </c>
      <c r="BL391" s="450">
        <v>0.0</v>
      </c>
      <c r="BM391" s="450">
        <v>0.0</v>
      </c>
      <c r="BN391" s="450">
        <v>0.0</v>
      </c>
      <c r="BO391" s="450">
        <v>0.0</v>
      </c>
      <c r="BP391" s="450">
        <v>0.0</v>
      </c>
      <c r="BQ391" s="450">
        <v>0.0</v>
      </c>
      <c r="BR391" s="450">
        <v>0.0</v>
      </c>
      <c r="BS391" s="615" t="str">
        <f t="array" ref="BS391">XLOOKUP(D391,'PL TOTAL XP'!A:A,'PL TOTAL XP'!C:C,"0")</f>
        <v>0</v>
      </c>
      <c r="BT391" s="616"/>
    </row>
    <row r="392" ht="15.75" customHeight="1">
      <c r="A392" s="183" t="s">
        <v>3820</v>
      </c>
      <c r="B392" s="78" t="s">
        <v>1858</v>
      </c>
      <c r="C392" s="645" t="s">
        <v>4963</v>
      </c>
      <c r="D392" s="627">
        <v>7273700.0</v>
      </c>
      <c r="E392" s="512" t="s">
        <v>18</v>
      </c>
      <c r="F392" s="609" t="s">
        <v>19</v>
      </c>
      <c r="G392" s="627" t="s">
        <v>256</v>
      </c>
      <c r="H392" s="609" t="str">
        <f>IFERROR(VLOOKUP(G392,'Cadastro de assessores'!A:B,2,FALSE),"Não Cadastrado")</f>
        <v>18009</v>
      </c>
      <c r="I392" s="609"/>
      <c r="J392" s="51" t="s">
        <v>3823</v>
      </c>
      <c r="K392" s="512" t="s">
        <v>107</v>
      </c>
      <c r="L392" s="610">
        <v>44532.0</v>
      </c>
      <c r="M392" s="610">
        <v>44536.0</v>
      </c>
      <c r="N392" s="627"/>
      <c r="O392" s="627" t="s">
        <v>3834</v>
      </c>
      <c r="P392" s="612">
        <v>0.007</v>
      </c>
      <c r="Q392" s="224" t="s">
        <v>4964</v>
      </c>
      <c r="R392" s="613"/>
      <c r="S392" s="522" t="str">
        <f t="shared" si="42"/>
        <v/>
      </c>
      <c r="T392" s="522" t="s">
        <v>369</v>
      </c>
      <c r="U392" s="566" t="s">
        <v>4481</v>
      </c>
      <c r="V392" s="522" t="s">
        <v>19</v>
      </c>
      <c r="W392" s="614"/>
      <c r="X392" s="468"/>
      <c r="Y392" s="468"/>
      <c r="Z392" s="468"/>
      <c r="AA392" s="468"/>
      <c r="AB392" s="468"/>
      <c r="AC392" s="468"/>
      <c r="AD392" s="468"/>
      <c r="AE392" s="468"/>
      <c r="AF392" s="468"/>
      <c r="AG392" s="614"/>
      <c r="AH392" s="614"/>
      <c r="AI392" s="614"/>
      <c r="AJ392" s="450"/>
      <c r="AK392" s="450"/>
      <c r="AL392" s="450"/>
      <c r="AM392" s="683"/>
      <c r="AN392" s="683"/>
      <c r="AO392" s="450"/>
      <c r="AP392" s="450"/>
      <c r="AQ392" s="450"/>
      <c r="AR392" s="450"/>
      <c r="AS392" s="450"/>
      <c r="AT392" s="450"/>
      <c r="AU392" s="450"/>
      <c r="AV392" s="450"/>
      <c r="AW392" s="468"/>
      <c r="AX392" s="449"/>
      <c r="AY392" s="449">
        <v>798775.32</v>
      </c>
      <c r="AZ392" s="450">
        <v>806244.44</v>
      </c>
      <c r="BA392" s="450">
        <v>812278.29</v>
      </c>
      <c r="BB392" s="450">
        <v>820892.96</v>
      </c>
      <c r="BC392" s="450"/>
      <c r="BD392" s="450">
        <v>841699.28</v>
      </c>
      <c r="BE392" s="450">
        <v>848852.05</v>
      </c>
      <c r="BF392" s="450">
        <v>855252.84</v>
      </c>
      <c r="BG392" s="450">
        <v>858020.7469</v>
      </c>
      <c r="BH392" s="450">
        <v>860727.15</v>
      </c>
      <c r="BI392" s="450">
        <v>866486.11</v>
      </c>
      <c r="BJ392" s="450">
        <v>872301.33</v>
      </c>
      <c r="BK392" s="450">
        <v>876928.48</v>
      </c>
      <c r="BL392" s="450">
        <v>887050.94</v>
      </c>
      <c r="BM392" s="450">
        <v>891525.69</v>
      </c>
      <c r="BN392" s="450">
        <v>900310.16</v>
      </c>
      <c r="BO392" s="450">
        <v>908622.64</v>
      </c>
      <c r="BP392" s="450">
        <v>0.0</v>
      </c>
      <c r="BQ392" s="450">
        <v>0.0</v>
      </c>
      <c r="BR392" s="450">
        <v>0.0</v>
      </c>
      <c r="BS392" s="615">
        <f t="array" ref="BS392">XLOOKUP(D392,'PL TOTAL XP'!A:A,'PL TOTAL XP'!C:C,"0")</f>
        <v>0</v>
      </c>
      <c r="BT392" s="616"/>
    </row>
    <row r="393" ht="15.75" customHeight="1">
      <c r="A393" s="183" t="s">
        <v>3820</v>
      </c>
      <c r="B393" s="78" t="s">
        <v>4965</v>
      </c>
      <c r="C393" s="617" t="s">
        <v>4966</v>
      </c>
      <c r="D393" s="522">
        <v>4461414.0</v>
      </c>
      <c r="E393" s="522" t="s">
        <v>105</v>
      </c>
      <c r="F393" s="522" t="s">
        <v>29</v>
      </c>
      <c r="G393" s="522" t="s">
        <v>3660</v>
      </c>
      <c r="H393" s="522" t="str">
        <f>IFERROR(VLOOKUP(G393,'Cadastro de assessores'!A:B,2,FALSE),"Não Cadastrado")</f>
        <v>14574</v>
      </c>
      <c r="I393" s="522"/>
      <c r="J393" s="51" t="s">
        <v>186</v>
      </c>
      <c r="K393" s="522" t="s">
        <v>2563</v>
      </c>
      <c r="L393" s="619">
        <v>44090.0</v>
      </c>
      <c r="M393" s="619">
        <v>44090.0</v>
      </c>
      <c r="N393" s="619">
        <v>44408.0</v>
      </c>
      <c r="O393" s="522" t="s">
        <v>3836</v>
      </c>
      <c r="P393" s="612">
        <v>0.012</v>
      </c>
      <c r="Q393" s="644" t="s">
        <v>4967</v>
      </c>
      <c r="R393" s="613"/>
      <c r="S393" s="522" t="str">
        <f t="shared" si="42"/>
        <v/>
      </c>
      <c r="T393" s="522" t="s">
        <v>369</v>
      </c>
      <c r="U393" s="522" t="s">
        <v>2811</v>
      </c>
      <c r="V393" s="522" t="s">
        <v>29</v>
      </c>
      <c r="W393" s="614" t="s">
        <v>3830</v>
      </c>
      <c r="X393" s="614" t="s">
        <v>3830</v>
      </c>
      <c r="Y393" s="614" t="s">
        <v>3830</v>
      </c>
      <c r="Z393" s="614" t="s">
        <v>3830</v>
      </c>
      <c r="AA393" s="614" t="s">
        <v>3830</v>
      </c>
      <c r="AB393" s="614" t="s">
        <v>3830</v>
      </c>
      <c r="AC393" s="614" t="s">
        <v>3830</v>
      </c>
      <c r="AD393" s="614" t="s">
        <v>3830</v>
      </c>
      <c r="AE393" s="614" t="s">
        <v>3830</v>
      </c>
      <c r="AF393" s="614" t="s">
        <v>3830</v>
      </c>
      <c r="AG393" s="614" t="s">
        <v>3830</v>
      </c>
      <c r="AH393" s="614" t="s">
        <v>4968</v>
      </c>
      <c r="AI393" s="614" t="s">
        <v>4969</v>
      </c>
      <c r="AJ393" s="614" t="s">
        <v>4970</v>
      </c>
      <c r="AK393" s="450">
        <v>824425.92</v>
      </c>
      <c r="AL393" s="450">
        <v>818157.82</v>
      </c>
      <c r="AM393" s="450">
        <v>797632.2</v>
      </c>
      <c r="AN393" s="450">
        <v>794363.69</v>
      </c>
      <c r="AO393" s="450">
        <v>805332.45</v>
      </c>
      <c r="AP393" s="450">
        <v>807290.9</v>
      </c>
      <c r="AQ393" s="450">
        <v>805671.44</v>
      </c>
      <c r="AR393" s="450">
        <v>816751.5</v>
      </c>
      <c r="AS393" s="450">
        <v>217316.62</v>
      </c>
      <c r="AT393" s="450">
        <v>218141.09</v>
      </c>
      <c r="AU393" s="450"/>
      <c r="AV393" s="450"/>
      <c r="AW393" s="450"/>
      <c r="AX393" s="450"/>
      <c r="AY393" s="450"/>
      <c r="AZ393" s="450"/>
      <c r="BA393" s="450">
        <v>0.0</v>
      </c>
      <c r="BB393" s="450">
        <v>0.0</v>
      </c>
      <c r="BC393" s="450"/>
      <c r="BD393" s="450" t="s">
        <v>2566</v>
      </c>
      <c r="BE393" s="450" t="s">
        <v>2566</v>
      </c>
      <c r="BF393" s="450">
        <v>0.0</v>
      </c>
      <c r="BG393" s="450">
        <v>0.0</v>
      </c>
      <c r="BH393" s="450">
        <v>0.0</v>
      </c>
      <c r="BI393" s="450">
        <v>0.0</v>
      </c>
      <c r="BJ393" s="450">
        <v>0.0</v>
      </c>
      <c r="BK393" s="450">
        <v>0.0</v>
      </c>
      <c r="BL393" s="450">
        <v>0.0</v>
      </c>
      <c r="BM393" s="450">
        <v>0.0</v>
      </c>
      <c r="BN393" s="450">
        <v>0.0</v>
      </c>
      <c r="BO393" s="450">
        <v>0.0</v>
      </c>
      <c r="BP393" s="450">
        <v>0.0</v>
      </c>
      <c r="BQ393" s="450">
        <v>0.0</v>
      </c>
      <c r="BR393" s="450">
        <v>0.0</v>
      </c>
      <c r="BS393" s="615" t="str">
        <f t="array" ref="BS393">XLOOKUP(D393,'PL TOTAL XP'!A:A,'PL TOTAL XP'!C:C,"0")</f>
        <v>0</v>
      </c>
      <c r="BT393" s="616"/>
    </row>
    <row r="394" ht="18.0" customHeight="1">
      <c r="A394" s="183" t="s">
        <v>3820</v>
      </c>
      <c r="B394" s="78" t="s">
        <v>1881</v>
      </c>
      <c r="C394" s="645" t="s">
        <v>1878</v>
      </c>
      <c r="D394" s="623">
        <v>3428496.0</v>
      </c>
      <c r="E394" s="609" t="s">
        <v>18</v>
      </c>
      <c r="F394" s="609" t="s">
        <v>19</v>
      </c>
      <c r="G394" s="512" t="s">
        <v>20</v>
      </c>
      <c r="H394" s="609">
        <f>IFERROR(VLOOKUP(G394,'Cadastro de assessores'!A:B,2,FALSE),"Não Cadastrado")</f>
        <v>12331</v>
      </c>
      <c r="I394" s="609"/>
      <c r="J394" s="51" t="s">
        <v>3823</v>
      </c>
      <c r="K394" s="512" t="s">
        <v>107</v>
      </c>
      <c r="L394" s="624">
        <v>44613.0</v>
      </c>
      <c r="M394" s="624">
        <v>44613.0</v>
      </c>
      <c r="N394" s="490"/>
      <c r="O394" s="627" t="s">
        <v>4034</v>
      </c>
      <c r="P394" s="612">
        <v>0.012</v>
      </c>
      <c r="Q394" s="224" t="s">
        <v>4971</v>
      </c>
      <c r="R394" s="613"/>
      <c r="S394" s="522" t="str">
        <f t="shared" si="42"/>
        <v/>
      </c>
      <c r="T394" s="522" t="s">
        <v>108</v>
      </c>
      <c r="U394" s="522" t="s">
        <v>2652</v>
      </c>
      <c r="V394" s="522" t="s">
        <v>19</v>
      </c>
      <c r="W394" s="614"/>
      <c r="X394" s="614"/>
      <c r="Y394" s="614"/>
      <c r="Z394" s="614"/>
      <c r="AA394" s="614"/>
      <c r="AB394" s="614"/>
      <c r="AC394" s="614"/>
      <c r="AD394" s="614"/>
      <c r="AE394" s="614"/>
      <c r="AF394" s="614"/>
      <c r="AG394" s="614"/>
      <c r="AH394" s="614"/>
      <c r="AI394" s="614"/>
      <c r="AJ394" s="614"/>
      <c r="AK394" s="450"/>
      <c r="AL394" s="450"/>
      <c r="AM394" s="450"/>
      <c r="AN394" s="450"/>
      <c r="AO394" s="450"/>
      <c r="AP394" s="450"/>
      <c r="AQ394" s="450"/>
      <c r="AR394" s="450"/>
      <c r="AS394" s="450"/>
      <c r="AT394" s="450"/>
      <c r="AU394" s="450"/>
      <c r="AV394" s="450"/>
      <c r="AW394" s="450"/>
      <c r="AX394" s="450"/>
      <c r="AY394" s="450"/>
      <c r="AZ394" s="450"/>
      <c r="BA394" s="450">
        <v>608764.43</v>
      </c>
      <c r="BB394" s="450">
        <v>764523.03</v>
      </c>
      <c r="BC394" s="450"/>
      <c r="BD394" s="450">
        <v>1476338.36</v>
      </c>
      <c r="BE394" s="450">
        <v>1483477.26</v>
      </c>
      <c r="BF394" s="450">
        <v>1494423.55</v>
      </c>
      <c r="BG394" s="450">
        <v>1499011.937</v>
      </c>
      <c r="BH394" s="450">
        <v>733901.03</v>
      </c>
      <c r="BI394" s="450">
        <v>751791.51</v>
      </c>
      <c r="BJ394" s="450">
        <v>748568.31</v>
      </c>
      <c r="BK394" s="450">
        <v>750256.06</v>
      </c>
      <c r="BL394" s="450">
        <v>757793.14</v>
      </c>
      <c r="BM394" s="450">
        <v>761629.99</v>
      </c>
      <c r="BN394" s="450">
        <v>104791.33</v>
      </c>
      <c r="BO394" s="450">
        <v>0.0</v>
      </c>
      <c r="BP394" s="450">
        <v>0.0</v>
      </c>
      <c r="BQ394" s="450">
        <v>0.0</v>
      </c>
      <c r="BR394" s="450">
        <v>0.0</v>
      </c>
      <c r="BS394" s="615">
        <f t="array" ref="BS394">XLOOKUP(D394,'PL TOTAL XP'!A:A,'PL TOTAL XP'!C:C,"0")</f>
        <v>0</v>
      </c>
      <c r="BT394" s="616"/>
    </row>
    <row r="395" ht="15.75" customHeight="1">
      <c r="A395" s="183" t="s">
        <v>3820</v>
      </c>
      <c r="B395" s="78" t="s">
        <v>1881</v>
      </c>
      <c r="C395" s="564" t="s">
        <v>1878</v>
      </c>
      <c r="D395" s="691">
        <v>8088158.0</v>
      </c>
      <c r="E395" s="511" t="s">
        <v>18</v>
      </c>
      <c r="F395" s="511" t="s">
        <v>19</v>
      </c>
      <c r="G395" s="522" t="s">
        <v>20</v>
      </c>
      <c r="H395" s="511">
        <f>IFERROR(VLOOKUP(G395,'Cadastro de assessores'!A:B,2,FALSE),"Não Cadastrado")</f>
        <v>12331</v>
      </c>
      <c r="I395" s="511"/>
      <c r="J395" s="46" t="s">
        <v>107</v>
      </c>
      <c r="K395" s="522" t="s">
        <v>107</v>
      </c>
      <c r="L395" s="692">
        <v>44682.0</v>
      </c>
      <c r="M395" s="692">
        <v>44682.0</v>
      </c>
      <c r="N395" s="511"/>
      <c r="O395" s="511" t="s">
        <v>3935</v>
      </c>
      <c r="P395" s="612">
        <v>0.008</v>
      </c>
      <c r="Q395" s="224" t="s">
        <v>4972</v>
      </c>
      <c r="R395" s="613"/>
      <c r="S395" s="522" t="str">
        <f t="shared" si="42"/>
        <v/>
      </c>
      <c r="T395" s="522" t="s">
        <v>108</v>
      </c>
      <c r="U395" s="522" t="s">
        <v>2652</v>
      </c>
      <c r="V395" s="522" t="s">
        <v>19</v>
      </c>
      <c r="W395" s="614"/>
      <c r="X395" s="468"/>
      <c r="Y395" s="468"/>
      <c r="Z395" s="468"/>
      <c r="AA395" s="468"/>
      <c r="AB395" s="468"/>
      <c r="AC395" s="468"/>
      <c r="AD395" s="468"/>
      <c r="AE395" s="468"/>
      <c r="AF395" s="468"/>
      <c r="AG395" s="468"/>
      <c r="AH395" s="468"/>
      <c r="AI395" s="614"/>
      <c r="AJ395" s="450"/>
      <c r="AK395" s="450"/>
      <c r="AL395" s="450"/>
      <c r="AM395" s="450"/>
      <c r="AN395" s="450"/>
      <c r="AO395" s="450"/>
      <c r="AP395" s="450"/>
      <c r="AQ395" s="450"/>
      <c r="AR395" s="468"/>
      <c r="AS395" s="450"/>
      <c r="AT395" s="450"/>
      <c r="AU395" s="450"/>
      <c r="AV395" s="450"/>
      <c r="AW395" s="450"/>
      <c r="AX395" s="450"/>
      <c r="AY395" s="450"/>
      <c r="AZ395" s="450"/>
      <c r="BA395" s="450">
        <v>0.0</v>
      </c>
      <c r="BB395" s="450">
        <v>0.0</v>
      </c>
      <c r="BC395" s="450"/>
      <c r="BD395" s="450">
        <v>210.03</v>
      </c>
      <c r="BE395" s="450">
        <v>408.8</v>
      </c>
      <c r="BF395" s="450">
        <v>161.77</v>
      </c>
      <c r="BG395" s="450">
        <v>508.42</v>
      </c>
      <c r="BH395" s="450">
        <v>709209.21</v>
      </c>
      <c r="BI395" s="450">
        <v>709760.34</v>
      </c>
      <c r="BJ395" s="450">
        <v>716288.71</v>
      </c>
      <c r="BK395" s="450">
        <v>722106.7</v>
      </c>
      <c r="BL395" s="450">
        <v>729620.86</v>
      </c>
      <c r="BM395" s="450">
        <v>732334.44</v>
      </c>
      <c r="BN395" s="450">
        <v>741505.33</v>
      </c>
      <c r="BO395" s="450">
        <v>311009.9</v>
      </c>
      <c r="BP395" s="450">
        <v>2082.87</v>
      </c>
      <c r="BQ395" s="450">
        <v>2096.38</v>
      </c>
      <c r="BR395" s="450">
        <v>2120.51</v>
      </c>
      <c r="BS395" s="615">
        <f t="array" ref="BS395">XLOOKUP(D395,'PL TOTAL XP'!A:A,'PL TOTAL XP'!C:C,"0")</f>
        <v>2147.39</v>
      </c>
      <c r="BT395" s="616"/>
    </row>
    <row r="396" ht="15.75" customHeight="1">
      <c r="A396" s="183" t="s">
        <v>3820</v>
      </c>
      <c r="B396" s="78" t="s">
        <v>1884</v>
      </c>
      <c r="C396" s="564" t="s">
        <v>4973</v>
      </c>
      <c r="D396" s="609">
        <v>5682953.0</v>
      </c>
      <c r="E396" s="512" t="s">
        <v>18</v>
      </c>
      <c r="F396" s="609" t="s">
        <v>29</v>
      </c>
      <c r="G396" s="609" t="s">
        <v>3666</v>
      </c>
      <c r="H396" s="609" t="str">
        <f>IFERROR(VLOOKUP(G396,'Cadastro de assessores'!A:B,2,FALSE),"Não Cadastrado")</f>
        <v>14739</v>
      </c>
      <c r="I396" s="609"/>
      <c r="J396" s="46" t="s">
        <v>107</v>
      </c>
      <c r="K396" s="512" t="s">
        <v>107</v>
      </c>
      <c r="L396" s="610">
        <v>44453.0</v>
      </c>
      <c r="M396" s="610">
        <v>44424.0</v>
      </c>
      <c r="N396" s="522"/>
      <c r="O396" s="522" t="s">
        <v>3836</v>
      </c>
      <c r="P396" s="612">
        <v>0.012</v>
      </c>
      <c r="Q396" s="224"/>
      <c r="R396" s="613"/>
      <c r="S396" s="522" t="str">
        <f t="shared" si="42"/>
        <v>Não Qualificado</v>
      </c>
      <c r="T396" s="522" t="s">
        <v>108</v>
      </c>
      <c r="U396" s="566" t="s">
        <v>3884</v>
      </c>
      <c r="V396" s="522" t="s">
        <v>29</v>
      </c>
      <c r="W396" s="614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614"/>
      <c r="AJ396" s="450"/>
      <c r="AK396" s="450"/>
      <c r="AL396" s="450"/>
      <c r="AM396" s="683"/>
      <c r="AN396" s="683"/>
      <c r="AO396" s="450"/>
      <c r="AP396" s="450"/>
      <c r="AQ396" s="450"/>
      <c r="AR396" s="468"/>
      <c r="AS396" s="450"/>
      <c r="AT396" s="450">
        <v>50626.88</v>
      </c>
      <c r="AU396" s="450">
        <v>49791.72</v>
      </c>
      <c r="AV396" s="450">
        <v>274812.43</v>
      </c>
      <c r="AW396" s="450">
        <v>271139.99</v>
      </c>
      <c r="AX396" s="450">
        <v>271991.02</v>
      </c>
      <c r="AY396" s="450">
        <v>274371.6</v>
      </c>
      <c r="AZ396" s="450">
        <v>278488.32</v>
      </c>
      <c r="BA396" s="450">
        <v>280398.74</v>
      </c>
      <c r="BB396" s="450">
        <v>285771.86</v>
      </c>
      <c r="BC396" s="450">
        <v>95484.5</v>
      </c>
      <c r="BD396" s="450">
        <v>256322.46</v>
      </c>
      <c r="BE396" s="450">
        <v>256407.7</v>
      </c>
      <c r="BF396" s="450">
        <v>258865.59</v>
      </c>
      <c r="BG396" s="450">
        <v>260173.3384</v>
      </c>
      <c r="BH396" s="450">
        <v>251124.35</v>
      </c>
      <c r="BI396" s="450">
        <v>255862.78</v>
      </c>
      <c r="BJ396" s="450">
        <v>235612.79</v>
      </c>
      <c r="BK396" s="450">
        <v>237016.06</v>
      </c>
      <c r="BL396" s="450">
        <v>240008.05</v>
      </c>
      <c r="BM396" s="450">
        <v>242008.9</v>
      </c>
      <c r="BN396" s="450">
        <v>50636.8</v>
      </c>
      <c r="BO396" s="450">
        <v>51371.55</v>
      </c>
      <c r="BP396" s="450">
        <v>52096.28</v>
      </c>
      <c r="BQ396" s="450">
        <v>52327.76</v>
      </c>
      <c r="BR396" s="450">
        <v>8407.58</v>
      </c>
      <c r="BS396" s="615">
        <f t="array" ref="BS396">XLOOKUP(D396,'PL TOTAL XP'!A:A,'PL TOTAL XP'!C:C,"0")</f>
        <v>52525.83</v>
      </c>
      <c r="BT396" s="616"/>
    </row>
    <row r="397" ht="15.75" customHeight="1">
      <c r="A397" s="183" t="s">
        <v>3820</v>
      </c>
      <c r="B397" s="78" t="s">
        <v>4974</v>
      </c>
      <c r="C397" s="617" t="s">
        <v>4975</v>
      </c>
      <c r="D397" s="522">
        <v>4719236.0</v>
      </c>
      <c r="E397" s="522" t="s">
        <v>18</v>
      </c>
      <c r="F397" s="522" t="s">
        <v>29</v>
      </c>
      <c r="G397" s="522" t="s">
        <v>3827</v>
      </c>
      <c r="H397" s="522" t="str">
        <f>IFERROR(VLOOKUP(G397,'Cadastro de assessores'!A:B,2,FALSE),"Não Cadastrado")</f>
        <v>17679</v>
      </c>
      <c r="I397" s="522"/>
      <c r="J397" s="51" t="s">
        <v>186</v>
      </c>
      <c r="K397" s="522" t="s">
        <v>2563</v>
      </c>
      <c r="L397" s="618">
        <v>44196.0</v>
      </c>
      <c r="M397" s="618">
        <v>44196.0</v>
      </c>
      <c r="N397" s="619">
        <v>44428.0</v>
      </c>
      <c r="O397" s="522" t="s">
        <v>3834</v>
      </c>
      <c r="P397" s="612">
        <v>0.007</v>
      </c>
      <c r="Q397" s="620" t="s">
        <v>4976</v>
      </c>
      <c r="R397" s="613"/>
      <c r="S397" s="522" t="str">
        <f t="shared" si="42"/>
        <v>Não Qualificado</v>
      </c>
      <c r="T397" s="522" t="s">
        <v>108</v>
      </c>
      <c r="U397" s="522" t="s">
        <v>4240</v>
      </c>
      <c r="V397" s="522" t="s">
        <v>3672</v>
      </c>
      <c r="W397" s="614"/>
      <c r="X397" s="614"/>
      <c r="Y397" s="614"/>
      <c r="Z397" s="614"/>
      <c r="AA397" s="614"/>
      <c r="AB397" s="614"/>
      <c r="AC397" s="614"/>
      <c r="AD397" s="614"/>
      <c r="AE397" s="614"/>
      <c r="AF397" s="614"/>
      <c r="AG397" s="614"/>
      <c r="AH397" s="614"/>
      <c r="AI397" s="614"/>
      <c r="AJ397" s="614"/>
      <c r="AK397" s="450"/>
      <c r="AL397" s="450">
        <v>64189.17</v>
      </c>
      <c r="AM397" s="450">
        <v>78769.93</v>
      </c>
      <c r="AN397" s="450">
        <v>78738.98</v>
      </c>
      <c r="AO397" s="450">
        <v>81266.49</v>
      </c>
      <c r="AP397" s="450">
        <v>80444.93</v>
      </c>
      <c r="AQ397" s="450">
        <v>80135.98</v>
      </c>
      <c r="AR397" s="450">
        <v>81919.73</v>
      </c>
      <c r="AS397" s="450">
        <v>81315.16</v>
      </c>
      <c r="AT397" s="450">
        <v>79432.33</v>
      </c>
      <c r="AU397" s="450"/>
      <c r="AV397" s="450"/>
      <c r="AW397" s="450"/>
      <c r="AX397" s="450"/>
      <c r="AY397" s="450"/>
      <c r="AZ397" s="450"/>
      <c r="BA397" s="450">
        <v>0.0</v>
      </c>
      <c r="BB397" s="450">
        <v>0.0</v>
      </c>
      <c r="BC397" s="450">
        <v>59935.9</v>
      </c>
      <c r="BD397" s="450" t="s">
        <v>2566</v>
      </c>
      <c r="BE397" s="450" t="s">
        <v>2566</v>
      </c>
      <c r="BF397" s="450">
        <v>0.0</v>
      </c>
      <c r="BG397" s="450">
        <v>0.0</v>
      </c>
      <c r="BH397" s="450">
        <v>0.0</v>
      </c>
      <c r="BI397" s="450">
        <v>0.0</v>
      </c>
      <c r="BJ397" s="450">
        <v>0.0</v>
      </c>
      <c r="BK397" s="450">
        <v>0.0</v>
      </c>
      <c r="BL397" s="450">
        <v>0.0</v>
      </c>
      <c r="BM397" s="450">
        <v>0.0</v>
      </c>
      <c r="BN397" s="450">
        <v>0.0</v>
      </c>
      <c r="BO397" s="450">
        <v>0.0</v>
      </c>
      <c r="BP397" s="450">
        <v>0.0</v>
      </c>
      <c r="BQ397" s="450">
        <v>0.0</v>
      </c>
      <c r="BR397" s="450">
        <v>0.0</v>
      </c>
      <c r="BS397" s="615" t="str">
        <f t="array" ref="BS397">XLOOKUP(D397,'PL TOTAL XP'!A:A,'PL TOTAL XP'!C:C,"0")</f>
        <v>0</v>
      </c>
      <c r="BT397" s="616"/>
    </row>
    <row r="398" ht="15.75" customHeight="1">
      <c r="A398" s="183" t="s">
        <v>3820</v>
      </c>
      <c r="B398" s="78" t="s">
        <v>4977</v>
      </c>
      <c r="C398" s="617" t="s">
        <v>4978</v>
      </c>
      <c r="D398" s="522">
        <v>2749522.0</v>
      </c>
      <c r="E398" s="522" t="s">
        <v>105</v>
      </c>
      <c r="F398" s="522" t="s">
        <v>29</v>
      </c>
      <c r="G398" s="522" t="s">
        <v>3873</v>
      </c>
      <c r="H398" s="522" t="str">
        <f>IFERROR(VLOOKUP(G398,'Cadastro de assessores'!A:B,2,FALSE),"Não Cadastrado")</f>
        <v>12624</v>
      </c>
      <c r="I398" s="522"/>
      <c r="J398" s="46" t="s">
        <v>107</v>
      </c>
      <c r="K398" s="522" t="s">
        <v>107</v>
      </c>
      <c r="L398" s="618">
        <v>44771.0</v>
      </c>
      <c r="M398" s="618">
        <v>44771.0</v>
      </c>
      <c r="N398" s="619"/>
      <c r="O398" s="522" t="s">
        <v>3834</v>
      </c>
      <c r="P398" s="612">
        <v>0.007</v>
      </c>
      <c r="Q398" s="620"/>
      <c r="R398" s="613"/>
      <c r="S398" s="522"/>
      <c r="T398" s="522" t="s">
        <v>108</v>
      </c>
      <c r="U398" s="522" t="s">
        <v>2942</v>
      </c>
      <c r="V398" s="522" t="s">
        <v>29</v>
      </c>
      <c r="W398" s="614"/>
      <c r="X398" s="614"/>
      <c r="Y398" s="614"/>
      <c r="Z398" s="614"/>
      <c r="AA398" s="614"/>
      <c r="AB398" s="614"/>
      <c r="AC398" s="614"/>
      <c r="AD398" s="614"/>
      <c r="AE398" s="614"/>
      <c r="AF398" s="614"/>
      <c r="AG398" s="614"/>
      <c r="AH398" s="614"/>
      <c r="AI398" s="614"/>
      <c r="AJ398" s="614"/>
      <c r="AK398" s="450"/>
      <c r="AL398" s="450"/>
      <c r="AM398" s="450"/>
      <c r="AN398" s="450"/>
      <c r="AO398" s="450"/>
      <c r="AP398" s="450"/>
      <c r="AQ398" s="450"/>
      <c r="AR398" s="450"/>
      <c r="AS398" s="450"/>
      <c r="AT398" s="450"/>
      <c r="AU398" s="450"/>
      <c r="AV398" s="450"/>
      <c r="AW398" s="450"/>
      <c r="AX398" s="450"/>
      <c r="AY398" s="450"/>
      <c r="AZ398" s="450"/>
      <c r="BA398" s="450"/>
      <c r="BB398" s="450"/>
      <c r="BC398" s="450"/>
      <c r="BD398" s="450"/>
      <c r="BE398" s="450"/>
      <c r="BF398" s="450">
        <v>682062.64</v>
      </c>
      <c r="BG398" s="450">
        <v>699173.0598</v>
      </c>
      <c r="BH398" s="450">
        <v>698099.3</v>
      </c>
      <c r="BI398" s="450">
        <v>706817.1</v>
      </c>
      <c r="BJ398" s="450">
        <v>706887.92</v>
      </c>
      <c r="BK398" s="450">
        <v>713019.99</v>
      </c>
      <c r="BL398" s="450">
        <v>720021.13</v>
      </c>
      <c r="BM398" s="450">
        <v>724235.35</v>
      </c>
      <c r="BN398" s="450">
        <v>733275.55</v>
      </c>
      <c r="BO398" s="450">
        <v>739349.58</v>
      </c>
      <c r="BP398" s="450">
        <v>746938.93</v>
      </c>
      <c r="BQ398" s="450">
        <v>752829.53</v>
      </c>
      <c r="BR398" s="450">
        <v>285145.68</v>
      </c>
      <c r="BS398" s="615">
        <f t="array" ref="BS398">XLOOKUP(D398,'PL TOTAL XP'!A:A,'PL TOTAL XP'!C:C,"0")</f>
        <v>798584.36</v>
      </c>
      <c r="BT398" s="616"/>
    </row>
    <row r="399" ht="15.75" customHeight="1">
      <c r="A399" s="183" t="s">
        <v>3820</v>
      </c>
      <c r="B399" s="78" t="s">
        <v>4979</v>
      </c>
      <c r="C399" s="564" t="s">
        <v>4980</v>
      </c>
      <c r="D399" s="511">
        <v>5606475.0</v>
      </c>
      <c r="E399" s="522" t="s">
        <v>18</v>
      </c>
      <c r="F399" s="511" t="s">
        <v>19</v>
      </c>
      <c r="G399" s="566" t="s">
        <v>4808</v>
      </c>
      <c r="H399" s="566" t="str">
        <f>IFERROR(VLOOKUP(G399,'Cadastro de assessores'!A:B,2,FALSE),"Não Cadastrado")</f>
        <v>1275</v>
      </c>
      <c r="I399" s="566"/>
      <c r="J399" s="51" t="s">
        <v>186</v>
      </c>
      <c r="K399" s="522" t="s">
        <v>2563</v>
      </c>
      <c r="L399" s="619">
        <v>44364.0</v>
      </c>
      <c r="M399" s="619">
        <v>44364.0</v>
      </c>
      <c r="N399" s="619">
        <v>44803.0</v>
      </c>
      <c r="O399" s="522" t="s">
        <v>3828</v>
      </c>
      <c r="P399" s="612">
        <v>0.015</v>
      </c>
      <c r="Q399" s="224" t="s">
        <v>4135</v>
      </c>
      <c r="R399" s="613"/>
      <c r="S399" s="522" t="str">
        <f t="shared" ref="S399:S414" si="43">IF(BC399&lt;=0,"",IF(BC399&lt;=1000000,"Não Qualificado",IF(AND(BC399&gt;1000000,BC399&lt;=10000000),"Qualificado","Profissional")))</f>
        <v>Não Qualificado</v>
      </c>
      <c r="T399" s="522" t="s">
        <v>108</v>
      </c>
      <c r="U399" s="566" t="s">
        <v>4981</v>
      </c>
      <c r="V399" s="566" t="s">
        <v>34</v>
      </c>
      <c r="W399" s="468"/>
      <c r="X399" s="468"/>
      <c r="Y399" s="468"/>
      <c r="Z399" s="468"/>
      <c r="AA399" s="468"/>
      <c r="AB399" s="468"/>
      <c r="AC399" s="468"/>
      <c r="AD399" s="468"/>
      <c r="AE399" s="468"/>
      <c r="AF399" s="468"/>
      <c r="AG399" s="468"/>
      <c r="AH399" s="468"/>
      <c r="AI399" s="468"/>
      <c r="AJ399" s="468"/>
      <c r="AK399" s="450"/>
      <c r="AL399" s="450"/>
      <c r="AM399" s="450"/>
      <c r="AN399" s="450"/>
      <c r="AO399" s="450"/>
      <c r="AP399" s="450"/>
      <c r="AQ399" s="468"/>
      <c r="AR399" s="449"/>
      <c r="AS399" s="450">
        <v>493850.64</v>
      </c>
      <c r="AT399" s="450">
        <v>484401.99</v>
      </c>
      <c r="AU399" s="450">
        <v>481150.35</v>
      </c>
      <c r="AV399" s="450">
        <v>472668.29</v>
      </c>
      <c r="AW399" s="450">
        <v>457668.06</v>
      </c>
      <c r="AX399" s="450">
        <v>457278.98</v>
      </c>
      <c r="AY399" s="450">
        <v>462815.38</v>
      </c>
      <c r="AZ399" s="450">
        <v>475308.69</v>
      </c>
      <c r="BA399" s="450">
        <v>480169.18</v>
      </c>
      <c r="BB399" s="450">
        <v>495671.17</v>
      </c>
      <c r="BC399" s="450">
        <v>148192.24</v>
      </c>
      <c r="BD399" s="450">
        <v>492052.54</v>
      </c>
      <c r="BE399" s="450">
        <v>490284.7</v>
      </c>
      <c r="BF399" s="450">
        <v>498174.94</v>
      </c>
      <c r="BG399" s="450">
        <v>500139.3656</v>
      </c>
      <c r="BH399" s="450">
        <v>0.0</v>
      </c>
      <c r="BI399" s="450">
        <v>0.0</v>
      </c>
      <c r="BJ399" s="450">
        <v>0.0</v>
      </c>
      <c r="BK399" s="450">
        <v>0.0</v>
      </c>
      <c r="BL399" s="450">
        <v>0.0</v>
      </c>
      <c r="BM399" s="450">
        <v>0.0</v>
      </c>
      <c r="BN399" s="450">
        <v>0.0</v>
      </c>
      <c r="BO399" s="450">
        <v>0.0</v>
      </c>
      <c r="BP399" s="450">
        <v>0.0</v>
      </c>
      <c r="BQ399" s="450">
        <v>0.0</v>
      </c>
      <c r="BR399" s="450">
        <v>0.0</v>
      </c>
      <c r="BS399" s="615" t="str">
        <f t="array" ref="BS399">XLOOKUP(D399,'PL TOTAL XP'!A:A,'PL TOTAL XP'!C:C,"0")</f>
        <v>0</v>
      </c>
      <c r="BT399" s="616"/>
    </row>
    <row r="400" ht="15.75" customHeight="1">
      <c r="A400" s="183" t="s">
        <v>3820</v>
      </c>
      <c r="B400" s="78" t="s">
        <v>4982</v>
      </c>
      <c r="C400" s="617" t="s">
        <v>4983</v>
      </c>
      <c r="D400" s="522">
        <v>2214585.0</v>
      </c>
      <c r="E400" s="512" t="s">
        <v>105</v>
      </c>
      <c r="F400" s="512" t="s">
        <v>29</v>
      </c>
      <c r="G400" s="512" t="s">
        <v>3993</v>
      </c>
      <c r="H400" s="512" t="str">
        <f>IFERROR(VLOOKUP(G400,'Cadastro de assessores'!A:B,2,FALSE),"Não Cadastrado")</f>
        <v>16459</v>
      </c>
      <c r="I400" s="512"/>
      <c r="J400" s="51" t="s">
        <v>3823</v>
      </c>
      <c r="K400" s="522" t="s">
        <v>107</v>
      </c>
      <c r="L400" s="610">
        <v>44085.0</v>
      </c>
      <c r="M400" s="610">
        <v>44085.0</v>
      </c>
      <c r="N400" s="522"/>
      <c r="O400" s="522" t="s">
        <v>3824</v>
      </c>
      <c r="P400" s="612">
        <v>0.02</v>
      </c>
      <c r="Q400" s="224"/>
      <c r="R400" s="613"/>
      <c r="S400" s="522" t="str">
        <f t="shared" si="43"/>
        <v/>
      </c>
      <c r="T400" s="522" t="s">
        <v>108</v>
      </c>
      <c r="U400" s="522" t="s">
        <v>2580</v>
      </c>
      <c r="V400" s="522" t="s">
        <v>29</v>
      </c>
      <c r="W400" s="614" t="s">
        <v>3830</v>
      </c>
      <c r="X400" s="614" t="s">
        <v>3830</v>
      </c>
      <c r="Y400" s="614" t="s">
        <v>3830</v>
      </c>
      <c r="Z400" s="614" t="s">
        <v>3830</v>
      </c>
      <c r="AA400" s="614" t="s">
        <v>3830</v>
      </c>
      <c r="AB400" s="614" t="s">
        <v>3830</v>
      </c>
      <c r="AC400" s="614" t="s">
        <v>3830</v>
      </c>
      <c r="AD400" s="614" t="s">
        <v>3830</v>
      </c>
      <c r="AE400" s="614" t="s">
        <v>3830</v>
      </c>
      <c r="AF400" s="614" t="s">
        <v>3830</v>
      </c>
      <c r="AG400" s="614" t="s">
        <v>3830</v>
      </c>
      <c r="AH400" s="614" t="s">
        <v>4984</v>
      </c>
      <c r="AI400" s="614" t="s">
        <v>4985</v>
      </c>
      <c r="AJ400" s="614" t="s">
        <v>4986</v>
      </c>
      <c r="AK400" s="450">
        <v>329541.59</v>
      </c>
      <c r="AL400" s="450">
        <v>323910.37</v>
      </c>
      <c r="AM400" s="450">
        <v>305618.18</v>
      </c>
      <c r="AN400" s="683">
        <v>304591.92</v>
      </c>
      <c r="AO400" s="683">
        <v>314935.94</v>
      </c>
      <c r="AP400" s="450">
        <v>316992.38</v>
      </c>
      <c r="AQ400" s="450">
        <v>315428.74</v>
      </c>
      <c r="AR400" s="450">
        <v>324334.32</v>
      </c>
      <c r="AS400" s="450">
        <v>320763.01</v>
      </c>
      <c r="AT400" s="450">
        <v>310131.47</v>
      </c>
      <c r="AU400" s="450">
        <v>305413.6</v>
      </c>
      <c r="AV400" s="450">
        <v>298473.23</v>
      </c>
      <c r="AW400" s="450">
        <v>280092.54</v>
      </c>
      <c r="AX400" s="450">
        <v>279487.43</v>
      </c>
      <c r="AY400" s="450">
        <v>283761.34</v>
      </c>
      <c r="AZ400" s="450">
        <v>296042.05</v>
      </c>
      <c r="BA400" s="450">
        <v>298101.98</v>
      </c>
      <c r="BB400" s="450">
        <v>312974.65</v>
      </c>
      <c r="BC400" s="450"/>
      <c r="BD400" s="450">
        <v>3535.64</v>
      </c>
      <c r="BE400" s="450">
        <v>141.95</v>
      </c>
      <c r="BF400" s="450">
        <v>141.97</v>
      </c>
      <c r="BG400" s="450">
        <v>383.17</v>
      </c>
      <c r="BH400" s="450">
        <v>383.17</v>
      </c>
      <c r="BI400" s="450">
        <v>383.17</v>
      </c>
      <c r="BJ400" s="450">
        <v>383.17</v>
      </c>
      <c r="BK400" s="450">
        <v>383.17</v>
      </c>
      <c r="BL400" s="450">
        <v>1030.73</v>
      </c>
      <c r="BM400" s="450">
        <v>1038.73</v>
      </c>
      <c r="BN400" s="450">
        <v>1047.58</v>
      </c>
      <c r="BO400" s="450">
        <v>1057.58</v>
      </c>
      <c r="BP400" s="450">
        <v>0.0</v>
      </c>
      <c r="BQ400" s="450">
        <v>0.0</v>
      </c>
      <c r="BR400" s="450">
        <v>0.0</v>
      </c>
      <c r="BS400" s="615">
        <f t="array" ref="BS400">XLOOKUP(D400,'PL TOTAL XP'!A:A,'PL TOTAL XP'!C:C,"0")</f>
        <v>0</v>
      </c>
      <c r="BT400" s="616"/>
    </row>
    <row r="401" ht="15.75" customHeight="1">
      <c r="A401" s="183" t="s">
        <v>3820</v>
      </c>
      <c r="B401" s="78" t="s">
        <v>4987</v>
      </c>
      <c r="C401" s="617" t="s">
        <v>4988</v>
      </c>
      <c r="D401" s="522">
        <v>4911406.0</v>
      </c>
      <c r="E401" s="512" t="s">
        <v>105</v>
      </c>
      <c r="F401" s="512" t="s">
        <v>29</v>
      </c>
      <c r="G401" s="512" t="s">
        <v>3660</v>
      </c>
      <c r="H401" s="512" t="str">
        <f>IFERROR(VLOOKUP(G401,'Cadastro de assessores'!A:B,2,FALSE),"Não Cadastrado")</f>
        <v>14574</v>
      </c>
      <c r="I401" s="512"/>
      <c r="J401" s="51" t="s">
        <v>3823</v>
      </c>
      <c r="K401" s="522" t="s">
        <v>147</v>
      </c>
      <c r="L401" s="522" t="s">
        <v>2600</v>
      </c>
      <c r="M401" s="640" t="s">
        <v>2599</v>
      </c>
      <c r="N401" s="566"/>
      <c r="O401" s="566" t="s">
        <v>3869</v>
      </c>
      <c r="P401" s="612">
        <v>0.008</v>
      </c>
      <c r="Q401" s="224"/>
      <c r="R401" s="613"/>
      <c r="S401" s="522" t="str">
        <f t="shared" si="43"/>
        <v>Não Qualificado</v>
      </c>
      <c r="T401" s="522" t="s">
        <v>108</v>
      </c>
      <c r="U401" s="522" t="s">
        <v>2580</v>
      </c>
      <c r="V401" s="522" t="s">
        <v>29</v>
      </c>
      <c r="W401" s="614"/>
      <c r="X401" s="614"/>
      <c r="Y401" s="614"/>
      <c r="Z401" s="614"/>
      <c r="AA401" s="614"/>
      <c r="AB401" s="614"/>
      <c r="AC401" s="614"/>
      <c r="AD401" s="614"/>
      <c r="AE401" s="614"/>
      <c r="AF401" s="614"/>
      <c r="AG401" s="614"/>
      <c r="AH401" s="614"/>
      <c r="AI401" s="614"/>
      <c r="AJ401" s="614"/>
      <c r="AK401" s="450"/>
      <c r="AL401" s="450"/>
      <c r="AM401" s="450"/>
      <c r="AN401" s="450" t="s">
        <v>2600</v>
      </c>
      <c r="AO401" s="450"/>
      <c r="AP401" s="450"/>
      <c r="AQ401" s="450"/>
      <c r="AR401" s="450"/>
      <c r="AS401" s="450"/>
      <c r="AT401" s="450"/>
      <c r="AU401" s="450"/>
      <c r="AV401" s="450"/>
      <c r="AW401" s="450"/>
      <c r="AX401" s="450"/>
      <c r="AY401" s="450"/>
      <c r="AZ401" s="450"/>
      <c r="BA401" s="450">
        <v>0.0</v>
      </c>
      <c r="BB401" s="450">
        <v>0.0</v>
      </c>
      <c r="BC401" s="450">
        <v>71853.02</v>
      </c>
      <c r="BD401" s="450" t="s">
        <v>2566</v>
      </c>
      <c r="BE401" s="450" t="s">
        <v>2566</v>
      </c>
      <c r="BF401" s="450">
        <v>0.0</v>
      </c>
      <c r="BG401" s="450">
        <v>0.0</v>
      </c>
      <c r="BH401" s="450">
        <v>0.0</v>
      </c>
      <c r="BI401" s="450">
        <v>0.0</v>
      </c>
      <c r="BJ401" s="450">
        <v>0.0</v>
      </c>
      <c r="BK401" s="450">
        <v>0.0</v>
      </c>
      <c r="BL401" s="450">
        <v>0.0</v>
      </c>
      <c r="BM401" s="450">
        <v>0.0</v>
      </c>
      <c r="BN401" s="450">
        <v>0.0</v>
      </c>
      <c r="BO401" s="450">
        <v>0.0</v>
      </c>
      <c r="BP401" s="450">
        <v>0.0</v>
      </c>
      <c r="BQ401" s="450">
        <v>0.0</v>
      </c>
      <c r="BR401" s="450">
        <v>0.0</v>
      </c>
      <c r="BS401" s="615">
        <f t="array" ref="BS401">XLOOKUP(D401,'PL TOTAL XP'!A:A,'PL TOTAL XP'!C:C,"0")</f>
        <v>0</v>
      </c>
      <c r="BT401" s="616"/>
    </row>
    <row r="402" ht="15.75" customHeight="1">
      <c r="A402" s="183" t="s">
        <v>3820</v>
      </c>
      <c r="B402" s="78" t="s">
        <v>4987</v>
      </c>
      <c r="C402" s="617" t="s">
        <v>4988</v>
      </c>
      <c r="D402" s="522">
        <v>4886679.0</v>
      </c>
      <c r="E402" s="522" t="s">
        <v>105</v>
      </c>
      <c r="F402" s="522" t="s">
        <v>29</v>
      </c>
      <c r="G402" s="522" t="s">
        <v>3660</v>
      </c>
      <c r="H402" s="522" t="str">
        <f>IFERROR(VLOOKUP(G402,'Cadastro de assessores'!A:B,2,FALSE),"Não Cadastrado")</f>
        <v>14574</v>
      </c>
      <c r="I402" s="522"/>
      <c r="J402" s="51" t="s">
        <v>186</v>
      </c>
      <c r="K402" s="522" t="s">
        <v>2563</v>
      </c>
      <c r="L402" s="619">
        <v>44256.0</v>
      </c>
      <c r="M402" s="619">
        <v>44256.0</v>
      </c>
      <c r="N402" s="619">
        <v>44691.0</v>
      </c>
      <c r="O402" s="522" t="s">
        <v>3828</v>
      </c>
      <c r="P402" s="612">
        <v>0.015</v>
      </c>
      <c r="Q402" s="224" t="s">
        <v>4989</v>
      </c>
      <c r="R402" s="613"/>
      <c r="S402" s="522" t="str">
        <f t="shared" si="43"/>
        <v/>
      </c>
      <c r="T402" s="522" t="s">
        <v>108</v>
      </c>
      <c r="U402" s="522" t="s">
        <v>2580</v>
      </c>
      <c r="V402" s="522" t="s">
        <v>29</v>
      </c>
      <c r="W402" s="614"/>
      <c r="X402" s="614"/>
      <c r="Y402" s="614"/>
      <c r="Z402" s="614"/>
      <c r="AA402" s="614"/>
      <c r="AB402" s="614"/>
      <c r="AC402" s="614"/>
      <c r="AD402" s="614"/>
      <c r="AE402" s="614"/>
      <c r="AF402" s="614"/>
      <c r="AG402" s="614"/>
      <c r="AH402" s="614"/>
      <c r="AI402" s="614"/>
      <c r="AJ402" s="614"/>
      <c r="AK402" s="450"/>
      <c r="AL402" s="450"/>
      <c r="AM402" s="450"/>
      <c r="AN402" s="450">
        <v>99936.81</v>
      </c>
      <c r="AO402" s="450">
        <v>103199.15</v>
      </c>
      <c r="AP402" s="450">
        <v>193479.34</v>
      </c>
      <c r="AQ402" s="450">
        <v>192699.12</v>
      </c>
      <c r="AR402" s="450">
        <v>196844.75</v>
      </c>
      <c r="AS402" s="450">
        <v>195050.44</v>
      </c>
      <c r="AT402" s="450">
        <v>191427.57</v>
      </c>
      <c r="AU402" s="450">
        <v>190365.51</v>
      </c>
      <c r="AV402" s="450">
        <v>188354.5</v>
      </c>
      <c r="AW402" s="450">
        <v>182255.57</v>
      </c>
      <c r="AX402" s="450">
        <v>181424.57</v>
      </c>
      <c r="AY402" s="450">
        <v>183609.21</v>
      </c>
      <c r="AZ402" s="450">
        <v>188784.73</v>
      </c>
      <c r="BA402" s="450">
        <v>189811.14</v>
      </c>
      <c r="BB402" s="450">
        <v>196985.34</v>
      </c>
      <c r="BC402" s="450"/>
      <c r="BD402" s="450" t="s">
        <v>2566</v>
      </c>
      <c r="BE402" s="450" t="s">
        <v>2566</v>
      </c>
      <c r="BF402" s="450">
        <v>0.0</v>
      </c>
      <c r="BG402" s="450">
        <v>0.0</v>
      </c>
      <c r="BH402" s="450">
        <v>0.0</v>
      </c>
      <c r="BI402" s="450">
        <v>0.0</v>
      </c>
      <c r="BJ402" s="450">
        <v>0.0</v>
      </c>
      <c r="BK402" s="450">
        <v>0.0</v>
      </c>
      <c r="BL402" s="450">
        <v>0.0</v>
      </c>
      <c r="BM402" s="450">
        <v>0.0</v>
      </c>
      <c r="BN402" s="450">
        <v>0.0</v>
      </c>
      <c r="BO402" s="450">
        <v>0.0</v>
      </c>
      <c r="BP402" s="450">
        <v>0.0</v>
      </c>
      <c r="BQ402" s="450">
        <v>0.0</v>
      </c>
      <c r="BR402" s="450">
        <v>0.0</v>
      </c>
      <c r="BS402" s="615" t="str">
        <f t="array" ref="BS402">XLOOKUP(D402,'PL TOTAL XP'!A:A,'PL TOTAL XP'!C:C,"0")</f>
        <v>0</v>
      </c>
      <c r="BT402" s="616"/>
    </row>
    <row r="403" ht="15.75" customHeight="1">
      <c r="A403" s="183" t="s">
        <v>3820</v>
      </c>
      <c r="B403" s="78" t="s">
        <v>1917</v>
      </c>
      <c r="C403" s="564" t="s">
        <v>1914</v>
      </c>
      <c r="D403" s="566">
        <v>6675462.0</v>
      </c>
      <c r="E403" s="512" t="s">
        <v>18</v>
      </c>
      <c r="F403" s="512" t="s">
        <v>19</v>
      </c>
      <c r="G403" s="566" t="s">
        <v>122</v>
      </c>
      <c r="H403" s="512" t="str">
        <f>IFERROR(VLOOKUP(G403,'Cadastro de assessores'!A:B,2,FALSE),"Não Cadastrado")</f>
        <v>18890</v>
      </c>
      <c r="I403" s="512"/>
      <c r="J403" s="51" t="s">
        <v>3823</v>
      </c>
      <c r="K403" s="522" t="s">
        <v>107</v>
      </c>
      <c r="L403" s="610">
        <v>44684.0</v>
      </c>
      <c r="M403" s="610">
        <v>44686.0</v>
      </c>
      <c r="N403" s="566"/>
      <c r="O403" s="566" t="s">
        <v>3836</v>
      </c>
      <c r="P403" s="612">
        <v>0.012</v>
      </c>
      <c r="Q403" s="224" t="s">
        <v>3932</v>
      </c>
      <c r="R403" s="613"/>
      <c r="S403" s="522" t="str">
        <f t="shared" si="43"/>
        <v>Não Qualificado</v>
      </c>
      <c r="T403" s="522" t="s">
        <v>108</v>
      </c>
      <c r="U403" s="522" t="s">
        <v>2652</v>
      </c>
      <c r="V403" s="522" t="s">
        <v>19</v>
      </c>
      <c r="W403" s="614"/>
      <c r="X403" s="614"/>
      <c r="Y403" s="614"/>
      <c r="Z403" s="614"/>
      <c r="AA403" s="614"/>
      <c r="AB403" s="614"/>
      <c r="AC403" s="614"/>
      <c r="AD403" s="614"/>
      <c r="AE403" s="614"/>
      <c r="AF403" s="614"/>
      <c r="AG403" s="614"/>
      <c r="AH403" s="614"/>
      <c r="AI403" s="614"/>
      <c r="AJ403" s="614"/>
      <c r="AK403" s="450"/>
      <c r="AL403" s="450"/>
      <c r="AM403" s="450"/>
      <c r="AN403" s="683"/>
      <c r="AO403" s="683"/>
      <c r="AP403" s="450"/>
      <c r="AQ403" s="450"/>
      <c r="AR403" s="450"/>
      <c r="AS403" s="450"/>
      <c r="AT403" s="450"/>
      <c r="AU403" s="450"/>
      <c r="AV403" s="450"/>
      <c r="AW403" s="450"/>
      <c r="AX403" s="450"/>
      <c r="AY403" s="450"/>
      <c r="AZ403" s="450"/>
      <c r="BA403" s="450"/>
      <c r="BB403" s="450"/>
      <c r="BC403" s="450">
        <v>142663.05</v>
      </c>
      <c r="BD403" s="450">
        <v>101010.38</v>
      </c>
      <c r="BE403" s="450">
        <v>202531.59</v>
      </c>
      <c r="BF403" s="450">
        <v>224769.31</v>
      </c>
      <c r="BG403" s="450">
        <v>276830.1525</v>
      </c>
      <c r="BH403" s="450">
        <v>288757.72</v>
      </c>
      <c r="BI403" s="450">
        <v>291977.32</v>
      </c>
      <c r="BJ403" s="450">
        <v>294469.48</v>
      </c>
      <c r="BK403" s="450">
        <v>297078.7</v>
      </c>
      <c r="BL403" s="450">
        <v>46636.41</v>
      </c>
      <c r="BM403" s="450">
        <v>7.06</v>
      </c>
      <c r="BN403" s="450">
        <v>4.29</v>
      </c>
      <c r="BO403" s="450">
        <v>4.29</v>
      </c>
      <c r="BP403" s="450">
        <v>4.29</v>
      </c>
      <c r="BQ403" s="450">
        <v>4.29</v>
      </c>
      <c r="BR403" s="450">
        <v>4.29</v>
      </c>
      <c r="BS403" s="615">
        <f t="array" ref="BS403">XLOOKUP(D403,'PL TOTAL XP'!A:A,'PL TOTAL XP'!C:C,"0")</f>
        <v>0</v>
      </c>
      <c r="BT403" s="616"/>
    </row>
    <row r="404" ht="15.75" customHeight="1">
      <c r="A404" s="183" t="s">
        <v>3820</v>
      </c>
      <c r="B404" s="78" t="s">
        <v>3355</v>
      </c>
      <c r="C404" s="617" t="s">
        <v>3353</v>
      </c>
      <c r="D404" s="522">
        <v>4457777.0</v>
      </c>
      <c r="E404" s="522" t="s">
        <v>2550</v>
      </c>
      <c r="F404" s="522" t="s">
        <v>29</v>
      </c>
      <c r="G404" s="522" t="s">
        <v>2550</v>
      </c>
      <c r="H404" s="522" t="str">
        <f>IFERROR(VLOOKUP(G404,'Cadastro de assessores'!A:B,2,FALSE),"Não Cadastrado")</f>
        <v>18986</v>
      </c>
      <c r="I404" s="522"/>
      <c r="J404" s="51" t="s">
        <v>186</v>
      </c>
      <c r="K404" s="522" t="s">
        <v>2563</v>
      </c>
      <c r="L404" s="618">
        <v>44151.0</v>
      </c>
      <c r="M404" s="618">
        <v>44151.0</v>
      </c>
      <c r="N404" s="618">
        <v>44543.0</v>
      </c>
      <c r="O404" s="522" t="s">
        <v>3828</v>
      </c>
      <c r="P404" s="612">
        <v>0.015</v>
      </c>
      <c r="Q404" s="224" t="s">
        <v>4990</v>
      </c>
      <c r="R404" s="613"/>
      <c r="S404" s="522" t="str">
        <f t="shared" si="43"/>
        <v>Não Qualificado</v>
      </c>
      <c r="T404" s="522" t="s">
        <v>108</v>
      </c>
      <c r="U404" s="522" t="s">
        <v>3356</v>
      </c>
      <c r="V404" s="522" t="s">
        <v>19</v>
      </c>
      <c r="W404" s="614" t="s">
        <v>3830</v>
      </c>
      <c r="X404" s="614" t="s">
        <v>3830</v>
      </c>
      <c r="Y404" s="614" t="s">
        <v>3830</v>
      </c>
      <c r="Z404" s="614" t="s">
        <v>3830</v>
      </c>
      <c r="AA404" s="614" t="s">
        <v>3830</v>
      </c>
      <c r="AB404" s="614" t="s">
        <v>3830</v>
      </c>
      <c r="AC404" s="614" t="s">
        <v>3830</v>
      </c>
      <c r="AD404" s="614" t="s">
        <v>3830</v>
      </c>
      <c r="AE404" s="614" t="s">
        <v>3830</v>
      </c>
      <c r="AF404" s="614" t="s">
        <v>3830</v>
      </c>
      <c r="AG404" s="614" t="s">
        <v>3830</v>
      </c>
      <c r="AH404" s="614" t="s">
        <v>3830</v>
      </c>
      <c r="AI404" s="614" t="s">
        <v>3830</v>
      </c>
      <c r="AJ404" s="614" t="s">
        <v>4991</v>
      </c>
      <c r="AK404" s="450">
        <v>77147.06</v>
      </c>
      <c r="AL404" s="450">
        <v>98750.86</v>
      </c>
      <c r="AM404" s="450">
        <v>95541.36</v>
      </c>
      <c r="AN404" s="450">
        <v>95598.63</v>
      </c>
      <c r="AO404" s="450">
        <v>98267.16</v>
      </c>
      <c r="AP404" s="450">
        <v>98765.11</v>
      </c>
      <c r="AQ404" s="450">
        <v>98364.61</v>
      </c>
      <c r="AR404" s="450">
        <v>100527.93</v>
      </c>
      <c r="AS404" s="450">
        <v>101374.6</v>
      </c>
      <c r="AT404" s="450">
        <v>99517.12</v>
      </c>
      <c r="AU404" s="450">
        <v>99949.7</v>
      </c>
      <c r="AV404" s="450">
        <v>98292.38</v>
      </c>
      <c r="AW404" s="450">
        <v>94877.06</v>
      </c>
      <c r="AX404" s="450">
        <v>76660.54</v>
      </c>
      <c r="AY404" s="450"/>
      <c r="AZ404" s="450"/>
      <c r="BA404" s="450">
        <v>0.0</v>
      </c>
      <c r="BB404" s="450">
        <v>0.0</v>
      </c>
      <c r="BC404" s="450">
        <v>312735.04</v>
      </c>
      <c r="BD404" s="450" t="s">
        <v>2566</v>
      </c>
      <c r="BE404" s="450" t="s">
        <v>2566</v>
      </c>
      <c r="BF404" s="450">
        <v>0.0</v>
      </c>
      <c r="BG404" s="450">
        <v>0.0</v>
      </c>
      <c r="BH404" s="450">
        <v>0.0</v>
      </c>
      <c r="BI404" s="450">
        <v>0.0</v>
      </c>
      <c r="BJ404" s="450">
        <v>0.0</v>
      </c>
      <c r="BK404" s="450">
        <v>0.0</v>
      </c>
      <c r="BL404" s="450">
        <v>0.0</v>
      </c>
      <c r="BM404" s="450">
        <v>0.0</v>
      </c>
      <c r="BN404" s="450">
        <v>0.0</v>
      </c>
      <c r="BO404" s="450">
        <v>0.0</v>
      </c>
      <c r="BP404" s="450">
        <v>0.0</v>
      </c>
      <c r="BQ404" s="450">
        <v>0.0</v>
      </c>
      <c r="BR404" s="450">
        <v>0.0</v>
      </c>
      <c r="BS404" s="615" t="str">
        <f t="array" ref="BS404">XLOOKUP(D404,'PL TOTAL XP'!A:A,'PL TOTAL XP'!C:C,"0")</f>
        <v>0</v>
      </c>
      <c r="BT404" s="616"/>
    </row>
    <row r="405" ht="15.75" customHeight="1">
      <c r="A405" s="183" t="s">
        <v>3820</v>
      </c>
      <c r="B405" s="78" t="s">
        <v>1933</v>
      </c>
      <c r="C405" s="645" t="s">
        <v>1931</v>
      </c>
      <c r="D405" s="566">
        <v>7514118.0</v>
      </c>
      <c r="E405" s="512" t="s">
        <v>18</v>
      </c>
      <c r="F405" s="609" t="s">
        <v>19</v>
      </c>
      <c r="G405" s="627" t="s">
        <v>256</v>
      </c>
      <c r="H405" s="566" t="str">
        <f>IFERROR(VLOOKUP(G405,'Cadastro de assessores'!A:B,2,FALSE),"Não Cadastrado")</f>
        <v>18009</v>
      </c>
      <c r="I405" s="566"/>
      <c r="J405" s="51" t="s">
        <v>3823</v>
      </c>
      <c r="K405" s="522" t="s">
        <v>107</v>
      </c>
      <c r="L405" s="610">
        <v>44564.0</v>
      </c>
      <c r="M405" s="610">
        <v>44572.0</v>
      </c>
      <c r="N405" s="566"/>
      <c r="O405" s="566" t="s">
        <v>3834</v>
      </c>
      <c r="P405" s="612">
        <v>0.007</v>
      </c>
      <c r="Q405" s="224"/>
      <c r="R405" s="613"/>
      <c r="S405" s="522" t="str">
        <f t="shared" si="43"/>
        <v/>
      </c>
      <c r="T405" s="522" t="s">
        <v>369</v>
      </c>
      <c r="U405" s="522" t="s">
        <v>2652</v>
      </c>
      <c r="V405" s="522" t="s">
        <v>19</v>
      </c>
      <c r="W405" s="614"/>
      <c r="X405" s="614"/>
      <c r="Y405" s="468"/>
      <c r="Z405" s="468"/>
      <c r="AA405" s="468"/>
      <c r="AB405" s="468"/>
      <c r="AC405" s="468"/>
      <c r="AD405" s="468"/>
      <c r="AE405" s="468"/>
      <c r="AF405" s="468"/>
      <c r="AG405" s="468"/>
      <c r="AH405" s="468"/>
      <c r="AI405" s="468"/>
      <c r="AJ405" s="450"/>
      <c r="AK405" s="450"/>
      <c r="AL405" s="683"/>
      <c r="AM405" s="683"/>
      <c r="AN405" s="450"/>
      <c r="AO405" s="450"/>
      <c r="AP405" s="468"/>
      <c r="AQ405" s="449"/>
      <c r="AR405" s="450"/>
      <c r="AS405" s="450"/>
      <c r="AT405" s="450"/>
      <c r="AU405" s="450"/>
      <c r="AV405" s="450"/>
      <c r="AW405" s="450"/>
      <c r="AX405" s="468"/>
      <c r="AY405" s="468"/>
      <c r="AZ405" s="634">
        <v>281805.66</v>
      </c>
      <c r="BA405" s="634">
        <v>1010363.11</v>
      </c>
      <c r="BB405" s="634">
        <v>1023239.7</v>
      </c>
      <c r="BC405" s="634"/>
      <c r="BD405" s="450">
        <v>1134569.05</v>
      </c>
      <c r="BE405" s="450">
        <v>1208265.9</v>
      </c>
      <c r="BF405" s="450">
        <v>1220736.4</v>
      </c>
      <c r="BG405" s="450">
        <v>1227981.592</v>
      </c>
      <c r="BH405" s="450">
        <v>1233107.77</v>
      </c>
      <c r="BI405" s="450">
        <v>1305804.06</v>
      </c>
      <c r="BJ405" s="450">
        <v>1317450.88</v>
      </c>
      <c r="BK405" s="450">
        <v>1328926.45</v>
      </c>
      <c r="BL405" s="450">
        <v>1339751.03</v>
      </c>
      <c r="BM405" s="450">
        <v>545.21</v>
      </c>
      <c r="BN405" s="450">
        <v>506.66</v>
      </c>
      <c r="BO405" s="450">
        <v>0.0</v>
      </c>
      <c r="BP405" s="450">
        <v>0.0</v>
      </c>
      <c r="BQ405" s="450">
        <v>0.0</v>
      </c>
      <c r="BR405" s="450">
        <v>0.0</v>
      </c>
      <c r="BS405" s="615">
        <f t="array" ref="BS405">XLOOKUP(D405,'PL TOTAL XP'!A:A,'PL TOTAL XP'!C:C,"0")</f>
        <v>0</v>
      </c>
      <c r="BT405" s="616"/>
    </row>
    <row r="406" ht="15.75" customHeight="1">
      <c r="A406" s="183" t="s">
        <v>3820</v>
      </c>
      <c r="B406" s="78" t="s">
        <v>1933</v>
      </c>
      <c r="C406" s="564" t="s">
        <v>1931</v>
      </c>
      <c r="D406" s="623">
        <v>7605641.0</v>
      </c>
      <c r="E406" s="512" t="s">
        <v>18</v>
      </c>
      <c r="F406" s="609" t="s">
        <v>19</v>
      </c>
      <c r="G406" s="627" t="s">
        <v>256</v>
      </c>
      <c r="H406" s="566" t="str">
        <f>IFERROR(VLOOKUP(G406,'Cadastro de assessores'!A:B,2,FALSE),"Não Cadastrado")</f>
        <v>18009</v>
      </c>
      <c r="I406" s="566"/>
      <c r="J406" s="51" t="s">
        <v>3823</v>
      </c>
      <c r="K406" s="522" t="s">
        <v>107</v>
      </c>
      <c r="L406" s="624">
        <v>44669.0</v>
      </c>
      <c r="M406" s="624">
        <v>44669.0</v>
      </c>
      <c r="N406" s="566"/>
      <c r="O406" s="566" t="s">
        <v>3834</v>
      </c>
      <c r="P406" s="612">
        <v>0.007</v>
      </c>
      <c r="Q406" s="224"/>
      <c r="R406" s="613"/>
      <c r="S406" s="522" t="str">
        <f t="shared" si="43"/>
        <v>Não Qualificado</v>
      </c>
      <c r="T406" s="522" t="s">
        <v>369</v>
      </c>
      <c r="U406" s="522" t="s">
        <v>2652</v>
      </c>
      <c r="V406" s="522" t="s">
        <v>19</v>
      </c>
      <c r="W406" s="614"/>
      <c r="X406" s="614"/>
      <c r="Y406" s="468"/>
      <c r="Z406" s="468"/>
      <c r="AA406" s="468"/>
      <c r="AB406" s="468"/>
      <c r="AC406" s="468"/>
      <c r="AD406" s="468"/>
      <c r="AE406" s="468"/>
      <c r="AF406" s="468"/>
      <c r="AG406" s="468"/>
      <c r="AH406" s="468"/>
      <c r="AI406" s="468"/>
      <c r="AJ406" s="468"/>
      <c r="AK406" s="450"/>
      <c r="AL406" s="450"/>
      <c r="AM406" s="683"/>
      <c r="AN406" s="683"/>
      <c r="AO406" s="450"/>
      <c r="AP406" s="450"/>
      <c r="AQ406" s="468"/>
      <c r="AR406" s="449"/>
      <c r="AS406" s="450"/>
      <c r="AT406" s="450"/>
      <c r="AU406" s="450"/>
      <c r="AV406" s="450"/>
      <c r="AW406" s="450"/>
      <c r="AX406" s="450"/>
      <c r="AY406" s="450"/>
      <c r="AZ406" s="450"/>
      <c r="BA406" s="450"/>
      <c r="BB406" s="450">
        <v>0.0</v>
      </c>
      <c r="BC406" s="450">
        <v>353922.44</v>
      </c>
      <c r="BD406" s="450">
        <v>1516608.45</v>
      </c>
      <c r="BE406" s="450">
        <v>1532582.45</v>
      </c>
      <c r="BF406" s="450">
        <v>1544067.12</v>
      </c>
      <c r="BG406" s="450">
        <v>1554830.861</v>
      </c>
      <c r="BH406" s="450">
        <v>1564026.26</v>
      </c>
      <c r="BI406" s="450">
        <v>1576162.9</v>
      </c>
      <c r="BJ406" s="450">
        <v>1590647.67</v>
      </c>
      <c r="BK406" s="450">
        <v>1604475.64</v>
      </c>
      <c r="BL406" s="450">
        <v>1623294.72</v>
      </c>
      <c r="BM406" s="450">
        <v>0.35</v>
      </c>
      <c r="BN406" s="450">
        <v>1.67</v>
      </c>
      <c r="BO406" s="450">
        <v>0.0</v>
      </c>
      <c r="BP406" s="450">
        <v>0.0</v>
      </c>
      <c r="BQ406" s="450">
        <v>0.0</v>
      </c>
      <c r="BR406" s="450">
        <v>0.0</v>
      </c>
      <c r="BS406" s="615">
        <f t="array" ref="BS406">XLOOKUP(D406,'PL TOTAL XP'!A:A,'PL TOTAL XP'!C:C,"0")</f>
        <v>0</v>
      </c>
      <c r="BT406" s="616"/>
    </row>
    <row r="407" ht="15.75" customHeight="1">
      <c r="A407" s="183" t="s">
        <v>3820</v>
      </c>
      <c r="B407" s="78" t="s">
        <v>4992</v>
      </c>
      <c r="C407" s="564" t="s">
        <v>4993</v>
      </c>
      <c r="D407" s="566">
        <v>515215.0</v>
      </c>
      <c r="E407" s="512" t="s">
        <v>18</v>
      </c>
      <c r="F407" s="609" t="s">
        <v>19</v>
      </c>
      <c r="G407" s="512" t="s">
        <v>256</v>
      </c>
      <c r="H407" s="566" t="str">
        <f>IFERROR(VLOOKUP(G407,'Cadastro de assessores'!A:B,2,FALSE),"Não Cadastrado")</f>
        <v>18009</v>
      </c>
      <c r="I407" s="566"/>
      <c r="J407" s="51" t="s">
        <v>3823</v>
      </c>
      <c r="K407" s="522" t="s">
        <v>147</v>
      </c>
      <c r="L407" s="610">
        <v>44349.0</v>
      </c>
      <c r="M407" s="610">
        <v>44349.0</v>
      </c>
      <c r="N407" s="522"/>
      <c r="O407" s="522" t="s">
        <v>4029</v>
      </c>
      <c r="P407" s="612">
        <v>0.02</v>
      </c>
      <c r="Q407" s="224" t="s">
        <v>4994</v>
      </c>
      <c r="R407" s="613"/>
      <c r="S407" s="522" t="str">
        <f t="shared" si="43"/>
        <v/>
      </c>
      <c r="T407" s="566" t="s">
        <v>108</v>
      </c>
      <c r="U407" s="566" t="s">
        <v>4112</v>
      </c>
      <c r="V407" s="566" t="s">
        <v>152</v>
      </c>
      <c r="W407" s="468"/>
      <c r="X407" s="468"/>
      <c r="Y407" s="468"/>
      <c r="Z407" s="468"/>
      <c r="AA407" s="468"/>
      <c r="AB407" s="468"/>
      <c r="AC407" s="468"/>
      <c r="AD407" s="468"/>
      <c r="AE407" s="468"/>
      <c r="AF407" s="468"/>
      <c r="AG407" s="468"/>
      <c r="AH407" s="468"/>
      <c r="AI407" s="468"/>
      <c r="AJ407" s="468"/>
      <c r="AK407" s="450"/>
      <c r="AL407" s="450"/>
      <c r="AM407" s="683"/>
      <c r="AN407" s="683"/>
      <c r="AO407" s="450"/>
      <c r="AP407" s="450"/>
      <c r="AQ407" s="468"/>
      <c r="AR407" s="449"/>
      <c r="AS407" s="450">
        <v>74917.16</v>
      </c>
      <c r="AT407" s="450">
        <v>74785.83</v>
      </c>
      <c r="AU407" s="450">
        <v>0.02</v>
      </c>
      <c r="AV407" s="450">
        <v>-29.5</v>
      </c>
      <c r="AW407" s="450"/>
      <c r="AX407" s="450"/>
      <c r="AY407" s="450"/>
      <c r="AZ407" s="450"/>
      <c r="BA407" s="450">
        <v>0.0</v>
      </c>
      <c r="BB407" s="450">
        <v>0.0</v>
      </c>
      <c r="BC407" s="450"/>
      <c r="BD407" s="450">
        <v>-29.5</v>
      </c>
      <c r="BE407" s="450" t="s">
        <v>2566</v>
      </c>
      <c r="BF407" s="450">
        <v>-29.5</v>
      </c>
      <c r="BG407" s="450">
        <v>20.5</v>
      </c>
      <c r="BH407" s="450">
        <v>20.5</v>
      </c>
      <c r="BI407" s="450">
        <v>20.5</v>
      </c>
      <c r="BJ407" s="450">
        <v>20.5</v>
      </c>
      <c r="BK407" s="450">
        <v>20.5</v>
      </c>
      <c r="BL407" s="450">
        <v>20.5</v>
      </c>
      <c r="BM407" s="450">
        <v>20.5</v>
      </c>
      <c r="BN407" s="450">
        <v>0.0</v>
      </c>
      <c r="BO407" s="450">
        <v>20.5</v>
      </c>
      <c r="BP407" s="450">
        <v>20.5</v>
      </c>
      <c r="BQ407" s="450">
        <v>20.5</v>
      </c>
      <c r="BR407" s="450">
        <v>20.5</v>
      </c>
      <c r="BS407" s="615">
        <f t="array" ref="BS407">XLOOKUP(D407,'PL TOTAL XP'!A:A,'PL TOTAL XP'!C:C,"0")</f>
        <v>0</v>
      </c>
      <c r="BT407" s="616"/>
    </row>
    <row r="408" ht="15.75" customHeight="1">
      <c r="A408" s="183" t="s">
        <v>3820</v>
      </c>
      <c r="B408" s="78" t="s">
        <v>4995</v>
      </c>
      <c r="C408" s="564" t="s">
        <v>4996</v>
      </c>
      <c r="D408" s="566">
        <v>6403193.0</v>
      </c>
      <c r="E408" s="522" t="s">
        <v>18</v>
      </c>
      <c r="F408" s="511" t="s">
        <v>29</v>
      </c>
      <c r="G408" s="511" t="s">
        <v>4358</v>
      </c>
      <c r="H408" s="511" t="str">
        <f>IFERROR(VLOOKUP(G408,'Cadastro de assessores'!A:B,2,FALSE),"Não Cadastrado")</f>
        <v>16130</v>
      </c>
      <c r="I408" s="511"/>
      <c r="J408" s="51" t="s">
        <v>186</v>
      </c>
      <c r="K408" s="522" t="s">
        <v>2563</v>
      </c>
      <c r="L408" s="567">
        <v>44434.0</v>
      </c>
      <c r="M408" s="567">
        <v>44434.0</v>
      </c>
      <c r="N408" s="567">
        <v>44764.0</v>
      </c>
      <c r="O408" s="566" t="s">
        <v>3834</v>
      </c>
      <c r="P408" s="612">
        <v>0.007</v>
      </c>
      <c r="Q408" s="224" t="s">
        <v>4997</v>
      </c>
      <c r="R408" s="613"/>
      <c r="S408" s="522" t="str">
        <f t="shared" si="43"/>
        <v>Qualificado</v>
      </c>
      <c r="T408" s="566" t="s">
        <v>108</v>
      </c>
      <c r="U408" s="566" t="s">
        <v>2614</v>
      </c>
      <c r="V408" s="522" t="s">
        <v>19</v>
      </c>
      <c r="W408" s="468"/>
      <c r="X408" s="468"/>
      <c r="Y408" s="468"/>
      <c r="Z408" s="468"/>
      <c r="AA408" s="468"/>
      <c r="AB408" s="468"/>
      <c r="AC408" s="468"/>
      <c r="AD408" s="468"/>
      <c r="AE408" s="468"/>
      <c r="AF408" s="468"/>
      <c r="AG408" s="468"/>
      <c r="AH408" s="614"/>
      <c r="AI408" s="614"/>
      <c r="AJ408" s="450"/>
      <c r="AK408" s="450"/>
      <c r="AL408" s="450"/>
      <c r="AM408" s="450"/>
      <c r="AN408" s="450"/>
      <c r="AO408" s="450"/>
      <c r="AP408" s="450"/>
      <c r="AQ408" s="450"/>
      <c r="AR408" s="450"/>
      <c r="AS408" s="634"/>
      <c r="AT408" s="449"/>
      <c r="AU408" s="449">
        <v>100081.55</v>
      </c>
      <c r="AV408" s="450">
        <v>401052.66</v>
      </c>
      <c r="AW408" s="450">
        <v>404053.61</v>
      </c>
      <c r="AX408" s="450">
        <v>407585.7</v>
      </c>
      <c r="AY408" s="450">
        <v>511876.18</v>
      </c>
      <c r="AZ408" s="450">
        <v>516222.95</v>
      </c>
      <c r="BA408" s="450">
        <v>519805.21</v>
      </c>
      <c r="BB408" s="450">
        <v>525820.66</v>
      </c>
      <c r="BC408" s="450">
        <v>1602506.14</v>
      </c>
      <c r="BD408" s="450">
        <v>537710.94</v>
      </c>
      <c r="BE408" s="450">
        <v>542394.89</v>
      </c>
      <c r="BF408" s="450">
        <v>0.0</v>
      </c>
      <c r="BG408" s="450">
        <v>0.0</v>
      </c>
      <c r="BH408" s="450">
        <v>0.0</v>
      </c>
      <c r="BI408" s="450">
        <v>0.0</v>
      </c>
      <c r="BJ408" s="450">
        <v>0.0</v>
      </c>
      <c r="BK408" s="450">
        <v>0.0</v>
      </c>
      <c r="BL408" s="450">
        <v>0.0</v>
      </c>
      <c r="BM408" s="450">
        <v>0.0</v>
      </c>
      <c r="BN408" s="450">
        <v>0.0</v>
      </c>
      <c r="BO408" s="450">
        <v>0.0</v>
      </c>
      <c r="BP408" s="450">
        <v>0.0</v>
      </c>
      <c r="BQ408" s="450">
        <v>0.0</v>
      </c>
      <c r="BR408" s="450">
        <v>0.0</v>
      </c>
      <c r="BS408" s="615" t="str">
        <f t="array" ref="BS408">XLOOKUP(D408,'PL TOTAL XP'!A:A,'PL TOTAL XP'!C:C,"0")</f>
        <v>0</v>
      </c>
      <c r="BT408" s="616"/>
    </row>
    <row r="409" ht="15.75" customHeight="1">
      <c r="A409" s="183" t="s">
        <v>3820</v>
      </c>
      <c r="B409" s="78" t="s">
        <v>3360</v>
      </c>
      <c r="C409" s="617" t="s">
        <v>3357</v>
      </c>
      <c r="D409" s="522">
        <v>490973.0</v>
      </c>
      <c r="E409" s="512" t="s">
        <v>18</v>
      </c>
      <c r="F409" s="512" t="s">
        <v>29</v>
      </c>
      <c r="G409" s="512" t="s">
        <v>704</v>
      </c>
      <c r="H409" s="512" t="str">
        <f>IFERROR(VLOOKUP(G409,'Cadastro de assessores'!A:B,2,FALSE),"Não Cadastrado")</f>
        <v>18467</v>
      </c>
      <c r="I409" s="512"/>
      <c r="J409" s="51" t="s">
        <v>3823</v>
      </c>
      <c r="K409" s="522" t="s">
        <v>107</v>
      </c>
      <c r="L409" s="610">
        <v>43685.0</v>
      </c>
      <c r="M409" s="610">
        <v>43690.0</v>
      </c>
      <c r="N409" s="522"/>
      <c r="O409" s="522" t="s">
        <v>3824</v>
      </c>
      <c r="P409" s="612">
        <v>0.02</v>
      </c>
      <c r="Q409" s="620" t="s">
        <v>4998</v>
      </c>
      <c r="R409" s="613"/>
      <c r="S409" s="522" t="str">
        <f t="shared" si="43"/>
        <v/>
      </c>
      <c r="T409" s="522" t="s">
        <v>108</v>
      </c>
      <c r="U409" s="522" t="s">
        <v>2842</v>
      </c>
      <c r="V409" s="522" t="s">
        <v>19</v>
      </c>
      <c r="W409" s="614" t="s">
        <v>4999</v>
      </c>
      <c r="X409" s="614"/>
      <c r="Y409" s="614" t="s">
        <v>5000</v>
      </c>
      <c r="Z409" s="614" t="s">
        <v>5001</v>
      </c>
      <c r="AA409" s="614" t="s">
        <v>5002</v>
      </c>
      <c r="AB409" s="614" t="s">
        <v>5003</v>
      </c>
      <c r="AC409" s="614" t="s">
        <v>5004</v>
      </c>
      <c r="AD409" s="614" t="s">
        <v>5005</v>
      </c>
      <c r="AE409" s="614" t="s">
        <v>5006</v>
      </c>
      <c r="AF409" s="614" t="s">
        <v>5007</v>
      </c>
      <c r="AG409" s="614" t="s">
        <v>5008</v>
      </c>
      <c r="AH409" s="614" t="s">
        <v>5009</v>
      </c>
      <c r="AI409" s="614" t="s">
        <v>5010</v>
      </c>
      <c r="AJ409" s="614" t="s">
        <v>5011</v>
      </c>
      <c r="AK409" s="450">
        <v>377277.63</v>
      </c>
      <c r="AL409" s="450">
        <v>372342.05</v>
      </c>
      <c r="AM409" s="450">
        <v>365886.79</v>
      </c>
      <c r="AN409" s="683">
        <v>367375.02</v>
      </c>
      <c r="AO409" s="683">
        <v>388099.18</v>
      </c>
      <c r="AP409" s="450">
        <v>411909.35</v>
      </c>
      <c r="AQ409" s="450">
        <v>408810.09</v>
      </c>
      <c r="AR409" s="450">
        <v>423220.96</v>
      </c>
      <c r="AS409" s="450">
        <v>437157.42</v>
      </c>
      <c r="AT409" s="450">
        <v>423777.84</v>
      </c>
      <c r="AU409" s="450">
        <v>421472.39</v>
      </c>
      <c r="AV409" s="450">
        <v>408110.15</v>
      </c>
      <c r="AW409" s="450">
        <v>392185.47</v>
      </c>
      <c r="AX409" s="450">
        <v>395919.73</v>
      </c>
      <c r="AY409" s="450">
        <v>401064.3</v>
      </c>
      <c r="AZ409" s="450">
        <v>415573.85</v>
      </c>
      <c r="BA409" s="450">
        <v>534553.85</v>
      </c>
      <c r="BB409" s="450">
        <v>563642.78</v>
      </c>
      <c r="BC409" s="450"/>
      <c r="BD409" s="450">
        <v>572089.55</v>
      </c>
      <c r="BE409" s="450">
        <v>559168.46</v>
      </c>
      <c r="BF409" s="450">
        <v>578620.56</v>
      </c>
      <c r="BG409" s="450">
        <v>586081.2738</v>
      </c>
      <c r="BH409" s="450">
        <v>602471.68</v>
      </c>
      <c r="BI409" s="450">
        <v>733172.77</v>
      </c>
      <c r="BJ409" s="450">
        <v>909125.09</v>
      </c>
      <c r="BK409" s="450">
        <v>912564.68</v>
      </c>
      <c r="BL409" s="450">
        <v>941665.15</v>
      </c>
      <c r="BM409" s="450">
        <v>938391.97</v>
      </c>
      <c r="BN409" s="450">
        <v>322653.23</v>
      </c>
      <c r="BO409" s="450">
        <v>243391.24</v>
      </c>
      <c r="BP409" s="450">
        <v>0.0</v>
      </c>
      <c r="BQ409" s="450">
        <v>0.0</v>
      </c>
      <c r="BR409" s="450">
        <v>0.0</v>
      </c>
      <c r="BS409" s="615">
        <f t="array" ref="BS409">XLOOKUP(D409,'PL TOTAL XP'!A:A,'PL TOTAL XP'!C:C,"0")</f>
        <v>0</v>
      </c>
      <c r="BT409" s="616"/>
    </row>
    <row r="410" ht="15.75" customHeight="1">
      <c r="A410" s="183" t="s">
        <v>3820</v>
      </c>
      <c r="B410" s="78" t="s">
        <v>5012</v>
      </c>
      <c r="C410" s="617" t="s">
        <v>5013</v>
      </c>
      <c r="D410" s="566">
        <v>3318900.0</v>
      </c>
      <c r="E410" s="512" t="s">
        <v>2550</v>
      </c>
      <c r="F410" s="512" t="s">
        <v>29</v>
      </c>
      <c r="G410" s="512" t="s">
        <v>2550</v>
      </c>
      <c r="H410" s="512" t="str">
        <f>IFERROR(VLOOKUP(G410,'Cadastro de assessores'!A:B,2,FALSE),"Não Cadastrado")</f>
        <v>18986</v>
      </c>
      <c r="I410" s="512"/>
      <c r="J410" s="51" t="s">
        <v>3823</v>
      </c>
      <c r="K410" s="522" t="s">
        <v>107</v>
      </c>
      <c r="L410" s="610">
        <v>44449.0</v>
      </c>
      <c r="M410" s="610">
        <v>44452.0</v>
      </c>
      <c r="N410" s="566"/>
      <c r="O410" s="566" t="s">
        <v>3828</v>
      </c>
      <c r="P410" s="612">
        <v>0.015</v>
      </c>
      <c r="Q410" s="620"/>
      <c r="R410" s="613"/>
      <c r="S410" s="522" t="str">
        <f t="shared" si="43"/>
        <v>Não Qualificado</v>
      </c>
      <c r="T410" s="522" t="s">
        <v>108</v>
      </c>
      <c r="U410" s="566" t="s">
        <v>2565</v>
      </c>
      <c r="V410" s="522" t="s">
        <v>29</v>
      </c>
      <c r="W410" s="468"/>
      <c r="X410" s="468"/>
      <c r="Y410" s="468"/>
      <c r="Z410" s="468"/>
      <c r="AA410" s="468"/>
      <c r="AB410" s="468"/>
      <c r="AC410" s="468"/>
      <c r="AD410" s="468"/>
      <c r="AE410" s="468"/>
      <c r="AF410" s="468"/>
      <c r="AG410" s="468"/>
      <c r="AH410" s="614"/>
      <c r="AI410" s="614"/>
      <c r="AJ410" s="450"/>
      <c r="AK410" s="450"/>
      <c r="AL410" s="450"/>
      <c r="AM410" s="683"/>
      <c r="AN410" s="683"/>
      <c r="AO410" s="450"/>
      <c r="AP410" s="450"/>
      <c r="AQ410" s="450"/>
      <c r="AR410" s="450"/>
      <c r="AS410" s="634"/>
      <c r="AT410" s="449"/>
      <c r="AU410" s="449"/>
      <c r="AV410" s="450">
        <v>83087.47</v>
      </c>
      <c r="AW410" s="450">
        <v>80381.74</v>
      </c>
      <c r="AX410" s="450">
        <v>54054.56</v>
      </c>
      <c r="AY410" s="450">
        <v>54159.89</v>
      </c>
      <c r="AZ410" s="450">
        <v>53598.77</v>
      </c>
      <c r="BA410" s="450">
        <v>53833.71</v>
      </c>
      <c r="BB410" s="450">
        <v>55172.41</v>
      </c>
      <c r="BC410" s="450">
        <v>155896.65</v>
      </c>
      <c r="BD410" s="450">
        <v>52790.19</v>
      </c>
      <c r="BE410" s="450">
        <v>31022.45</v>
      </c>
      <c r="BF410" s="450">
        <v>12549.41</v>
      </c>
      <c r="BG410" s="450">
        <v>12773.99</v>
      </c>
      <c r="BH410" s="450">
        <v>12801.12</v>
      </c>
      <c r="BI410" s="450">
        <v>14291.24</v>
      </c>
      <c r="BJ410" s="450">
        <v>13612.7</v>
      </c>
      <c r="BK410" s="450">
        <v>12.0</v>
      </c>
      <c r="BL410" s="450">
        <v>-4.93</v>
      </c>
      <c r="BM410" s="450">
        <v>-4.93</v>
      </c>
      <c r="BN410" s="450">
        <v>-4.92</v>
      </c>
      <c r="BO410" s="450">
        <v>-4.92</v>
      </c>
      <c r="BP410" s="450">
        <v>-4.92</v>
      </c>
      <c r="BQ410" s="450">
        <v>-4.92</v>
      </c>
      <c r="BR410" s="450">
        <v>-4.92</v>
      </c>
      <c r="BS410" s="615">
        <f t="array" ref="BS410">XLOOKUP(D410,'PL TOTAL XP'!A:A,'PL TOTAL XP'!C:C,"0")</f>
        <v>0</v>
      </c>
      <c r="BT410" s="616"/>
    </row>
    <row r="411" ht="15.75" customHeight="1">
      <c r="A411" s="183" t="s">
        <v>3820</v>
      </c>
      <c r="B411" s="78" t="s">
        <v>1948</v>
      </c>
      <c r="C411" s="617" t="s">
        <v>5014</v>
      </c>
      <c r="D411" s="522">
        <v>4634086.0</v>
      </c>
      <c r="E411" s="512" t="s">
        <v>105</v>
      </c>
      <c r="F411" s="512" t="s">
        <v>29</v>
      </c>
      <c r="G411" s="512" t="s">
        <v>4087</v>
      </c>
      <c r="H411" s="512" t="str">
        <f>IFERROR(VLOOKUP(G411,'Cadastro de assessores'!A:B,2,FALSE),"Não Cadastrado")</f>
        <v>17243</v>
      </c>
      <c r="I411" s="512"/>
      <c r="J411" s="51" t="s">
        <v>3823</v>
      </c>
      <c r="K411" s="522" t="s">
        <v>107</v>
      </c>
      <c r="L411" s="610">
        <v>44167.0</v>
      </c>
      <c r="M411" s="610">
        <v>44167.0</v>
      </c>
      <c r="N411" s="522"/>
      <c r="O411" s="522" t="s">
        <v>3836</v>
      </c>
      <c r="P411" s="612">
        <v>0.012</v>
      </c>
      <c r="Q411" s="620"/>
      <c r="R411" s="613"/>
      <c r="S411" s="522" t="str">
        <f t="shared" si="43"/>
        <v>Não Qualificado</v>
      </c>
      <c r="T411" s="522" t="s">
        <v>108</v>
      </c>
      <c r="U411" s="490" t="s">
        <v>2623</v>
      </c>
      <c r="V411" s="522" t="s">
        <v>29</v>
      </c>
      <c r="W411" s="614" t="s">
        <v>3830</v>
      </c>
      <c r="X411" s="614" t="s">
        <v>3830</v>
      </c>
      <c r="Y411" s="614" t="s">
        <v>3830</v>
      </c>
      <c r="Z411" s="614" t="s">
        <v>3830</v>
      </c>
      <c r="AA411" s="614" t="s">
        <v>3830</v>
      </c>
      <c r="AB411" s="614" t="s">
        <v>3830</v>
      </c>
      <c r="AC411" s="614" t="s">
        <v>3830</v>
      </c>
      <c r="AD411" s="614" t="s">
        <v>3830</v>
      </c>
      <c r="AE411" s="614" t="s">
        <v>3830</v>
      </c>
      <c r="AF411" s="614" t="s">
        <v>3830</v>
      </c>
      <c r="AG411" s="614" t="s">
        <v>3830</v>
      </c>
      <c r="AH411" s="614" t="s">
        <v>3830</v>
      </c>
      <c r="AI411" s="614" t="s">
        <v>3830</v>
      </c>
      <c r="AJ411" s="614" t="s">
        <v>3830</v>
      </c>
      <c r="AK411" s="450">
        <v>301774.78</v>
      </c>
      <c r="AL411" s="450">
        <v>299630.37</v>
      </c>
      <c r="AM411" s="450">
        <v>295142.77</v>
      </c>
      <c r="AN411" s="683">
        <v>294852.26</v>
      </c>
      <c r="AO411" s="683">
        <v>299097.05</v>
      </c>
      <c r="AP411" s="450">
        <v>299720.39</v>
      </c>
      <c r="AQ411" s="450">
        <v>299174.73</v>
      </c>
      <c r="AR411" s="450">
        <v>302561.66</v>
      </c>
      <c r="AS411" s="450">
        <v>302085.63</v>
      </c>
      <c r="AT411" s="450">
        <v>299974.36</v>
      </c>
      <c r="AU411" s="450">
        <v>299840.38</v>
      </c>
      <c r="AV411" s="450">
        <v>297669.93</v>
      </c>
      <c r="AW411" s="450">
        <v>291660.97</v>
      </c>
      <c r="AX411" s="450">
        <v>293641.97</v>
      </c>
      <c r="AY411" s="450">
        <v>296463.38</v>
      </c>
      <c r="AZ411" s="450">
        <v>300048.22</v>
      </c>
      <c r="BA411" s="450">
        <v>301397.41</v>
      </c>
      <c r="BB411" s="450">
        <v>308707.91</v>
      </c>
      <c r="BC411" s="450">
        <v>34169.09</v>
      </c>
      <c r="BD411" s="450">
        <v>313067.03</v>
      </c>
      <c r="BE411" s="450">
        <v>313758.26</v>
      </c>
      <c r="BF411" s="450">
        <v>317221.37</v>
      </c>
      <c r="BG411" s="450">
        <v>318508.4382</v>
      </c>
      <c r="BH411" s="450">
        <v>320011.97</v>
      </c>
      <c r="BI411" s="450">
        <v>325067.6</v>
      </c>
      <c r="BJ411" s="450">
        <v>326531.48</v>
      </c>
      <c r="BK411" s="450">
        <v>328934.3</v>
      </c>
      <c r="BL411" s="450">
        <v>36691.7</v>
      </c>
      <c r="BM411" s="450">
        <v>36894.54</v>
      </c>
      <c r="BN411" s="450">
        <v>5.88</v>
      </c>
      <c r="BO411" s="450">
        <v>5.88</v>
      </c>
      <c r="BP411" s="450">
        <v>5.88</v>
      </c>
      <c r="BQ411" s="450">
        <v>5.88</v>
      </c>
      <c r="BR411" s="450">
        <v>5.88</v>
      </c>
      <c r="BS411" s="615">
        <f t="array" ref="BS411">XLOOKUP(D411,'PL TOTAL XP'!A:A,'PL TOTAL XP'!C:C,"0")</f>
        <v>0</v>
      </c>
      <c r="BT411" s="616"/>
    </row>
    <row r="412" ht="15.75" customHeight="1">
      <c r="A412" s="183" t="s">
        <v>3820</v>
      </c>
      <c r="B412" s="78" t="s">
        <v>1956</v>
      </c>
      <c r="C412" s="132" t="s">
        <v>1953</v>
      </c>
      <c r="D412" s="627">
        <v>7047969.0</v>
      </c>
      <c r="E412" s="512" t="s">
        <v>18</v>
      </c>
      <c r="F412" s="512" t="s">
        <v>29</v>
      </c>
      <c r="G412" s="512" t="s">
        <v>1955</v>
      </c>
      <c r="H412" s="512">
        <f>IFERROR(VLOOKUP(G412,'Cadastro de assessores'!A:B,2,FALSE),"Não Cadastrado")</f>
        <v>12343</v>
      </c>
      <c r="I412" s="512"/>
      <c r="J412" s="51" t="s">
        <v>3823</v>
      </c>
      <c r="K412" s="522" t="s">
        <v>107</v>
      </c>
      <c r="L412" s="611">
        <v>44510.0</v>
      </c>
      <c r="M412" s="611">
        <v>44511.0</v>
      </c>
      <c r="N412" s="566"/>
      <c r="O412" s="566" t="s">
        <v>3834</v>
      </c>
      <c r="P412" s="612">
        <v>0.007</v>
      </c>
      <c r="Q412" s="620"/>
      <c r="R412" s="613"/>
      <c r="S412" s="522" t="str">
        <f t="shared" si="43"/>
        <v>Não Qualificado</v>
      </c>
      <c r="T412" s="522" t="s">
        <v>108</v>
      </c>
      <c r="U412" s="478" t="s">
        <v>2591</v>
      </c>
      <c r="V412" s="522" t="s">
        <v>29</v>
      </c>
      <c r="W412" s="468"/>
      <c r="X412" s="468"/>
      <c r="Y412" s="468"/>
      <c r="Z412" s="468"/>
      <c r="AA412" s="468"/>
      <c r="AB412" s="468"/>
      <c r="AC412" s="468"/>
      <c r="AD412" s="468"/>
      <c r="AE412" s="468"/>
      <c r="AF412" s="468"/>
      <c r="AG412" s="614"/>
      <c r="AH412" s="614"/>
      <c r="AI412" s="614"/>
      <c r="AJ412" s="450"/>
      <c r="AK412" s="450"/>
      <c r="AL412" s="450"/>
      <c r="AM412" s="450"/>
      <c r="AN412" s="450"/>
      <c r="AO412" s="450"/>
      <c r="AP412" s="450"/>
      <c r="AQ412" s="450"/>
      <c r="AR412" s="450"/>
      <c r="AS412" s="450"/>
      <c r="AT412" s="450"/>
      <c r="AU412" s="450"/>
      <c r="AV412" s="450"/>
      <c r="AW412" s="468"/>
      <c r="AX412" s="449"/>
      <c r="AY412" s="449">
        <v>101631.51</v>
      </c>
      <c r="AZ412" s="450">
        <v>101963.6</v>
      </c>
      <c r="BA412" s="450">
        <v>102696.02</v>
      </c>
      <c r="BB412" s="450">
        <v>104407.62</v>
      </c>
      <c r="BC412" s="450">
        <v>267830.76</v>
      </c>
      <c r="BD412" s="450">
        <v>105663.93</v>
      </c>
      <c r="BE412" s="450">
        <v>106448.84</v>
      </c>
      <c r="BF412" s="450">
        <v>106365.27</v>
      </c>
      <c r="BG412" s="450">
        <v>107805.12</v>
      </c>
      <c r="BH412" s="450">
        <v>108546.23</v>
      </c>
      <c r="BI412" s="450">
        <v>109615.26</v>
      </c>
      <c r="BJ412" s="450">
        <v>99446.05</v>
      </c>
      <c r="BK412" s="450">
        <v>100431.51</v>
      </c>
      <c r="BL412" s="450">
        <v>101790.79</v>
      </c>
      <c r="BM412" s="450">
        <v>163236.43</v>
      </c>
      <c r="BN412" s="450">
        <v>8.12</v>
      </c>
      <c r="BO412" s="450">
        <v>0.0</v>
      </c>
      <c r="BP412" s="450">
        <v>0.0</v>
      </c>
      <c r="BQ412" s="450">
        <v>0.0</v>
      </c>
      <c r="BR412" s="450">
        <v>0.0</v>
      </c>
      <c r="BS412" s="615" t="str">
        <f t="array" ref="BS412">XLOOKUP(D412,'PL TOTAL XP'!A:A,'PL TOTAL XP'!C:C,"0")</f>
        <v>0</v>
      </c>
      <c r="BT412" s="616"/>
    </row>
    <row r="413" ht="15.75" customHeight="1">
      <c r="A413" s="183" t="s">
        <v>3820</v>
      </c>
      <c r="B413" s="78" t="s">
        <v>3386</v>
      </c>
      <c r="C413" s="617" t="s">
        <v>3384</v>
      </c>
      <c r="D413" s="522">
        <v>4679169.0</v>
      </c>
      <c r="E413" s="512" t="s">
        <v>18</v>
      </c>
      <c r="F413" s="512" t="s">
        <v>29</v>
      </c>
      <c r="G413" s="512" t="s">
        <v>2803</v>
      </c>
      <c r="H413" s="512" t="str">
        <f>IFERROR(VLOOKUP(G413,'Cadastro de assessores'!A:B,2,FALSE),"Não Cadastrado")</f>
        <v>18236</v>
      </c>
      <c r="I413" s="512"/>
      <c r="J413" s="51" t="s">
        <v>3823</v>
      </c>
      <c r="K413" s="522" t="s">
        <v>147</v>
      </c>
      <c r="L413" s="522" t="s">
        <v>2600</v>
      </c>
      <c r="M413" s="640" t="s">
        <v>4195</v>
      </c>
      <c r="N413" s="566"/>
      <c r="O413" s="566" t="s">
        <v>3869</v>
      </c>
      <c r="P413" s="612">
        <v>0.008</v>
      </c>
      <c r="Q413" s="620"/>
      <c r="R413" s="613"/>
      <c r="S413" s="522" t="str">
        <f t="shared" si="43"/>
        <v>Não Qualificado</v>
      </c>
      <c r="T413" s="522" t="s">
        <v>108</v>
      </c>
      <c r="U413" s="522" t="s">
        <v>2623</v>
      </c>
      <c r="V413" s="522" t="s">
        <v>29</v>
      </c>
      <c r="W413" s="614" t="s">
        <v>3830</v>
      </c>
      <c r="X413" s="614" t="s">
        <v>3830</v>
      </c>
      <c r="Y413" s="614" t="s">
        <v>3830</v>
      </c>
      <c r="Z413" s="614" t="s">
        <v>3830</v>
      </c>
      <c r="AA413" s="614" t="s">
        <v>3830</v>
      </c>
      <c r="AB413" s="614" t="s">
        <v>3830</v>
      </c>
      <c r="AC413" s="614" t="s">
        <v>3830</v>
      </c>
      <c r="AD413" s="614" t="s">
        <v>3830</v>
      </c>
      <c r="AE413" s="614" t="s">
        <v>3830</v>
      </c>
      <c r="AF413" s="614" t="s">
        <v>3830</v>
      </c>
      <c r="AG413" s="614" t="s">
        <v>3830</v>
      </c>
      <c r="AH413" s="614" t="s">
        <v>3830</v>
      </c>
      <c r="AI413" s="614" t="s">
        <v>3830</v>
      </c>
      <c r="AJ413" s="614" t="s">
        <v>3830</v>
      </c>
      <c r="AK413" s="450" t="s">
        <v>2600</v>
      </c>
      <c r="AL413" s="450"/>
      <c r="AM413" s="450" t="s">
        <v>2600</v>
      </c>
      <c r="AN413" s="450"/>
      <c r="AO413" s="450"/>
      <c r="AP413" s="450"/>
      <c r="AQ413" s="450"/>
      <c r="AR413" s="450"/>
      <c r="AS413" s="450"/>
      <c r="AT413" s="450"/>
      <c r="AU413" s="450"/>
      <c r="AV413" s="450"/>
      <c r="AW413" s="450"/>
      <c r="AX413" s="450"/>
      <c r="AY413" s="450"/>
      <c r="AZ413" s="450"/>
      <c r="BA413" s="450">
        <v>0.0</v>
      </c>
      <c r="BB413" s="450">
        <v>0.0</v>
      </c>
      <c r="BC413" s="450">
        <v>112.96</v>
      </c>
      <c r="BD413" s="450" t="s">
        <v>2566</v>
      </c>
      <c r="BE413" s="450" t="s">
        <v>2566</v>
      </c>
      <c r="BF413" s="450">
        <v>0.0</v>
      </c>
      <c r="BG413" s="450">
        <v>0.0</v>
      </c>
      <c r="BH413" s="450">
        <v>0.0</v>
      </c>
      <c r="BI413" s="450">
        <v>0.0</v>
      </c>
      <c r="BJ413" s="450">
        <v>0.0</v>
      </c>
      <c r="BK413" s="450">
        <v>0.0</v>
      </c>
      <c r="BL413" s="450">
        <v>0.0</v>
      </c>
      <c r="BM413" s="450">
        <v>0.0</v>
      </c>
      <c r="BN413" s="450">
        <v>0.0</v>
      </c>
      <c r="BO413" s="450">
        <v>0.0</v>
      </c>
      <c r="BP413" s="450">
        <v>0.0</v>
      </c>
      <c r="BQ413" s="450">
        <v>0.0</v>
      </c>
      <c r="BR413" s="450">
        <v>0.0</v>
      </c>
      <c r="BS413" s="615">
        <f t="array" ref="BS413">XLOOKUP(D413,'PL TOTAL XP'!A:A,'PL TOTAL XP'!C:C,"0")</f>
        <v>0</v>
      </c>
      <c r="BT413" s="616"/>
    </row>
    <row r="414" ht="15.75" customHeight="1">
      <c r="A414" s="183" t="s">
        <v>3820</v>
      </c>
      <c r="B414" s="78" t="s">
        <v>3386</v>
      </c>
      <c r="C414" s="617" t="s">
        <v>3384</v>
      </c>
      <c r="D414" s="522">
        <v>2096281.0</v>
      </c>
      <c r="E414" s="512" t="s">
        <v>18</v>
      </c>
      <c r="F414" s="512" t="s">
        <v>29</v>
      </c>
      <c r="G414" s="512" t="s">
        <v>2803</v>
      </c>
      <c r="H414" s="512" t="str">
        <f>IFERROR(VLOOKUP(G414,'Cadastro de assessores'!A:B,2,FALSE),"Não Cadastrado")</f>
        <v>18236</v>
      </c>
      <c r="I414" s="512"/>
      <c r="J414" s="46" t="s">
        <v>107</v>
      </c>
      <c r="K414" s="522" t="s">
        <v>107</v>
      </c>
      <c r="L414" s="610">
        <v>44294.0</v>
      </c>
      <c r="M414" s="610">
        <v>44294.0</v>
      </c>
      <c r="N414" s="522"/>
      <c r="O414" s="522" t="s">
        <v>3840</v>
      </c>
      <c r="P414" s="612">
        <v>0.02</v>
      </c>
      <c r="Q414" s="620"/>
      <c r="R414" s="613"/>
      <c r="S414" s="522" t="str">
        <f t="shared" si="43"/>
        <v>Não Qualificado</v>
      </c>
      <c r="T414" s="522" t="s">
        <v>108</v>
      </c>
      <c r="U414" s="522" t="s">
        <v>2623</v>
      </c>
      <c r="V414" s="522" t="s">
        <v>29</v>
      </c>
      <c r="W414" s="614"/>
      <c r="X414" s="614"/>
      <c r="Y414" s="614"/>
      <c r="Z414" s="614"/>
      <c r="AA414" s="614"/>
      <c r="AB414" s="614"/>
      <c r="AC414" s="614"/>
      <c r="AD414" s="614"/>
      <c r="AE414" s="614"/>
      <c r="AF414" s="614"/>
      <c r="AG414" s="614"/>
      <c r="AH414" s="614"/>
      <c r="AI414" s="614"/>
      <c r="AJ414" s="614"/>
      <c r="AK414" s="450"/>
      <c r="AL414" s="450"/>
      <c r="AM414" s="450"/>
      <c r="AN414" s="683">
        <v>3752150.03</v>
      </c>
      <c r="AO414" s="683"/>
      <c r="AP414" s="450">
        <v>3984072.13</v>
      </c>
      <c r="AQ414" s="450">
        <v>3952997.39</v>
      </c>
      <c r="AR414" s="450">
        <v>4073997.31</v>
      </c>
      <c r="AS414" s="450">
        <v>3992156.26</v>
      </c>
      <c r="AT414" s="450">
        <v>3819312.89</v>
      </c>
      <c r="AU414" s="450">
        <v>3754041.04</v>
      </c>
      <c r="AV414" s="450">
        <v>4235811.18</v>
      </c>
      <c r="AW414" s="450">
        <v>3347547.01</v>
      </c>
      <c r="AX414" s="450">
        <v>3311474.3</v>
      </c>
      <c r="AY414" s="450">
        <v>3375579.18</v>
      </c>
      <c r="AZ414" s="450">
        <v>3570905.22</v>
      </c>
      <c r="BA414" s="450">
        <v>3586642.03</v>
      </c>
      <c r="BB414" s="450">
        <v>3801306.08</v>
      </c>
      <c r="BC414" s="450">
        <v>6.89</v>
      </c>
      <c r="BD414" s="450">
        <v>4349976.96</v>
      </c>
      <c r="BE414" s="450">
        <v>4191688.29</v>
      </c>
      <c r="BF414" s="450">
        <v>4383914.28</v>
      </c>
      <c r="BG414" s="450">
        <v>4403819.68</v>
      </c>
      <c r="BH414" s="450">
        <v>4367841.78</v>
      </c>
      <c r="BI414" s="450">
        <v>4694580.11</v>
      </c>
      <c r="BJ414" s="450">
        <v>4621282.94</v>
      </c>
      <c r="BK414" s="450">
        <v>4598452.6</v>
      </c>
      <c r="BL414" s="450">
        <v>4687501.27</v>
      </c>
      <c r="BM414" s="450">
        <v>4303766.62</v>
      </c>
      <c r="BN414" s="450">
        <v>1925384.58</v>
      </c>
      <c r="BO414" s="450">
        <v>645002.8</v>
      </c>
      <c r="BP414" s="450">
        <v>649620.09</v>
      </c>
      <c r="BQ414" s="450">
        <v>437940.9</v>
      </c>
      <c r="BR414" s="450">
        <v>417595.95</v>
      </c>
      <c r="BS414" s="615">
        <f t="array" ref="BS414">XLOOKUP(D414,'PL TOTAL XP'!A:A,'PL TOTAL XP'!C:C,"0")</f>
        <v>341628.73</v>
      </c>
      <c r="BT414" s="616"/>
    </row>
    <row r="415" ht="15.75" customHeight="1">
      <c r="A415" s="183" t="s">
        <v>3820</v>
      </c>
      <c r="B415" s="78" t="s">
        <v>1985</v>
      </c>
      <c r="C415" s="617" t="s">
        <v>1983</v>
      </c>
      <c r="D415" s="522">
        <v>6199853.0</v>
      </c>
      <c r="E415" s="522" t="s">
        <v>18</v>
      </c>
      <c r="F415" s="522" t="s">
        <v>19</v>
      </c>
      <c r="G415" s="522" t="s">
        <v>20</v>
      </c>
      <c r="H415" s="512">
        <f>IFERROR(VLOOKUP(G415,'Cadastro de assessores'!A:B,2,FALSE),"Não Cadastrado")</f>
        <v>12331</v>
      </c>
      <c r="I415" s="522"/>
      <c r="J415" s="51" t="s">
        <v>3823</v>
      </c>
      <c r="K415" s="522"/>
      <c r="L415" s="618"/>
      <c r="M415" s="618">
        <v>44851.0</v>
      </c>
      <c r="N415" s="619"/>
      <c r="O415" s="522" t="s">
        <v>3828</v>
      </c>
      <c r="P415" s="612">
        <v>0.015</v>
      </c>
      <c r="Q415" s="620" t="s">
        <v>4097</v>
      </c>
      <c r="R415" s="613"/>
      <c r="S415" s="522"/>
      <c r="T415" s="522"/>
      <c r="U415" s="522"/>
      <c r="V415" s="522" t="s">
        <v>19</v>
      </c>
      <c r="W415" s="614"/>
      <c r="X415" s="614"/>
      <c r="Y415" s="614"/>
      <c r="Z415" s="614"/>
      <c r="AA415" s="614"/>
      <c r="AB415" s="614"/>
      <c r="AC415" s="614"/>
      <c r="AD415" s="614"/>
      <c r="AE415" s="614"/>
      <c r="AF415" s="614"/>
      <c r="AG415" s="614"/>
      <c r="AH415" s="614"/>
      <c r="AI415" s="614"/>
      <c r="AJ415" s="614"/>
      <c r="AK415" s="450"/>
      <c r="AL415" s="450"/>
      <c r="AM415" s="450"/>
      <c r="AN415" s="450"/>
      <c r="AO415" s="450"/>
      <c r="AP415" s="450"/>
      <c r="AQ415" s="450"/>
      <c r="AR415" s="450"/>
      <c r="AS415" s="450"/>
      <c r="AT415" s="450"/>
      <c r="AU415" s="450"/>
      <c r="AV415" s="450"/>
      <c r="AW415" s="450"/>
      <c r="AX415" s="450"/>
      <c r="AY415" s="450"/>
      <c r="AZ415" s="450"/>
      <c r="BA415" s="450"/>
      <c r="BB415" s="450"/>
      <c r="BC415" s="450"/>
      <c r="BD415" s="450"/>
      <c r="BE415" s="450"/>
      <c r="BF415" s="450"/>
      <c r="BG415" s="450"/>
      <c r="BH415" s="450"/>
      <c r="BI415" s="450">
        <v>100475.74</v>
      </c>
      <c r="BJ415" s="450">
        <v>101193.93</v>
      </c>
      <c r="BK415" s="450">
        <v>101927.08</v>
      </c>
      <c r="BL415" s="450">
        <v>102982.85</v>
      </c>
      <c r="BM415" s="450">
        <v>103754.03</v>
      </c>
      <c r="BN415" s="450">
        <v>0.0</v>
      </c>
      <c r="BO415" s="450">
        <v>0.0</v>
      </c>
      <c r="BP415" s="450">
        <v>0.0</v>
      </c>
      <c r="BQ415" s="450">
        <v>0.0</v>
      </c>
      <c r="BR415" s="450">
        <v>0.0</v>
      </c>
      <c r="BS415" s="615">
        <f t="array" ref="BS415">XLOOKUP(D415,'PL TOTAL XP'!A:A,'PL TOTAL XP'!C:C,"0")</f>
        <v>0</v>
      </c>
      <c r="BT415" s="616"/>
    </row>
    <row r="416" ht="15.75" customHeight="1">
      <c r="A416" s="183" t="s">
        <v>3820</v>
      </c>
      <c r="B416" s="78" t="s">
        <v>5015</v>
      </c>
      <c r="C416" s="617" t="s">
        <v>5016</v>
      </c>
      <c r="D416" s="522">
        <v>528568.0</v>
      </c>
      <c r="E416" s="522" t="s">
        <v>105</v>
      </c>
      <c r="F416" s="522" t="s">
        <v>29</v>
      </c>
      <c r="G416" s="522" t="s">
        <v>71</v>
      </c>
      <c r="H416" s="522" t="str">
        <f>IFERROR(VLOOKUP(G416,'Cadastro de assessores'!A:B,2,FALSE),"Não Cadastrado")</f>
        <v>17896</v>
      </c>
      <c r="I416" s="522"/>
      <c r="J416" s="51" t="s">
        <v>186</v>
      </c>
      <c r="K416" s="522" t="s">
        <v>2563</v>
      </c>
      <c r="L416" s="618">
        <v>44183.0</v>
      </c>
      <c r="M416" s="618">
        <v>44183.0</v>
      </c>
      <c r="N416" s="619">
        <v>44315.0</v>
      </c>
      <c r="O416" s="522" t="s">
        <v>3824</v>
      </c>
      <c r="P416" s="612">
        <v>0.02</v>
      </c>
      <c r="Q416" s="620" t="s">
        <v>5017</v>
      </c>
      <c r="R416" s="613"/>
      <c r="S416" s="522" t="str">
        <f t="shared" ref="S416:S419" si="44">IF(BC416&lt;=0,"",IF(BC416&lt;=1000000,"Não Qualificado",IF(AND(BC416&gt;1000000,BC416&lt;=10000000),"Qualificado","Profissional")))</f>
        <v>Não Qualificado</v>
      </c>
      <c r="T416" s="522" t="s">
        <v>108</v>
      </c>
      <c r="U416" s="522" t="s">
        <v>2623</v>
      </c>
      <c r="V416" s="522" t="s">
        <v>29</v>
      </c>
      <c r="W416" s="614" t="s">
        <v>3830</v>
      </c>
      <c r="X416" s="614" t="s">
        <v>3830</v>
      </c>
      <c r="Y416" s="614" t="s">
        <v>3830</v>
      </c>
      <c r="Z416" s="614" t="s">
        <v>3830</v>
      </c>
      <c r="AA416" s="614" t="s">
        <v>3830</v>
      </c>
      <c r="AB416" s="614" t="s">
        <v>3830</v>
      </c>
      <c r="AC416" s="614" t="s">
        <v>3830</v>
      </c>
      <c r="AD416" s="614" t="s">
        <v>3830</v>
      </c>
      <c r="AE416" s="614" t="s">
        <v>3830</v>
      </c>
      <c r="AF416" s="614" t="s">
        <v>3830</v>
      </c>
      <c r="AG416" s="614" t="s">
        <v>3830</v>
      </c>
      <c r="AH416" s="614" t="s">
        <v>3830</v>
      </c>
      <c r="AI416" s="614" t="s">
        <v>3830</v>
      </c>
      <c r="AJ416" s="614" t="s">
        <v>3830</v>
      </c>
      <c r="AK416" s="450">
        <v>198992.23</v>
      </c>
      <c r="AL416" s="450">
        <v>193698.3</v>
      </c>
      <c r="AM416" s="450">
        <v>186081.09</v>
      </c>
      <c r="AN416" s="450">
        <v>186177.67</v>
      </c>
      <c r="AO416" s="450">
        <v>193917.59</v>
      </c>
      <c r="AP416" s="450">
        <v>195556.91</v>
      </c>
      <c r="AQ416" s="450">
        <v>194902.6</v>
      </c>
      <c r="AR416" s="450"/>
      <c r="AS416" s="450"/>
      <c r="AT416" s="450"/>
      <c r="AU416" s="450"/>
      <c r="AV416" s="450"/>
      <c r="AW416" s="450"/>
      <c r="AX416" s="450"/>
      <c r="AY416" s="450"/>
      <c r="AZ416" s="450"/>
      <c r="BA416" s="450">
        <v>0.0</v>
      </c>
      <c r="BB416" s="450">
        <v>0.0</v>
      </c>
      <c r="BC416" s="450">
        <v>78438.23</v>
      </c>
      <c r="BD416" s="450" t="s">
        <v>2566</v>
      </c>
      <c r="BE416" s="450" t="s">
        <v>2566</v>
      </c>
      <c r="BF416" s="450">
        <v>0.0</v>
      </c>
      <c r="BG416" s="450">
        <v>0.0</v>
      </c>
      <c r="BH416" s="450">
        <v>0.0</v>
      </c>
      <c r="BI416" s="450">
        <v>0.0</v>
      </c>
      <c r="BJ416" s="450">
        <v>0.0</v>
      </c>
      <c r="BK416" s="450">
        <v>0.0</v>
      </c>
      <c r="BL416" s="450">
        <v>0.0</v>
      </c>
      <c r="BM416" s="450">
        <v>0.0</v>
      </c>
      <c r="BN416" s="450">
        <v>0.0</v>
      </c>
      <c r="BO416" s="450">
        <v>0.0</v>
      </c>
      <c r="BP416" s="450">
        <v>0.0</v>
      </c>
      <c r="BQ416" s="450">
        <v>0.0</v>
      </c>
      <c r="BR416" s="450">
        <v>0.0</v>
      </c>
      <c r="BS416" s="615" t="str">
        <f t="array" ref="BS416">XLOOKUP(D416,'PL TOTAL XP'!A:A,'PL TOTAL XP'!C:C,"0")</f>
        <v>0</v>
      </c>
      <c r="BT416" s="616"/>
    </row>
    <row r="417" ht="15.75" customHeight="1">
      <c r="A417" s="183" t="s">
        <v>3820</v>
      </c>
      <c r="B417" s="78" t="s">
        <v>5018</v>
      </c>
      <c r="C417" s="564" t="s">
        <v>5019</v>
      </c>
      <c r="D417" s="566">
        <v>7388997.0</v>
      </c>
      <c r="E417" s="512" t="s">
        <v>18</v>
      </c>
      <c r="F417" s="609" t="s">
        <v>29</v>
      </c>
      <c r="G417" s="627" t="s">
        <v>836</v>
      </c>
      <c r="H417" s="512">
        <f>IFERROR(VLOOKUP(G417,'Cadastro de assessores'!A:B,2,FALSE),"Não Cadastrado")</f>
        <v>12342</v>
      </c>
      <c r="I417" s="512"/>
      <c r="J417" s="51" t="s">
        <v>186</v>
      </c>
      <c r="K417" s="522" t="s">
        <v>107</v>
      </c>
      <c r="L417" s="611">
        <v>44539.0</v>
      </c>
      <c r="M417" s="611">
        <v>44543.0</v>
      </c>
      <c r="N417" s="627"/>
      <c r="O417" s="627" t="s">
        <v>3834</v>
      </c>
      <c r="P417" s="612">
        <v>0.007</v>
      </c>
      <c r="Q417" s="482"/>
      <c r="R417" s="613"/>
      <c r="S417" s="522" t="str">
        <f t="shared" si="44"/>
        <v/>
      </c>
      <c r="T417" s="522" t="s">
        <v>108</v>
      </c>
      <c r="U417" s="522" t="s">
        <v>2664</v>
      </c>
      <c r="V417" s="522" t="s">
        <v>791</v>
      </c>
      <c r="W417" s="468"/>
      <c r="X417" s="468"/>
      <c r="Y417" s="468"/>
      <c r="Z417" s="468"/>
      <c r="AA417" s="468"/>
      <c r="AB417" s="468"/>
      <c r="AC417" s="468"/>
      <c r="AD417" s="468"/>
      <c r="AE417" s="468"/>
      <c r="AF417" s="468"/>
      <c r="AG417" s="614"/>
      <c r="AH417" s="614"/>
      <c r="AI417" s="614"/>
      <c r="AJ417" s="450"/>
      <c r="AK417" s="450"/>
      <c r="AL417" s="450"/>
      <c r="AM417" s="683"/>
      <c r="AN417" s="683"/>
      <c r="AO417" s="450"/>
      <c r="AP417" s="450"/>
      <c r="AQ417" s="450"/>
      <c r="AR417" s="450"/>
      <c r="AS417" s="450"/>
      <c r="AT417" s="450"/>
      <c r="AU417" s="450"/>
      <c r="AV417" s="450"/>
      <c r="AW417" s="450"/>
      <c r="AX417" s="468"/>
      <c r="AY417" s="468"/>
      <c r="AZ417" s="614"/>
      <c r="BA417" s="614">
        <v>0.0</v>
      </c>
      <c r="BB417" s="614">
        <v>155247.02</v>
      </c>
      <c r="BC417" s="614"/>
      <c r="BD417" s="450">
        <v>204753.49</v>
      </c>
      <c r="BE417" s="450">
        <v>206673.78</v>
      </c>
      <c r="BF417" s="450">
        <v>208311.42</v>
      </c>
      <c r="BG417" s="450">
        <v>209379.4007</v>
      </c>
      <c r="BH417" s="450">
        <v>210570.18</v>
      </c>
      <c r="BI417" s="450">
        <v>212101.64</v>
      </c>
      <c r="BJ417" s="450">
        <v>214005.76</v>
      </c>
      <c r="BK417" s="450">
        <v>215830.17</v>
      </c>
      <c r="BL417" s="450">
        <v>218227.0</v>
      </c>
      <c r="BM417" s="450">
        <v>219651.65</v>
      </c>
      <c r="BN417" s="450">
        <v>221356.13</v>
      </c>
      <c r="BO417" s="450">
        <v>214825.95</v>
      </c>
      <c r="BP417" s="450">
        <v>212871.18</v>
      </c>
      <c r="BQ417" s="450">
        <v>209431.54</v>
      </c>
      <c r="BR417" s="450">
        <v>206209.21</v>
      </c>
      <c r="BS417" s="615" t="str">
        <f t="array" ref="BS417">XLOOKUP(D417,'PL TOTAL XP'!A:A,'PL TOTAL XP'!C:C,"0")</f>
        <v>0</v>
      </c>
      <c r="BT417" s="616"/>
    </row>
    <row r="418" ht="15.75" customHeight="1">
      <c r="A418" s="183" t="s">
        <v>3820</v>
      </c>
      <c r="B418" s="78" t="s">
        <v>5020</v>
      </c>
      <c r="C418" s="617" t="s">
        <v>5021</v>
      </c>
      <c r="D418" s="522">
        <v>3445098.0</v>
      </c>
      <c r="E418" s="512" t="s">
        <v>2550</v>
      </c>
      <c r="F418" s="512" t="s">
        <v>29</v>
      </c>
      <c r="G418" s="512" t="s">
        <v>2550</v>
      </c>
      <c r="H418" s="512" t="str">
        <f>IFERROR(VLOOKUP(G418,'Cadastro de assessores'!A:B,2,FALSE),"Não Cadastrado")</f>
        <v>18986</v>
      </c>
      <c r="I418" s="512"/>
      <c r="J418" s="51" t="s">
        <v>3823</v>
      </c>
      <c r="K418" s="522" t="s">
        <v>147</v>
      </c>
      <c r="L418" s="610">
        <v>44036.0</v>
      </c>
      <c r="M418" s="610">
        <v>44043.0</v>
      </c>
      <c r="N418" s="522"/>
      <c r="O418" s="522" t="s">
        <v>3828</v>
      </c>
      <c r="P418" s="612">
        <v>0.015</v>
      </c>
      <c r="Q418" s="620"/>
      <c r="R418" s="613"/>
      <c r="S418" s="522" t="str">
        <f t="shared" si="44"/>
        <v>Não Qualificado</v>
      </c>
      <c r="T418" s="522" t="s">
        <v>108</v>
      </c>
      <c r="U418" s="522" t="s">
        <v>2842</v>
      </c>
      <c r="V418" s="522" t="s">
        <v>19</v>
      </c>
      <c r="W418" s="614" t="s">
        <v>3830</v>
      </c>
      <c r="X418" s="614" t="s">
        <v>3830</v>
      </c>
      <c r="Y418" s="614" t="s">
        <v>3830</v>
      </c>
      <c r="Z418" s="614" t="s">
        <v>3830</v>
      </c>
      <c r="AA418" s="614" t="s">
        <v>3830</v>
      </c>
      <c r="AB418" s="614" t="s">
        <v>3830</v>
      </c>
      <c r="AC418" s="614" t="s">
        <v>3830</v>
      </c>
      <c r="AD418" s="614" t="s">
        <v>3830</v>
      </c>
      <c r="AE418" s="614" t="s">
        <v>3830</v>
      </c>
      <c r="AF418" s="614" t="s">
        <v>5022</v>
      </c>
      <c r="AG418" s="614" t="s">
        <v>5023</v>
      </c>
      <c r="AH418" s="614" t="s">
        <v>5024</v>
      </c>
      <c r="AI418" s="614" t="s">
        <v>5025</v>
      </c>
      <c r="AJ418" s="614" t="s">
        <v>5026</v>
      </c>
      <c r="AK418" s="450">
        <v>230034.47</v>
      </c>
      <c r="AL418" s="450">
        <v>164120.99</v>
      </c>
      <c r="AM418" s="450">
        <v>49992.45</v>
      </c>
      <c r="AN418" s="683">
        <v>9340.95</v>
      </c>
      <c r="AO418" s="683">
        <v>766.32</v>
      </c>
      <c r="AP418" s="450">
        <v>765.72</v>
      </c>
      <c r="AQ418" s="450">
        <v>765.52</v>
      </c>
      <c r="AR418" s="450">
        <v>764.47</v>
      </c>
      <c r="AS418" s="450">
        <v>763.42</v>
      </c>
      <c r="AT418" s="450">
        <v>762.32</v>
      </c>
      <c r="AU418" s="450">
        <v>761.22</v>
      </c>
      <c r="AV418" s="450">
        <v>603.78</v>
      </c>
      <c r="AW418" s="450">
        <v>759.17</v>
      </c>
      <c r="AX418" s="450">
        <v>758.17</v>
      </c>
      <c r="AY418" s="450"/>
      <c r="AZ418" s="450"/>
      <c r="BA418" s="450">
        <v>0.0</v>
      </c>
      <c r="BB418" s="450">
        <v>0.0</v>
      </c>
      <c r="BC418" s="450">
        <v>100974.27</v>
      </c>
      <c r="BD418" s="450">
        <v>6.72</v>
      </c>
      <c r="BE418" s="450">
        <v>6.72</v>
      </c>
      <c r="BF418" s="450">
        <v>6.73</v>
      </c>
      <c r="BG418" s="450">
        <v>6.73</v>
      </c>
      <c r="BH418" s="450">
        <v>6.73</v>
      </c>
      <c r="BI418" s="450">
        <v>6.73</v>
      </c>
      <c r="BJ418" s="450">
        <v>6.73</v>
      </c>
      <c r="BK418" s="450">
        <v>6.73</v>
      </c>
      <c r="BL418" s="450">
        <v>6.73</v>
      </c>
      <c r="BM418" s="450">
        <v>6.73</v>
      </c>
      <c r="BN418" s="450">
        <v>6.73</v>
      </c>
      <c r="BO418" s="450">
        <v>6.73</v>
      </c>
      <c r="BP418" s="450">
        <v>6.73</v>
      </c>
      <c r="BQ418" s="450">
        <v>6.73</v>
      </c>
      <c r="BR418" s="450">
        <v>6.73</v>
      </c>
      <c r="BS418" s="615">
        <f t="array" ref="BS418">XLOOKUP(D418,'PL TOTAL XP'!A:A,'PL TOTAL XP'!C:C,"0")</f>
        <v>0</v>
      </c>
      <c r="BT418" s="616"/>
    </row>
    <row r="419" ht="15.75" customHeight="1">
      <c r="A419" s="183" t="s">
        <v>3820</v>
      </c>
      <c r="B419" s="78" t="s">
        <v>5027</v>
      </c>
      <c r="C419" s="564" t="s">
        <v>5028</v>
      </c>
      <c r="D419" s="635">
        <v>7709062.0</v>
      </c>
      <c r="E419" s="511" t="s">
        <v>18</v>
      </c>
      <c r="F419" s="511" t="s">
        <v>19</v>
      </c>
      <c r="G419" s="522" t="s">
        <v>5029</v>
      </c>
      <c r="H419" s="522" t="str">
        <f>IFERROR(VLOOKUP(G419,'Cadastro de assessores'!A:B,2,FALSE),"Não Cadastrado")</f>
        <v>15544</v>
      </c>
      <c r="I419" s="522"/>
      <c r="J419" s="51" t="s">
        <v>186</v>
      </c>
      <c r="K419" s="522" t="s">
        <v>147</v>
      </c>
      <c r="L419" s="619">
        <v>44615.0</v>
      </c>
      <c r="M419" s="619">
        <v>44623.0</v>
      </c>
      <c r="N419" s="567">
        <v>44820.0</v>
      </c>
      <c r="O419" s="566" t="s">
        <v>4168</v>
      </c>
      <c r="P419" s="612">
        <v>0.01</v>
      </c>
      <c r="Q419" s="620" t="s">
        <v>5030</v>
      </c>
      <c r="R419" s="613"/>
      <c r="S419" s="522" t="str">
        <f t="shared" si="44"/>
        <v>Não Qualificado</v>
      </c>
      <c r="T419" s="522" t="s">
        <v>108</v>
      </c>
      <c r="U419" s="522" t="s">
        <v>2652</v>
      </c>
      <c r="V419" s="522" t="s">
        <v>19</v>
      </c>
      <c r="W419" s="614"/>
      <c r="X419" s="614"/>
      <c r="Y419" s="614"/>
      <c r="Z419" s="614"/>
      <c r="AA419" s="614"/>
      <c r="AB419" s="614"/>
      <c r="AC419" s="614"/>
      <c r="AD419" s="614"/>
      <c r="AE419" s="614"/>
      <c r="AF419" s="614"/>
      <c r="AG419" s="614"/>
      <c r="AH419" s="614"/>
      <c r="AI419" s="614"/>
      <c r="AJ419" s="614"/>
      <c r="AK419" s="450"/>
      <c r="AL419" s="450"/>
      <c r="AM419" s="450"/>
      <c r="AN419" s="450"/>
      <c r="AO419" s="450"/>
      <c r="AP419" s="450"/>
      <c r="AQ419" s="450"/>
      <c r="AR419" s="450"/>
      <c r="AS419" s="450"/>
      <c r="AT419" s="450"/>
      <c r="AU419" s="450"/>
      <c r="AV419" s="450"/>
      <c r="AW419" s="450"/>
      <c r="AX419" s="450"/>
      <c r="AY419" s="450"/>
      <c r="AZ419" s="450"/>
      <c r="BA419" s="450"/>
      <c r="BB419" s="450">
        <v>424475.61</v>
      </c>
      <c r="BC419" s="450">
        <v>964.67</v>
      </c>
      <c r="BD419" s="450">
        <v>421105.59</v>
      </c>
      <c r="BE419" s="450">
        <v>418513.57</v>
      </c>
      <c r="BF419" s="450">
        <v>427884.57</v>
      </c>
      <c r="BG419" s="450">
        <v>31955.28</v>
      </c>
      <c r="BH419" s="450">
        <v>0.0</v>
      </c>
      <c r="BI419" s="450">
        <v>0.0</v>
      </c>
      <c r="BJ419" s="450">
        <v>0.0</v>
      </c>
      <c r="BK419" s="450">
        <v>0.0</v>
      </c>
      <c r="BL419" s="450">
        <v>0.0</v>
      </c>
      <c r="BM419" s="450">
        <v>0.0</v>
      </c>
      <c r="BN419" s="450">
        <v>0.0</v>
      </c>
      <c r="BO419" s="450">
        <v>0.0</v>
      </c>
      <c r="BP419" s="450">
        <v>0.0</v>
      </c>
      <c r="BQ419" s="450">
        <v>0.0</v>
      </c>
      <c r="BR419" s="450">
        <v>0.0</v>
      </c>
      <c r="BS419" s="615" t="str">
        <f t="array" ref="BS419">XLOOKUP(D419,'PL TOTAL XP'!A:A,'PL TOTAL XP'!C:C,"0")</f>
        <v>0</v>
      </c>
      <c r="BT419" s="616"/>
    </row>
    <row r="420" ht="15.75" customHeight="1">
      <c r="A420" s="183" t="s">
        <v>3820</v>
      </c>
      <c r="B420" s="78" t="s">
        <v>5031</v>
      </c>
      <c r="C420" s="564" t="s">
        <v>5032</v>
      </c>
      <c r="D420" s="488">
        <v>5577.0</v>
      </c>
      <c r="E420" s="512" t="s">
        <v>18</v>
      </c>
      <c r="F420" s="512" t="s">
        <v>29</v>
      </c>
      <c r="G420" s="512" t="s">
        <v>168</v>
      </c>
      <c r="H420" s="512">
        <f>IFERROR(VLOOKUP(G420,'Cadastro de assessores'!A:B,2,FALSE),"Não Cadastrado")</f>
        <v>12344</v>
      </c>
      <c r="I420" s="512"/>
      <c r="J420" s="51" t="s">
        <v>3823</v>
      </c>
      <c r="K420" s="512" t="s">
        <v>107</v>
      </c>
      <c r="L420" s="624">
        <v>44760.0</v>
      </c>
      <c r="M420" s="624">
        <v>44764.0</v>
      </c>
      <c r="N420" s="566"/>
      <c r="O420" s="566" t="s">
        <v>3836</v>
      </c>
      <c r="P420" s="612">
        <v>0.012</v>
      </c>
      <c r="Q420" s="224"/>
      <c r="R420" s="613"/>
      <c r="S420" s="522"/>
      <c r="T420" s="522" t="s">
        <v>108</v>
      </c>
      <c r="U420" s="566"/>
      <c r="V420" s="566" t="s">
        <v>34</v>
      </c>
      <c r="W420" s="468"/>
      <c r="X420" s="468"/>
      <c r="Y420" s="468"/>
      <c r="Z420" s="468"/>
      <c r="AA420" s="468"/>
      <c r="AB420" s="468"/>
      <c r="AC420" s="468"/>
      <c r="AD420" s="468"/>
      <c r="AE420" s="468"/>
      <c r="AF420" s="468"/>
      <c r="AG420" s="468"/>
      <c r="AH420" s="468"/>
      <c r="AI420" s="468"/>
      <c r="AJ420" s="468"/>
      <c r="AK420" s="450"/>
      <c r="AL420" s="450"/>
      <c r="AM420" s="683"/>
      <c r="AN420" s="683"/>
      <c r="AO420" s="450"/>
      <c r="AP420" s="450"/>
      <c r="AQ420" s="450"/>
      <c r="AR420" s="468"/>
      <c r="AS420" s="450"/>
      <c r="AT420" s="450"/>
      <c r="AU420" s="450"/>
      <c r="AV420" s="450"/>
      <c r="AW420" s="450"/>
      <c r="AX420" s="450"/>
      <c r="AY420" s="450"/>
      <c r="AZ420" s="450"/>
      <c r="BA420" s="450"/>
      <c r="BB420" s="450"/>
      <c r="BC420" s="450"/>
      <c r="BD420" s="450"/>
      <c r="BE420" s="450"/>
      <c r="BF420" s="450">
        <v>150452.47</v>
      </c>
      <c r="BG420" s="450">
        <v>255396.9278</v>
      </c>
      <c r="BH420" s="450">
        <v>257973.14</v>
      </c>
      <c r="BI420" s="450">
        <v>262330.57</v>
      </c>
      <c r="BJ420" s="450">
        <v>263258.57</v>
      </c>
      <c r="BK420" s="450">
        <v>285879.14</v>
      </c>
      <c r="BL420" s="450">
        <v>389043.01</v>
      </c>
      <c r="BM420" s="450">
        <v>392301.38</v>
      </c>
      <c r="BN420" s="450">
        <v>0.0</v>
      </c>
      <c r="BO420" s="450">
        <v>0.0</v>
      </c>
      <c r="BP420" s="450">
        <v>0.0</v>
      </c>
      <c r="BQ420" s="450">
        <v>0.0</v>
      </c>
      <c r="BR420" s="450">
        <v>0.0</v>
      </c>
      <c r="BS420" s="615">
        <f t="array" ref="BS420">XLOOKUP(D420,'PL TOTAL XP'!A:A,'PL TOTAL XP'!C:C,"0")</f>
        <v>0</v>
      </c>
      <c r="BT420" s="616"/>
    </row>
    <row r="421" ht="15.75" customHeight="1">
      <c r="A421" s="183" t="s">
        <v>3820</v>
      </c>
      <c r="B421" s="78" t="s">
        <v>2001</v>
      </c>
      <c r="C421" s="564" t="s">
        <v>5033</v>
      </c>
      <c r="D421" s="623">
        <v>2284049.0</v>
      </c>
      <c r="E421" s="512" t="s">
        <v>18</v>
      </c>
      <c r="F421" s="512" t="s">
        <v>29</v>
      </c>
      <c r="G421" s="512" t="s">
        <v>168</v>
      </c>
      <c r="H421" s="512">
        <f>IFERROR(VLOOKUP(G421,'Cadastro de assessores'!A:B,2,FALSE),"Não Cadastrado")</f>
        <v>12344</v>
      </c>
      <c r="I421" s="512"/>
      <c r="J421" s="51" t="s">
        <v>3823</v>
      </c>
      <c r="K421" s="512" t="s">
        <v>107</v>
      </c>
      <c r="L421" s="624">
        <v>44636.0</v>
      </c>
      <c r="M421" s="624">
        <v>44645.0</v>
      </c>
      <c r="N421" s="566"/>
      <c r="O421" s="566" t="s">
        <v>3834</v>
      </c>
      <c r="P421" s="612">
        <v>0.007</v>
      </c>
      <c r="Q421" s="224"/>
      <c r="R421" s="613"/>
      <c r="S421" s="522" t="str">
        <f t="shared" ref="S421:S428" si="45">IF(BC421&lt;=0,"",IF(BC421&lt;=1000000,"Não Qualificado",IF(AND(BC421&gt;1000000,BC421&lt;=10000000),"Qualificado","Profissional")))</f>
        <v>Não Qualificado</v>
      </c>
      <c r="T421" s="522" t="s">
        <v>108</v>
      </c>
      <c r="U421" s="566" t="s">
        <v>3407</v>
      </c>
      <c r="V421" s="566" t="s">
        <v>29</v>
      </c>
      <c r="W421" s="468"/>
      <c r="X421" s="468"/>
      <c r="Y421" s="468"/>
      <c r="Z421" s="468"/>
      <c r="AA421" s="468"/>
      <c r="AB421" s="468"/>
      <c r="AC421" s="468"/>
      <c r="AD421" s="468"/>
      <c r="AE421" s="468"/>
      <c r="AF421" s="468"/>
      <c r="AG421" s="468"/>
      <c r="AH421" s="468"/>
      <c r="AI421" s="468"/>
      <c r="AJ421" s="468"/>
      <c r="AK421" s="450"/>
      <c r="AL421" s="450"/>
      <c r="AM421" s="683"/>
      <c r="AN421" s="683"/>
      <c r="AO421" s="450"/>
      <c r="AP421" s="450"/>
      <c r="AQ421" s="450"/>
      <c r="AR421" s="468"/>
      <c r="AS421" s="450"/>
      <c r="AT421" s="450"/>
      <c r="AU421" s="450"/>
      <c r="AV421" s="450"/>
      <c r="AW421" s="450"/>
      <c r="AX421" s="450"/>
      <c r="AY421" s="450"/>
      <c r="AZ421" s="450"/>
      <c r="BA421" s="450"/>
      <c r="BB421" s="450">
        <v>77144.95</v>
      </c>
      <c r="BC421" s="450">
        <v>8178.93</v>
      </c>
      <c r="BD421" s="450">
        <v>95150.09</v>
      </c>
      <c r="BE421" s="450">
        <v>94945.35</v>
      </c>
      <c r="BF421" s="450">
        <v>95631.23</v>
      </c>
      <c r="BG421" s="450">
        <v>97307.95969</v>
      </c>
      <c r="BH421" s="450">
        <v>97831.77</v>
      </c>
      <c r="BI421" s="450">
        <v>98500.44</v>
      </c>
      <c r="BJ421" s="450">
        <v>98453.76</v>
      </c>
      <c r="BK421" s="450">
        <v>99020.15</v>
      </c>
      <c r="BL421" s="450">
        <v>99457.3</v>
      </c>
      <c r="BM421" s="450">
        <v>100191.32</v>
      </c>
      <c r="BN421" s="450">
        <v>66.07</v>
      </c>
      <c r="BO421" s="450">
        <v>66.07</v>
      </c>
      <c r="BP421" s="450">
        <v>66.07</v>
      </c>
      <c r="BQ421" s="450">
        <v>66.07</v>
      </c>
      <c r="BR421" s="450">
        <v>66.07</v>
      </c>
      <c r="BS421" s="615">
        <f t="array" ref="BS421">XLOOKUP(D421,'PL TOTAL XP'!A:A,'PL TOTAL XP'!C:C,"0")</f>
        <v>5119.07</v>
      </c>
      <c r="BT421" s="616"/>
    </row>
    <row r="422" ht="15.75" customHeight="1">
      <c r="A422" s="183" t="s">
        <v>3820</v>
      </c>
      <c r="B422" s="78" t="s">
        <v>5034</v>
      </c>
      <c r="C422" s="564" t="s">
        <v>5035</v>
      </c>
      <c r="D422" s="566">
        <v>5603037.0</v>
      </c>
      <c r="E422" s="522" t="s">
        <v>2550</v>
      </c>
      <c r="F422" s="511" t="s">
        <v>29</v>
      </c>
      <c r="G422" s="566" t="s">
        <v>2550</v>
      </c>
      <c r="H422" s="566" t="str">
        <f>IFERROR(VLOOKUP(G422,'Cadastro de assessores'!A:B,2,FALSE),"Não Cadastrado")</f>
        <v>18986</v>
      </c>
      <c r="I422" s="566"/>
      <c r="J422" s="51" t="s">
        <v>186</v>
      </c>
      <c r="K422" s="693" t="s">
        <v>107</v>
      </c>
      <c r="L422" s="619">
        <v>44358.0</v>
      </c>
      <c r="M422" s="619">
        <v>44361.0</v>
      </c>
      <c r="N422" s="619">
        <v>44831.0</v>
      </c>
      <c r="O422" s="522" t="s">
        <v>3836</v>
      </c>
      <c r="P422" s="612">
        <v>0.012</v>
      </c>
      <c r="Q422" s="224" t="s">
        <v>5036</v>
      </c>
      <c r="R422" s="613"/>
      <c r="S422" s="522" t="str">
        <f t="shared" si="45"/>
        <v/>
      </c>
      <c r="T422" s="522" t="s">
        <v>108</v>
      </c>
      <c r="U422" s="566" t="s">
        <v>2942</v>
      </c>
      <c r="V422" s="566" t="s">
        <v>29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8"/>
      <c r="AJ422" s="468"/>
      <c r="AK422" s="450"/>
      <c r="AL422" s="450"/>
      <c r="AM422" s="683"/>
      <c r="AN422" s="683"/>
      <c r="AO422" s="450"/>
      <c r="AP422" s="450"/>
      <c r="AQ422" s="450"/>
      <c r="AR422" s="468"/>
      <c r="AS422" s="450">
        <v>179080.44</v>
      </c>
      <c r="AT422" s="450">
        <v>177667.68</v>
      </c>
      <c r="AU422" s="450">
        <v>177390.63</v>
      </c>
      <c r="AV422" s="450">
        <v>176513.25</v>
      </c>
      <c r="AW422" s="450">
        <v>174540.56</v>
      </c>
      <c r="AX422" s="450">
        <v>175051.04</v>
      </c>
      <c r="AY422" s="450">
        <v>176221.37</v>
      </c>
      <c r="AZ422" s="450">
        <v>179778.6</v>
      </c>
      <c r="BA422" s="450">
        <v>181123.17</v>
      </c>
      <c r="BB422" s="450">
        <v>185286.7</v>
      </c>
      <c r="BC422" s="450"/>
      <c r="BD422" s="450">
        <v>186279.26</v>
      </c>
      <c r="BE422" s="450">
        <v>186726.57</v>
      </c>
      <c r="BF422" s="450">
        <v>189154.18</v>
      </c>
      <c r="BG422" s="450">
        <v>190267.4228</v>
      </c>
      <c r="BH422" s="450">
        <v>0.0</v>
      </c>
      <c r="BI422" s="450">
        <v>0.0</v>
      </c>
      <c r="BJ422" s="450">
        <v>0.0</v>
      </c>
      <c r="BK422" s="450">
        <v>0.0</v>
      </c>
      <c r="BL422" s="450">
        <v>0.0</v>
      </c>
      <c r="BM422" s="450">
        <v>0.0</v>
      </c>
      <c r="BN422" s="450">
        <v>0.0</v>
      </c>
      <c r="BO422" s="450">
        <v>0.0</v>
      </c>
      <c r="BP422" s="450">
        <v>0.0</v>
      </c>
      <c r="BQ422" s="450">
        <v>0.0</v>
      </c>
      <c r="BR422" s="450">
        <v>0.0</v>
      </c>
      <c r="BS422" s="615" t="str">
        <f t="array" ref="BS422">XLOOKUP(D422,'PL TOTAL XP'!A:A,'PL TOTAL XP'!C:C,"0")</f>
        <v>0</v>
      </c>
      <c r="BT422" s="616"/>
    </row>
    <row r="423" ht="15.75" customHeight="1">
      <c r="A423" s="183" t="s">
        <v>3820</v>
      </c>
      <c r="B423" s="78" t="s">
        <v>5037</v>
      </c>
      <c r="C423" s="564" t="s">
        <v>5038</v>
      </c>
      <c r="D423" s="511">
        <v>5646446.0</v>
      </c>
      <c r="E423" s="522" t="s">
        <v>105</v>
      </c>
      <c r="F423" s="511" t="s">
        <v>29</v>
      </c>
      <c r="G423" s="511" t="s">
        <v>4201</v>
      </c>
      <c r="H423" s="609">
        <f>IFERROR(VLOOKUP(G423,'Cadastro de assessores'!A:B,2,FALSE),"Não Cadastrado")</f>
        <v>12347</v>
      </c>
      <c r="I423" s="609"/>
      <c r="J423" s="51" t="s">
        <v>3823</v>
      </c>
      <c r="K423" s="512" t="s">
        <v>107</v>
      </c>
      <c r="L423" s="610">
        <v>44361.0</v>
      </c>
      <c r="M423" s="610">
        <v>44361.0</v>
      </c>
      <c r="N423" s="522"/>
      <c r="O423" s="522" t="s">
        <v>3836</v>
      </c>
      <c r="P423" s="612">
        <v>0.012</v>
      </c>
      <c r="Q423" s="622" t="s">
        <v>5039</v>
      </c>
      <c r="R423" s="613"/>
      <c r="S423" s="522" t="str">
        <f t="shared" si="45"/>
        <v/>
      </c>
      <c r="T423" s="522" t="s">
        <v>108</v>
      </c>
      <c r="U423" s="566" t="s">
        <v>3123</v>
      </c>
      <c r="V423" s="566" t="s">
        <v>29</v>
      </c>
      <c r="W423" s="468"/>
      <c r="X423" s="468"/>
      <c r="Y423" s="468"/>
      <c r="Z423" s="468"/>
      <c r="AA423" s="468"/>
      <c r="AB423" s="468"/>
      <c r="AC423" s="468"/>
      <c r="AD423" s="468"/>
      <c r="AE423" s="468"/>
      <c r="AF423" s="468"/>
      <c r="AG423" s="468"/>
      <c r="AH423" s="468"/>
      <c r="AI423" s="468"/>
      <c r="AJ423" s="468"/>
      <c r="AK423" s="450"/>
      <c r="AL423" s="450"/>
      <c r="AM423" s="683"/>
      <c r="AN423" s="683"/>
      <c r="AO423" s="450"/>
      <c r="AP423" s="450"/>
      <c r="AQ423" s="450"/>
      <c r="AR423" s="468"/>
      <c r="AS423" s="450">
        <v>99486.96</v>
      </c>
      <c r="AT423" s="450">
        <v>98741.88</v>
      </c>
      <c r="AU423" s="450">
        <v>98622.08</v>
      </c>
      <c r="AV423" s="450">
        <v>97992.65</v>
      </c>
      <c r="AW423" s="450">
        <v>96580.0</v>
      </c>
      <c r="AX423" s="450">
        <v>96741.63</v>
      </c>
      <c r="AY423" s="450">
        <v>97588.61</v>
      </c>
      <c r="AZ423" s="450">
        <v>99675.81</v>
      </c>
      <c r="BA423" s="450">
        <v>100420.04</v>
      </c>
      <c r="BB423" s="450">
        <v>102689.98</v>
      </c>
      <c r="BC423" s="450"/>
      <c r="BD423" s="450">
        <v>103368.06</v>
      </c>
      <c r="BE423" s="450">
        <v>103599.96</v>
      </c>
      <c r="BF423" s="450">
        <v>104929.58</v>
      </c>
      <c r="BG423" s="450">
        <v>105561.3726</v>
      </c>
      <c r="BH423" s="450">
        <v>105848.05</v>
      </c>
      <c r="BI423" s="450">
        <v>107710.65</v>
      </c>
      <c r="BJ423" s="450">
        <v>107750.06</v>
      </c>
      <c r="BK423" s="450">
        <v>139.04</v>
      </c>
      <c r="BL423" s="450">
        <v>138.75</v>
      </c>
      <c r="BM423" s="450">
        <v>138.75</v>
      </c>
      <c r="BN423" s="450">
        <v>0.0</v>
      </c>
      <c r="BO423" s="450">
        <v>0.0</v>
      </c>
      <c r="BP423" s="450">
        <v>0.0</v>
      </c>
      <c r="BQ423" s="450">
        <v>0.0</v>
      </c>
      <c r="BR423" s="450">
        <v>0.0</v>
      </c>
      <c r="BS423" s="615">
        <f t="array" ref="BS423">XLOOKUP(D423,'PL TOTAL XP'!A:A,'PL TOTAL XP'!C:C,"0")</f>
        <v>0</v>
      </c>
      <c r="BT423" s="616"/>
    </row>
    <row r="424" ht="15.75" customHeight="1">
      <c r="A424" s="183" t="s">
        <v>3820</v>
      </c>
      <c r="B424" s="78" t="s">
        <v>3395</v>
      </c>
      <c r="C424" s="617" t="s">
        <v>5040</v>
      </c>
      <c r="D424" s="522">
        <v>3768368.0</v>
      </c>
      <c r="E424" s="512" t="s">
        <v>18</v>
      </c>
      <c r="F424" s="512" t="s">
        <v>29</v>
      </c>
      <c r="G424" s="512" t="s">
        <v>2605</v>
      </c>
      <c r="H424" s="512" t="str">
        <f>IFERROR(VLOOKUP(G424,'Cadastro de assessores'!A:B,2,FALSE),"Não Cadastrado")</f>
        <v>18836</v>
      </c>
      <c r="I424" s="512"/>
      <c r="J424" s="51" t="s">
        <v>3823</v>
      </c>
      <c r="K424" s="512" t="s">
        <v>107</v>
      </c>
      <c r="L424" s="611">
        <v>44138.0</v>
      </c>
      <c r="M424" s="611">
        <v>44151.0</v>
      </c>
      <c r="N424" s="566"/>
      <c r="O424" s="566" t="s">
        <v>3869</v>
      </c>
      <c r="P424" s="612">
        <v>0.008</v>
      </c>
      <c r="Q424" s="620"/>
      <c r="R424" s="613"/>
      <c r="S424" s="522" t="str">
        <f t="shared" si="45"/>
        <v/>
      </c>
      <c r="T424" s="522" t="s">
        <v>108</v>
      </c>
      <c r="U424" s="522" t="s">
        <v>2664</v>
      </c>
      <c r="V424" s="522" t="s">
        <v>791</v>
      </c>
      <c r="W424" s="614" t="s">
        <v>3830</v>
      </c>
      <c r="X424" s="614" t="s">
        <v>3830</v>
      </c>
      <c r="Y424" s="614" t="s">
        <v>3830</v>
      </c>
      <c r="Z424" s="614" t="s">
        <v>3830</v>
      </c>
      <c r="AA424" s="614" t="s">
        <v>3830</v>
      </c>
      <c r="AB424" s="614" t="s">
        <v>3830</v>
      </c>
      <c r="AC424" s="614" t="s">
        <v>3830</v>
      </c>
      <c r="AD424" s="614" t="s">
        <v>3830</v>
      </c>
      <c r="AE424" s="614" t="s">
        <v>3830</v>
      </c>
      <c r="AF424" s="614" t="s">
        <v>3830</v>
      </c>
      <c r="AG424" s="614" t="s">
        <v>3830</v>
      </c>
      <c r="AH424" s="614" t="s">
        <v>3830</v>
      </c>
      <c r="AI424" s="614" t="s">
        <v>3830</v>
      </c>
      <c r="AJ424" s="614" t="s">
        <v>5041</v>
      </c>
      <c r="AK424" s="450">
        <v>184047.01</v>
      </c>
      <c r="AL424" s="450">
        <v>185599.02</v>
      </c>
      <c r="AM424" s="450">
        <v>192943.12</v>
      </c>
      <c r="AN424" s="683">
        <v>186927.29</v>
      </c>
      <c r="AO424" s="683">
        <v>187877.53</v>
      </c>
      <c r="AP424" s="450">
        <v>188044.73</v>
      </c>
      <c r="AQ424" s="450">
        <v>193084.91</v>
      </c>
      <c r="AR424" s="450">
        <v>193593.09</v>
      </c>
      <c r="AS424" s="450">
        <v>193457.96</v>
      </c>
      <c r="AT424" s="450">
        <v>199267.25</v>
      </c>
      <c r="AU424" s="450">
        <v>193341.29</v>
      </c>
      <c r="AV424" s="450">
        <v>191535.03</v>
      </c>
      <c r="AW424" s="450">
        <v>187466.74</v>
      </c>
      <c r="AX424" s="450">
        <v>175512.59</v>
      </c>
      <c r="AY424" s="450">
        <v>183520.45</v>
      </c>
      <c r="AZ424" s="450">
        <v>186195.0</v>
      </c>
      <c r="BA424" s="450">
        <v>188387.74</v>
      </c>
      <c r="BB424" s="450">
        <v>188617.9</v>
      </c>
      <c r="BC424" s="450"/>
      <c r="BD424" s="450">
        <v>195352.51</v>
      </c>
      <c r="BE424" s="450">
        <v>195450.77</v>
      </c>
      <c r="BF424" s="450">
        <v>197563.01</v>
      </c>
      <c r="BG424" s="450">
        <v>202898.63</v>
      </c>
      <c r="BH424" s="450">
        <v>202815.16</v>
      </c>
      <c r="BI424" s="450">
        <v>207841.93</v>
      </c>
      <c r="BJ424" s="450">
        <v>201561.6</v>
      </c>
      <c r="BK424" s="450">
        <v>201031.41</v>
      </c>
      <c r="BL424" s="450">
        <v>202277.88</v>
      </c>
      <c r="BM424" s="450">
        <v>200845.23</v>
      </c>
      <c r="BN424" s="450">
        <v>0.0</v>
      </c>
      <c r="BO424" s="450">
        <v>0.0</v>
      </c>
      <c r="BP424" s="450">
        <v>0.0</v>
      </c>
      <c r="BQ424" s="450">
        <v>0.0</v>
      </c>
      <c r="BR424" s="450">
        <v>0.0</v>
      </c>
      <c r="BS424" s="615">
        <f t="array" ref="BS424">XLOOKUP(D424,'PL TOTAL XP'!A:A,'PL TOTAL XP'!C:C,"0")</f>
        <v>0</v>
      </c>
      <c r="BT424" s="616"/>
    </row>
    <row r="425" ht="15.75" customHeight="1">
      <c r="A425" s="183" t="s">
        <v>3820</v>
      </c>
      <c r="B425" s="78" t="s">
        <v>3395</v>
      </c>
      <c r="C425" s="617" t="s">
        <v>5040</v>
      </c>
      <c r="D425" s="522">
        <v>4587723.0</v>
      </c>
      <c r="E425" s="512" t="s">
        <v>18</v>
      </c>
      <c r="F425" s="512" t="s">
        <v>29</v>
      </c>
      <c r="G425" s="512" t="s">
        <v>2605</v>
      </c>
      <c r="H425" s="512" t="str">
        <f>IFERROR(VLOOKUP(G425,'Cadastro de assessores'!A:B,2,FALSE),"Não Cadastrado")</f>
        <v>18836</v>
      </c>
      <c r="I425" s="512"/>
      <c r="J425" s="51" t="s">
        <v>3823</v>
      </c>
      <c r="K425" s="512" t="s">
        <v>107</v>
      </c>
      <c r="L425" s="611">
        <v>44151.0</v>
      </c>
      <c r="M425" s="611">
        <v>44151.0</v>
      </c>
      <c r="N425" s="522"/>
      <c r="O425" s="522" t="s">
        <v>3840</v>
      </c>
      <c r="P425" s="612">
        <v>0.025</v>
      </c>
      <c r="Q425" s="620"/>
      <c r="R425" s="613"/>
      <c r="S425" s="522" t="str">
        <f t="shared" si="45"/>
        <v/>
      </c>
      <c r="T425" s="522" t="s">
        <v>108</v>
      </c>
      <c r="U425" s="522" t="s">
        <v>2664</v>
      </c>
      <c r="V425" s="522" t="s">
        <v>791</v>
      </c>
      <c r="W425" s="614" t="s">
        <v>3830</v>
      </c>
      <c r="X425" s="614" t="s">
        <v>3830</v>
      </c>
      <c r="Y425" s="614" t="s">
        <v>3830</v>
      </c>
      <c r="Z425" s="614" t="s">
        <v>3830</v>
      </c>
      <c r="AA425" s="614" t="s">
        <v>3830</v>
      </c>
      <c r="AB425" s="614" t="s">
        <v>3830</v>
      </c>
      <c r="AC425" s="614" t="s">
        <v>3830</v>
      </c>
      <c r="AD425" s="614" t="s">
        <v>3830</v>
      </c>
      <c r="AE425" s="614" t="s">
        <v>3830</v>
      </c>
      <c r="AF425" s="614" t="s">
        <v>3830</v>
      </c>
      <c r="AG425" s="614" t="s">
        <v>3830</v>
      </c>
      <c r="AH425" s="614" t="s">
        <v>3830</v>
      </c>
      <c r="AI425" s="614" t="s">
        <v>3830</v>
      </c>
      <c r="AJ425" s="614" t="s">
        <v>5042</v>
      </c>
      <c r="AK425" s="450">
        <v>15676.76</v>
      </c>
      <c r="AL425" s="450">
        <v>24612.3</v>
      </c>
      <c r="AM425" s="450">
        <v>33703.22</v>
      </c>
      <c r="AN425" s="683">
        <v>33680.96</v>
      </c>
      <c r="AO425" s="683">
        <v>45797.09</v>
      </c>
      <c r="AP425" s="450">
        <v>46396.0</v>
      </c>
      <c r="AQ425" s="450">
        <v>51829.96</v>
      </c>
      <c r="AR425" s="450">
        <v>64245.73</v>
      </c>
      <c r="AS425" s="450">
        <v>70964.86</v>
      </c>
      <c r="AT425" s="450">
        <v>67196.11</v>
      </c>
      <c r="AU425" s="450">
        <v>85891.04</v>
      </c>
      <c r="AV425" s="450">
        <v>80647.26</v>
      </c>
      <c r="AW425" s="450">
        <v>83487.95</v>
      </c>
      <c r="AX425" s="450">
        <v>92608.39</v>
      </c>
      <c r="AY425" s="450">
        <v>104133.22</v>
      </c>
      <c r="AZ425" s="450">
        <v>119622.19</v>
      </c>
      <c r="BA425" s="450">
        <v>128875.88</v>
      </c>
      <c r="BB425" s="450">
        <v>137140.29</v>
      </c>
      <c r="BC425" s="450"/>
      <c r="BD425" s="450">
        <v>137549.93</v>
      </c>
      <c r="BE425" s="450">
        <v>131729.25</v>
      </c>
      <c r="BF425" s="450">
        <v>137512.7</v>
      </c>
      <c r="BG425" s="450">
        <v>138136.74</v>
      </c>
      <c r="BH425" s="450">
        <v>136969.75</v>
      </c>
      <c r="BI425" s="450">
        <v>158847.8</v>
      </c>
      <c r="BJ425" s="450">
        <v>154876.33</v>
      </c>
      <c r="BK425" s="450">
        <v>154678.89</v>
      </c>
      <c r="BL425" s="450">
        <v>168123.34</v>
      </c>
      <c r="BM425" s="450">
        <v>161244.16</v>
      </c>
      <c r="BN425" s="450">
        <v>0.0</v>
      </c>
      <c r="BO425" s="450">
        <v>0.0</v>
      </c>
      <c r="BP425" s="450">
        <v>0.0</v>
      </c>
      <c r="BQ425" s="450">
        <v>12.98</v>
      </c>
      <c r="BR425" s="450">
        <v>12.98</v>
      </c>
      <c r="BS425" s="615">
        <f t="array" ref="BS425">XLOOKUP(D425,'PL TOTAL XP'!A:A,'PL TOTAL XP'!C:C,"0")</f>
        <v>0</v>
      </c>
      <c r="BT425" s="616"/>
    </row>
    <row r="426" ht="15.75" customHeight="1">
      <c r="A426" s="183" t="s">
        <v>3820</v>
      </c>
      <c r="B426" s="78" t="s">
        <v>5043</v>
      </c>
      <c r="C426" s="564" t="s">
        <v>5044</v>
      </c>
      <c r="D426" s="566">
        <v>5563710.0</v>
      </c>
      <c r="E426" s="522" t="s">
        <v>18</v>
      </c>
      <c r="F426" s="511" t="s">
        <v>19</v>
      </c>
      <c r="G426" s="522" t="s">
        <v>256</v>
      </c>
      <c r="H426" s="511" t="str">
        <f>IFERROR(VLOOKUP(G426,'Cadastro de assessores'!A:B,2,FALSE),"Não Cadastrado")</f>
        <v>18009</v>
      </c>
      <c r="I426" s="511"/>
      <c r="J426" s="51" t="s">
        <v>186</v>
      </c>
      <c r="K426" s="522" t="s">
        <v>2563</v>
      </c>
      <c r="L426" s="619">
        <v>44362.0</v>
      </c>
      <c r="M426" s="619">
        <v>44362.0</v>
      </c>
      <c r="N426" s="567">
        <v>44714.0</v>
      </c>
      <c r="O426" s="566" t="s">
        <v>3824</v>
      </c>
      <c r="P426" s="612">
        <v>0.02</v>
      </c>
      <c r="Q426" s="620" t="s">
        <v>4775</v>
      </c>
      <c r="R426" s="613"/>
      <c r="S426" s="522" t="str">
        <f t="shared" si="45"/>
        <v>Não Qualificado</v>
      </c>
      <c r="T426" s="522" t="s">
        <v>108</v>
      </c>
      <c r="U426" s="522" t="s">
        <v>2619</v>
      </c>
      <c r="V426" s="522" t="s">
        <v>152</v>
      </c>
      <c r="W426" s="468"/>
      <c r="X426" s="468"/>
      <c r="Y426" s="468"/>
      <c r="Z426" s="468"/>
      <c r="AA426" s="468"/>
      <c r="AB426" s="468"/>
      <c r="AC426" s="468"/>
      <c r="AD426" s="468"/>
      <c r="AE426" s="468"/>
      <c r="AF426" s="468"/>
      <c r="AG426" s="468"/>
      <c r="AH426" s="468"/>
      <c r="AI426" s="468"/>
      <c r="AJ426" s="468"/>
      <c r="AK426" s="450"/>
      <c r="AL426" s="450"/>
      <c r="AM426" s="450"/>
      <c r="AN426" s="450"/>
      <c r="AO426" s="450"/>
      <c r="AP426" s="450"/>
      <c r="AQ426" s="468"/>
      <c r="AR426" s="449"/>
      <c r="AS426" s="450">
        <v>137240.56</v>
      </c>
      <c r="AT426" s="450">
        <v>142568.02</v>
      </c>
      <c r="AU426" s="450">
        <v>155404.07</v>
      </c>
      <c r="AV426" s="450">
        <v>165764.8</v>
      </c>
      <c r="AW426" s="450">
        <v>157071.65</v>
      </c>
      <c r="AX426" s="450">
        <v>156313.53</v>
      </c>
      <c r="AY426" s="450">
        <v>158236.33</v>
      </c>
      <c r="AZ426" s="450">
        <v>176018.59</v>
      </c>
      <c r="BA426" s="450">
        <v>187598.03</v>
      </c>
      <c r="BB426" s="450">
        <v>195810.51</v>
      </c>
      <c r="BC426" s="450">
        <v>127064.87</v>
      </c>
      <c r="BD426" s="450">
        <v>270352.33</v>
      </c>
      <c r="BE426" s="450" t="s">
        <v>2566</v>
      </c>
      <c r="BF426" s="450">
        <v>0.0</v>
      </c>
      <c r="BG426" s="450">
        <v>0.0</v>
      </c>
      <c r="BH426" s="450">
        <v>0.0</v>
      </c>
      <c r="BI426" s="450">
        <v>0.0</v>
      </c>
      <c r="BJ426" s="450">
        <v>0.0</v>
      </c>
      <c r="BK426" s="450">
        <v>0.0</v>
      </c>
      <c r="BL426" s="450">
        <v>0.0</v>
      </c>
      <c r="BM426" s="450">
        <v>0.0</v>
      </c>
      <c r="BN426" s="450">
        <v>0.0</v>
      </c>
      <c r="BO426" s="450">
        <v>0.0</v>
      </c>
      <c r="BP426" s="450">
        <v>0.0</v>
      </c>
      <c r="BQ426" s="450">
        <v>0.0</v>
      </c>
      <c r="BR426" s="450">
        <v>0.0</v>
      </c>
      <c r="BS426" s="615" t="str">
        <f t="array" ref="BS426">XLOOKUP(D426,'PL TOTAL XP'!A:A,'PL TOTAL XP'!C:C,"0")</f>
        <v>0</v>
      </c>
      <c r="BT426" s="616"/>
    </row>
    <row r="427" ht="15.75" customHeight="1">
      <c r="A427" s="183" t="s">
        <v>3820</v>
      </c>
      <c r="B427" s="78" t="s">
        <v>5045</v>
      </c>
      <c r="C427" s="617" t="s">
        <v>5046</v>
      </c>
      <c r="D427" s="522">
        <v>5709377.0</v>
      </c>
      <c r="E427" s="522" t="s">
        <v>18</v>
      </c>
      <c r="F427" s="522" t="s">
        <v>29</v>
      </c>
      <c r="G427" s="522" t="s">
        <v>5047</v>
      </c>
      <c r="H427" s="522" t="str">
        <f>IFERROR(VLOOKUP(G427,'Cadastro de assessores'!A:B,2,FALSE),"Não Cadastrado")</f>
        <v>17109</v>
      </c>
      <c r="I427" s="522"/>
      <c r="J427" s="51" t="s">
        <v>186</v>
      </c>
      <c r="K427" s="522" t="s">
        <v>2563</v>
      </c>
      <c r="L427" s="522" t="s">
        <v>2600</v>
      </c>
      <c r="M427" s="522" t="s">
        <v>2600</v>
      </c>
      <c r="N427" s="619">
        <v>44384.0</v>
      </c>
      <c r="O427" s="522" t="s">
        <v>3836</v>
      </c>
      <c r="P427" s="612">
        <v>0.012</v>
      </c>
      <c r="Q427" s="620" t="s">
        <v>5048</v>
      </c>
      <c r="R427" s="613"/>
      <c r="S427" s="522" t="str">
        <f t="shared" si="45"/>
        <v>Não Qualificado</v>
      </c>
      <c r="T427" s="522" t="s">
        <v>108</v>
      </c>
      <c r="U427" s="522"/>
      <c r="V427" s="522" t="s">
        <v>2600</v>
      </c>
      <c r="W427" s="614"/>
      <c r="X427" s="614"/>
      <c r="Y427" s="614"/>
      <c r="Z427" s="614"/>
      <c r="AA427" s="614"/>
      <c r="AB427" s="614"/>
      <c r="AC427" s="614"/>
      <c r="AD427" s="614"/>
      <c r="AE427" s="614"/>
      <c r="AF427" s="614"/>
      <c r="AG427" s="614"/>
      <c r="AH427" s="614"/>
      <c r="AI427" s="614"/>
      <c r="AJ427" s="614"/>
      <c r="AK427" s="450"/>
      <c r="AL427" s="450"/>
      <c r="AM427" s="450"/>
      <c r="AN427" s="450"/>
      <c r="AO427" s="450"/>
      <c r="AP427" s="450"/>
      <c r="AQ427" s="450"/>
      <c r="AR427" s="450"/>
      <c r="AS427" s="450">
        <v>999.9</v>
      </c>
      <c r="AT427" s="450"/>
      <c r="AU427" s="450"/>
      <c r="AV427" s="450"/>
      <c r="AW427" s="450"/>
      <c r="AX427" s="450"/>
      <c r="AY427" s="450"/>
      <c r="AZ427" s="450">
        <v>0.0</v>
      </c>
      <c r="BA427" s="450">
        <v>0.0</v>
      </c>
      <c r="BB427" s="450">
        <v>0.0</v>
      </c>
      <c r="BC427" s="450">
        <v>209385.67</v>
      </c>
      <c r="BD427" s="450" t="s">
        <v>2566</v>
      </c>
      <c r="BE427" s="450" t="s">
        <v>2566</v>
      </c>
      <c r="BF427" s="450">
        <v>0.0</v>
      </c>
      <c r="BG427" s="450">
        <v>0.0</v>
      </c>
      <c r="BH427" s="450">
        <v>0.0</v>
      </c>
      <c r="BI427" s="450">
        <v>0.0</v>
      </c>
      <c r="BJ427" s="450">
        <v>0.0</v>
      </c>
      <c r="BK427" s="450">
        <v>0.0</v>
      </c>
      <c r="BL427" s="450">
        <v>0.0</v>
      </c>
      <c r="BM427" s="450">
        <v>0.0</v>
      </c>
      <c r="BN427" s="450">
        <v>0.0</v>
      </c>
      <c r="BO427" s="450">
        <v>0.0</v>
      </c>
      <c r="BP427" s="450">
        <v>0.0</v>
      </c>
      <c r="BQ427" s="450">
        <v>0.0</v>
      </c>
      <c r="BR427" s="450">
        <v>0.0</v>
      </c>
      <c r="BS427" s="615" t="str">
        <f t="array" ref="BS427">XLOOKUP(D427,'PL TOTAL XP'!A:A,'PL TOTAL XP'!C:C,"0")</f>
        <v>0</v>
      </c>
      <c r="BT427" s="616"/>
    </row>
    <row r="428" ht="15.75" customHeight="1">
      <c r="A428" s="183" t="s">
        <v>3820</v>
      </c>
      <c r="B428" s="78" t="s">
        <v>5049</v>
      </c>
      <c r="C428" s="564" t="s">
        <v>5050</v>
      </c>
      <c r="D428" s="566">
        <v>2545354.0</v>
      </c>
      <c r="E428" s="512" t="s">
        <v>18</v>
      </c>
      <c r="F428" s="609" t="s">
        <v>19</v>
      </c>
      <c r="G428" s="512" t="s">
        <v>256</v>
      </c>
      <c r="H428" s="609" t="str">
        <f>IFERROR(VLOOKUP(G428,'Cadastro de assessores'!A:B,2,FALSE),"Não Cadastrado")</f>
        <v>18009</v>
      </c>
      <c r="I428" s="609"/>
      <c r="J428" s="51" t="s">
        <v>3823</v>
      </c>
      <c r="K428" s="566" t="s">
        <v>107</v>
      </c>
      <c r="L428" s="694">
        <v>44355.0</v>
      </c>
      <c r="M428" s="694">
        <v>44355.0</v>
      </c>
      <c r="N428" s="670"/>
      <c r="O428" s="522" t="s">
        <v>3828</v>
      </c>
      <c r="P428" s="612">
        <v>0.015</v>
      </c>
      <c r="Q428" s="224"/>
      <c r="R428" s="613"/>
      <c r="S428" s="522" t="str">
        <f t="shared" si="45"/>
        <v>Não Qualificado</v>
      </c>
      <c r="T428" s="522" t="s">
        <v>108</v>
      </c>
      <c r="U428" s="566" t="s">
        <v>4112</v>
      </c>
      <c r="V428" s="566" t="s">
        <v>152</v>
      </c>
      <c r="W428" s="468"/>
      <c r="X428" s="468"/>
      <c r="Y428" s="468"/>
      <c r="Z428" s="468"/>
      <c r="AA428" s="468"/>
      <c r="AB428" s="468"/>
      <c r="AC428" s="468"/>
      <c r="AD428" s="468"/>
      <c r="AE428" s="468"/>
      <c r="AF428" s="468"/>
      <c r="AG428" s="468"/>
      <c r="AH428" s="468"/>
      <c r="AI428" s="468"/>
      <c r="AJ428" s="468"/>
      <c r="AK428" s="450"/>
      <c r="AL428" s="450"/>
      <c r="AM428" s="683"/>
      <c r="AN428" s="683"/>
      <c r="AO428" s="450"/>
      <c r="AP428" s="450"/>
      <c r="AQ428" s="468"/>
      <c r="AR428" s="449">
        <v>106043.2</v>
      </c>
      <c r="AS428" s="450">
        <v>105556.23</v>
      </c>
      <c r="AT428" s="450">
        <v>103419.67</v>
      </c>
      <c r="AU428" s="450">
        <v>102651.87</v>
      </c>
      <c r="AV428" s="450">
        <v>101005.98</v>
      </c>
      <c r="AW428" s="450">
        <v>97830.85</v>
      </c>
      <c r="AX428" s="450">
        <v>97916.9</v>
      </c>
      <c r="AY428" s="450">
        <v>99553.4</v>
      </c>
      <c r="AZ428" s="450">
        <v>102375.85</v>
      </c>
      <c r="BA428" s="450">
        <v>103712.78</v>
      </c>
      <c r="BB428" s="450">
        <v>107291.42</v>
      </c>
      <c r="BC428" s="450">
        <v>425951.26</v>
      </c>
      <c r="BD428" s="450">
        <v>106911.84</v>
      </c>
      <c r="BE428" s="450">
        <v>106914.33</v>
      </c>
      <c r="BF428" s="450">
        <v>108805.46</v>
      </c>
      <c r="BG428" s="450">
        <v>109470.7346</v>
      </c>
      <c r="BH428" s="450">
        <v>110235.43</v>
      </c>
      <c r="BI428" s="450">
        <v>113933.09</v>
      </c>
      <c r="BJ428" s="450">
        <v>113898.02</v>
      </c>
      <c r="BK428" s="450">
        <v>64741.32</v>
      </c>
      <c r="BL428" s="450">
        <v>35329.14</v>
      </c>
      <c r="BM428" s="450">
        <v>23545.26</v>
      </c>
      <c r="BN428" s="450">
        <v>19034.5</v>
      </c>
      <c r="BO428" s="450">
        <v>110.2</v>
      </c>
      <c r="BP428" s="450">
        <v>111.03</v>
      </c>
      <c r="BQ428" s="450">
        <v>111.55</v>
      </c>
      <c r="BR428" s="450">
        <v>112.37</v>
      </c>
      <c r="BS428" s="615">
        <f t="array" ref="BS428">XLOOKUP(D428,'PL TOTAL XP'!A:A,'PL TOTAL XP'!C:C,"0")</f>
        <v>0</v>
      </c>
      <c r="BT428" s="616"/>
    </row>
    <row r="429" ht="15.75" customHeight="1">
      <c r="A429" s="183" t="s">
        <v>3820</v>
      </c>
      <c r="B429" s="78" t="s">
        <v>2044</v>
      </c>
      <c r="C429" s="645" t="s">
        <v>5051</v>
      </c>
      <c r="D429" s="623">
        <v>2751241.0</v>
      </c>
      <c r="E429" s="609" t="s">
        <v>18</v>
      </c>
      <c r="F429" s="609" t="s">
        <v>19</v>
      </c>
      <c r="G429" s="512" t="s">
        <v>20</v>
      </c>
      <c r="H429" s="609">
        <f>IFERROR(VLOOKUP(G429,'Cadastro de assessores'!A:B,2,FALSE),"Não Cadastrado")</f>
        <v>12331</v>
      </c>
      <c r="I429" s="609"/>
      <c r="J429" s="46" t="s">
        <v>107</v>
      </c>
      <c r="K429" s="566"/>
      <c r="L429" s="695"/>
      <c r="M429" s="695">
        <v>44851.0</v>
      </c>
      <c r="N429" s="690"/>
      <c r="O429" s="609" t="s">
        <v>3828</v>
      </c>
      <c r="P429" s="696">
        <v>0.015</v>
      </c>
      <c r="Q429" s="697" t="s">
        <v>5052</v>
      </c>
      <c r="R429" s="613"/>
      <c r="S429" s="522"/>
      <c r="T429" s="522"/>
      <c r="U429" s="522"/>
      <c r="V429" s="522" t="s">
        <v>19</v>
      </c>
      <c r="W429" s="678"/>
      <c r="X429" s="698"/>
      <c r="Y429" s="698"/>
      <c r="Z429" s="677"/>
      <c r="AA429" s="468"/>
      <c r="AB429" s="699"/>
      <c r="AC429" s="678"/>
      <c r="AD429" s="698"/>
      <c r="AE429" s="698"/>
      <c r="AF429" s="677"/>
      <c r="AG429" s="468"/>
      <c r="AH429" s="699"/>
      <c r="AI429" s="678"/>
      <c r="AJ429" s="698"/>
      <c r="AK429" s="698"/>
      <c r="AL429" s="677"/>
      <c r="AM429" s="468"/>
      <c r="AN429" s="699"/>
      <c r="AO429" s="678"/>
      <c r="AP429" s="698"/>
      <c r="AQ429" s="698"/>
      <c r="AR429" s="677"/>
      <c r="AS429" s="468"/>
      <c r="AT429" s="699"/>
      <c r="AU429" s="678"/>
      <c r="AV429" s="698"/>
      <c r="AW429" s="698"/>
      <c r="AX429" s="677"/>
      <c r="AY429" s="450"/>
      <c r="AZ429" s="450"/>
      <c r="BA429" s="450"/>
      <c r="BB429" s="450"/>
      <c r="BC429" s="450"/>
      <c r="BD429" s="450"/>
      <c r="BE429" s="450"/>
      <c r="BF429" s="450"/>
      <c r="BG429" s="450"/>
      <c r="BH429" s="450"/>
      <c r="BI429" s="450">
        <v>103928.57</v>
      </c>
      <c r="BJ429" s="450">
        <v>104574.15</v>
      </c>
      <c r="BK429" s="450">
        <v>105303.12</v>
      </c>
      <c r="BL429" s="450">
        <v>106512.7</v>
      </c>
      <c r="BM429" s="450">
        <v>107317.66</v>
      </c>
      <c r="BN429" s="450">
        <v>3678.58</v>
      </c>
      <c r="BO429" s="450">
        <v>3729.81</v>
      </c>
      <c r="BP429" s="450">
        <v>3778.8</v>
      </c>
      <c r="BQ429" s="450">
        <v>3809.0</v>
      </c>
      <c r="BR429" s="450">
        <v>3896.42</v>
      </c>
      <c r="BS429" s="615">
        <f t="array" ref="BS429">XLOOKUP(D429,'PL TOTAL XP'!A:A,'PL TOTAL XP'!C:C,"0")</f>
        <v>11387.37</v>
      </c>
      <c r="BT429" s="616"/>
    </row>
    <row r="430" ht="15.75" customHeight="1">
      <c r="A430" s="183" t="s">
        <v>3820</v>
      </c>
      <c r="B430" s="78" t="s">
        <v>2051</v>
      </c>
      <c r="C430" s="645" t="s">
        <v>2049</v>
      </c>
      <c r="D430" s="623">
        <v>6029791.0</v>
      </c>
      <c r="E430" s="609" t="s">
        <v>18</v>
      </c>
      <c r="F430" s="609" t="s">
        <v>19</v>
      </c>
      <c r="G430" s="512" t="s">
        <v>122</v>
      </c>
      <c r="H430" s="609" t="str">
        <f>IFERROR(VLOOKUP(G430,'Cadastro de assessores'!A:B,2,FALSE),"Não Cadastrado")</f>
        <v>18890</v>
      </c>
      <c r="I430" s="609"/>
      <c r="J430" s="51" t="s">
        <v>3823</v>
      </c>
      <c r="K430" s="566" t="s">
        <v>107</v>
      </c>
      <c r="L430" s="567">
        <v>44600.0</v>
      </c>
      <c r="M430" s="567">
        <v>44605.0</v>
      </c>
      <c r="N430" s="609"/>
      <c r="O430" s="609" t="s">
        <v>3834</v>
      </c>
      <c r="P430" s="696">
        <v>0.007</v>
      </c>
      <c r="Q430" s="224" t="s">
        <v>3932</v>
      </c>
      <c r="R430" s="613"/>
      <c r="S430" s="522" t="str">
        <f>IF(BC430&lt;=0,"",IF(BC430&lt;=1000000,"Não Qualificado",IF(AND(BC430&gt;1000000,BC430&lt;=10000000),"Qualificado","Profissional")))</f>
        <v/>
      </c>
      <c r="T430" s="522" t="s">
        <v>108</v>
      </c>
      <c r="U430" s="522" t="s">
        <v>2652</v>
      </c>
      <c r="V430" s="522" t="s">
        <v>19</v>
      </c>
      <c r="W430" s="678"/>
      <c r="X430" s="698"/>
      <c r="Y430" s="698"/>
      <c r="Z430" s="677"/>
      <c r="AA430" s="468"/>
      <c r="AB430" s="699"/>
      <c r="AC430" s="678"/>
      <c r="AD430" s="698"/>
      <c r="AE430" s="698"/>
      <c r="AF430" s="677"/>
      <c r="AG430" s="468"/>
      <c r="AH430" s="699"/>
      <c r="AI430" s="678"/>
      <c r="AJ430" s="698"/>
      <c r="AK430" s="698"/>
      <c r="AL430" s="677"/>
      <c r="AM430" s="468"/>
      <c r="AN430" s="699"/>
      <c r="AO430" s="678"/>
      <c r="AP430" s="698"/>
      <c r="AQ430" s="698"/>
      <c r="AR430" s="677"/>
      <c r="AS430" s="468"/>
      <c r="AT430" s="699"/>
      <c r="AU430" s="678"/>
      <c r="AV430" s="698"/>
      <c r="AW430" s="698"/>
      <c r="AX430" s="677"/>
      <c r="AY430" s="450"/>
      <c r="AZ430" s="450"/>
      <c r="BA430" s="450">
        <v>501012.16</v>
      </c>
      <c r="BB430" s="450">
        <v>0.0</v>
      </c>
      <c r="BC430" s="450"/>
      <c r="BD430" s="450">
        <v>792611.83</v>
      </c>
      <c r="BE430" s="450">
        <v>811748.8</v>
      </c>
      <c r="BF430" s="450">
        <v>832161.41</v>
      </c>
      <c r="BG430" s="450">
        <v>843701.7873</v>
      </c>
      <c r="BH430" s="450">
        <v>848714.19</v>
      </c>
      <c r="BI430" s="450">
        <v>859225.54</v>
      </c>
      <c r="BJ430" s="450">
        <v>866398.89</v>
      </c>
      <c r="BK430" s="450">
        <v>865501.09</v>
      </c>
      <c r="BL430" s="450">
        <v>460233.63</v>
      </c>
      <c r="BM430" s="450">
        <v>0.0</v>
      </c>
      <c r="BN430" s="450">
        <v>0.0</v>
      </c>
      <c r="BO430" s="450">
        <v>0.0</v>
      </c>
      <c r="BP430" s="450">
        <v>0.0</v>
      </c>
      <c r="BQ430" s="450">
        <v>0.0</v>
      </c>
      <c r="BR430" s="450">
        <v>0.0</v>
      </c>
      <c r="BS430" s="615">
        <f t="array" ref="BS430">XLOOKUP(D430,'PL TOTAL XP'!A:A,'PL TOTAL XP'!C:C,"0")</f>
        <v>0</v>
      </c>
      <c r="BT430" s="616"/>
    </row>
    <row r="431" ht="15.75" customHeight="1">
      <c r="A431" s="183" t="s">
        <v>3820</v>
      </c>
      <c r="B431" s="78" t="s">
        <v>2057</v>
      </c>
      <c r="C431" s="617" t="s">
        <v>5053</v>
      </c>
      <c r="D431" s="522">
        <v>8698050.0</v>
      </c>
      <c r="E431" s="522" t="s">
        <v>18</v>
      </c>
      <c r="F431" s="522" t="s">
        <v>19</v>
      </c>
      <c r="G431" s="522" t="s">
        <v>213</v>
      </c>
      <c r="H431" s="522" t="s">
        <v>5054</v>
      </c>
      <c r="I431" s="522"/>
      <c r="J431" s="51" t="s">
        <v>3823</v>
      </c>
      <c r="K431" s="522" t="s">
        <v>107</v>
      </c>
      <c r="L431" s="619">
        <v>44715.0</v>
      </c>
      <c r="M431" s="619">
        <v>44719.0</v>
      </c>
      <c r="N431" s="619"/>
      <c r="O431" s="522" t="s">
        <v>4479</v>
      </c>
      <c r="P431" s="612">
        <v>0.012</v>
      </c>
      <c r="Q431" s="224" t="s">
        <v>5055</v>
      </c>
      <c r="R431" s="613"/>
      <c r="S431" s="522"/>
      <c r="T431" s="522" t="s">
        <v>108</v>
      </c>
      <c r="U431" s="522" t="s">
        <v>2842</v>
      </c>
      <c r="V431" s="522" t="s">
        <v>19</v>
      </c>
      <c r="W431" s="614"/>
      <c r="X431" s="614"/>
      <c r="Y431" s="614"/>
      <c r="Z431" s="614"/>
      <c r="AA431" s="614"/>
      <c r="AB431" s="614"/>
      <c r="AC431" s="614"/>
      <c r="AD431" s="614"/>
      <c r="AE431" s="614"/>
      <c r="AF431" s="614"/>
      <c r="AG431" s="614"/>
      <c r="AH431" s="614"/>
      <c r="AI431" s="614"/>
      <c r="AJ431" s="614"/>
      <c r="AK431" s="450"/>
      <c r="AL431" s="450"/>
      <c r="AM431" s="450"/>
      <c r="AN431" s="450"/>
      <c r="AO431" s="450"/>
      <c r="AP431" s="450"/>
      <c r="AQ431" s="450"/>
      <c r="AR431" s="450"/>
      <c r="AS431" s="450"/>
      <c r="AT431" s="450"/>
      <c r="AU431" s="450"/>
      <c r="AV431" s="450"/>
      <c r="AW431" s="450"/>
      <c r="AX431" s="450"/>
      <c r="AY431" s="450"/>
      <c r="AZ431" s="450"/>
      <c r="BA431" s="450"/>
      <c r="BB431" s="450"/>
      <c r="BC431" s="450"/>
      <c r="BD431" s="450" t="s">
        <v>2566</v>
      </c>
      <c r="BE431" s="450">
        <v>400567.54</v>
      </c>
      <c r="BF431" s="450">
        <v>404175.89</v>
      </c>
      <c r="BG431" s="450">
        <v>408754.9842</v>
      </c>
      <c r="BH431" s="450">
        <v>411443.97</v>
      </c>
      <c r="BI431" s="450">
        <v>416900.56</v>
      </c>
      <c r="BJ431" s="450">
        <v>414884.17</v>
      </c>
      <c r="BK431" s="450">
        <v>419341.93</v>
      </c>
      <c r="BL431" s="450">
        <v>424662.69</v>
      </c>
      <c r="BM431" s="450">
        <v>429028.78</v>
      </c>
      <c r="BN431" s="450">
        <v>435770.27</v>
      </c>
      <c r="BO431" s="450">
        <v>440120.83</v>
      </c>
      <c r="BP431" s="450">
        <v>445753.76</v>
      </c>
      <c r="BQ431" s="450">
        <v>16.93</v>
      </c>
      <c r="BR431" s="450">
        <v>16.93</v>
      </c>
      <c r="BS431" s="615">
        <f t="array" ref="BS431">XLOOKUP(D431,'PL TOTAL XP'!A:A,'PL TOTAL XP'!C:C,"0")</f>
        <v>0</v>
      </c>
      <c r="BT431" s="616"/>
    </row>
    <row r="432" ht="15.75" customHeight="1">
      <c r="A432" s="183" t="s">
        <v>3820</v>
      </c>
      <c r="B432" s="78" t="s">
        <v>2061</v>
      </c>
      <c r="C432" s="637" t="s">
        <v>5056</v>
      </c>
      <c r="D432" s="638">
        <v>495561.0</v>
      </c>
      <c r="E432" s="522" t="s">
        <v>18</v>
      </c>
      <c r="F432" s="522" t="s">
        <v>29</v>
      </c>
      <c r="G432" s="522" t="s">
        <v>60</v>
      </c>
      <c r="H432" s="522"/>
      <c r="I432" s="522"/>
      <c r="J432" s="46" t="s">
        <v>107</v>
      </c>
      <c r="K432" s="522"/>
      <c r="L432" s="618"/>
      <c r="M432" s="618">
        <v>44918.0</v>
      </c>
      <c r="N432" s="619"/>
      <c r="O432" s="522" t="s">
        <v>3836</v>
      </c>
      <c r="P432" s="612">
        <v>0.008</v>
      </c>
      <c r="Q432" s="700" t="s">
        <v>5057</v>
      </c>
      <c r="R432" s="613"/>
      <c r="S432" s="522"/>
      <c r="T432" s="522"/>
      <c r="U432" s="522"/>
      <c r="V432" s="522" t="s">
        <v>29</v>
      </c>
      <c r="W432" s="614"/>
      <c r="X432" s="614"/>
      <c r="Y432" s="614"/>
      <c r="Z432" s="614"/>
      <c r="AA432" s="614"/>
      <c r="AB432" s="614"/>
      <c r="AC432" s="614"/>
      <c r="AD432" s="614"/>
      <c r="AE432" s="614"/>
      <c r="AF432" s="614"/>
      <c r="AG432" s="614"/>
      <c r="AH432" s="614"/>
      <c r="AI432" s="614"/>
      <c r="AJ432" s="614"/>
      <c r="AK432" s="450"/>
      <c r="AL432" s="450"/>
      <c r="AM432" s="450"/>
      <c r="AN432" s="450"/>
      <c r="AO432" s="450"/>
      <c r="AP432" s="450"/>
      <c r="AQ432" s="450"/>
      <c r="AR432" s="450"/>
      <c r="AS432" s="450"/>
      <c r="AT432" s="450"/>
      <c r="AU432" s="450"/>
      <c r="AV432" s="450"/>
      <c r="AW432" s="450"/>
      <c r="AX432" s="450"/>
      <c r="AY432" s="450"/>
      <c r="AZ432" s="450"/>
      <c r="BA432" s="450"/>
      <c r="BB432" s="450"/>
      <c r="BC432" s="450"/>
      <c r="BD432" s="450"/>
      <c r="BE432" s="450"/>
      <c r="BF432" s="450"/>
      <c r="BG432" s="450"/>
      <c r="BH432" s="450"/>
      <c r="BI432" s="450"/>
      <c r="BJ432" s="450">
        <v>0.0</v>
      </c>
      <c r="BK432" s="450">
        <v>2209492.2</v>
      </c>
      <c r="BL432" s="450">
        <v>2265115.96</v>
      </c>
      <c r="BM432" s="450">
        <v>2268079.33</v>
      </c>
      <c r="BN432" s="450">
        <v>381003.93</v>
      </c>
      <c r="BO432" s="450">
        <v>153048.14</v>
      </c>
      <c r="BP432" s="450">
        <v>169346.56</v>
      </c>
      <c r="BQ432" s="450">
        <v>190755.02</v>
      </c>
      <c r="BR432" s="450">
        <v>193409.92</v>
      </c>
      <c r="BS432" s="615">
        <f t="array" ref="BS432">XLOOKUP(D432,'PL TOTAL XP'!A:A,'PL TOTAL XP'!C:C,"0")</f>
        <v>65.34</v>
      </c>
      <c r="BT432" s="616"/>
    </row>
    <row r="433" ht="15.75" customHeight="1">
      <c r="A433" s="183" t="s">
        <v>3820</v>
      </c>
      <c r="B433" s="78" t="s">
        <v>5058</v>
      </c>
      <c r="C433" s="617" t="s">
        <v>5059</v>
      </c>
      <c r="D433" s="522">
        <v>3520517.0</v>
      </c>
      <c r="E433" s="522" t="s">
        <v>2550</v>
      </c>
      <c r="F433" s="522" t="s">
        <v>29</v>
      </c>
      <c r="G433" s="522" t="s">
        <v>2550</v>
      </c>
      <c r="H433" s="522" t="str">
        <f>IFERROR(VLOOKUP(G433,'Cadastro de assessores'!A:B,2,FALSE),"Não Cadastrado")</f>
        <v>18986</v>
      </c>
      <c r="I433" s="522"/>
      <c r="J433" s="51" t="s">
        <v>186</v>
      </c>
      <c r="K433" s="522" t="s">
        <v>2563</v>
      </c>
      <c r="L433" s="618">
        <v>43749.0</v>
      </c>
      <c r="M433" s="618">
        <v>43749.0</v>
      </c>
      <c r="N433" s="619">
        <v>44305.0</v>
      </c>
      <c r="O433" s="522" t="s">
        <v>4206</v>
      </c>
      <c r="P433" s="612">
        <v>0.01</v>
      </c>
      <c r="Q433" s="224" t="s">
        <v>5060</v>
      </c>
      <c r="R433" s="613"/>
      <c r="S433" s="522" t="str">
        <f t="shared" ref="S433:S436" si="46">IF(BC433&lt;=0,"",IF(BC433&lt;=1000000,"Não Qualificado",IF(AND(BC433&gt;1000000,BC433&lt;=10000000),"Qualificado","Profissional")))</f>
        <v/>
      </c>
      <c r="T433" s="522" t="s">
        <v>108</v>
      </c>
      <c r="U433" s="522" t="s">
        <v>2580</v>
      </c>
      <c r="V433" s="522" t="s">
        <v>29</v>
      </c>
      <c r="W433" s="614" t="s">
        <v>5061</v>
      </c>
      <c r="X433" s="614"/>
      <c r="Y433" s="614" t="s">
        <v>5062</v>
      </c>
      <c r="Z433" s="614" t="s">
        <v>5063</v>
      </c>
      <c r="AA433" s="614" t="s">
        <v>5064</v>
      </c>
      <c r="AB433" s="614" t="s">
        <v>5065</v>
      </c>
      <c r="AC433" s="614" t="s">
        <v>5066</v>
      </c>
      <c r="AD433" s="614" t="s">
        <v>5067</v>
      </c>
      <c r="AE433" s="614" t="s">
        <v>5068</v>
      </c>
      <c r="AF433" s="614" t="s">
        <v>5069</v>
      </c>
      <c r="AG433" s="614" t="s">
        <v>5070</v>
      </c>
      <c r="AH433" s="614" t="s">
        <v>5071</v>
      </c>
      <c r="AI433" s="614" t="s">
        <v>5072</v>
      </c>
      <c r="AJ433" s="614" t="s">
        <v>5073</v>
      </c>
      <c r="AK433" s="450">
        <v>156787.52</v>
      </c>
      <c r="AL433" s="450">
        <v>140528.2</v>
      </c>
      <c r="AM433" s="450">
        <v>94313.92</v>
      </c>
      <c r="AN433" s="450">
        <v>93972.49</v>
      </c>
      <c r="AO433" s="450">
        <v>95592.52</v>
      </c>
      <c r="AP433" s="450"/>
      <c r="AQ433" s="450"/>
      <c r="AR433" s="450"/>
      <c r="AS433" s="450"/>
      <c r="AT433" s="450"/>
      <c r="AU433" s="450"/>
      <c r="AV433" s="450"/>
      <c r="AW433" s="450"/>
      <c r="AX433" s="450"/>
      <c r="AY433" s="450"/>
      <c r="AZ433" s="450">
        <v>0.0</v>
      </c>
      <c r="BA433" s="450">
        <v>0.0</v>
      </c>
      <c r="BB433" s="450">
        <v>0.0</v>
      </c>
      <c r="BC433" s="450"/>
      <c r="BD433" s="450" t="s">
        <v>2566</v>
      </c>
      <c r="BE433" s="450" t="s">
        <v>2566</v>
      </c>
      <c r="BF433" s="450">
        <v>0.0</v>
      </c>
      <c r="BG433" s="450">
        <v>0.0</v>
      </c>
      <c r="BH433" s="450">
        <v>0.0</v>
      </c>
      <c r="BI433" s="450">
        <v>0.0</v>
      </c>
      <c r="BJ433" s="450">
        <v>0.0</v>
      </c>
      <c r="BK433" s="450">
        <v>0.0</v>
      </c>
      <c r="BL433" s="450">
        <v>0.0</v>
      </c>
      <c r="BM433" s="450">
        <v>0.0</v>
      </c>
      <c r="BN433" s="450">
        <v>0.0</v>
      </c>
      <c r="BO433" s="450">
        <v>0.0</v>
      </c>
      <c r="BP433" s="450">
        <v>0.0</v>
      </c>
      <c r="BQ433" s="450">
        <v>0.0</v>
      </c>
      <c r="BR433" s="450">
        <v>0.0</v>
      </c>
      <c r="BS433" s="615" t="str">
        <f t="array" ref="BS433">XLOOKUP(D433,'PL TOTAL XP'!A:A,'PL TOTAL XP'!C:C,"0")</f>
        <v>0</v>
      </c>
      <c r="BT433" s="616"/>
    </row>
    <row r="434" ht="15.75" customHeight="1">
      <c r="A434" s="183" t="s">
        <v>3820</v>
      </c>
      <c r="B434" s="78" t="s">
        <v>2072</v>
      </c>
      <c r="C434" s="645" t="s">
        <v>5074</v>
      </c>
      <c r="D434" s="609">
        <v>6579987.0</v>
      </c>
      <c r="E434" s="512" t="s">
        <v>18</v>
      </c>
      <c r="F434" s="609" t="s">
        <v>19</v>
      </c>
      <c r="G434" s="512" t="s">
        <v>256</v>
      </c>
      <c r="H434" s="512" t="str">
        <f>IFERROR(VLOOKUP(G434,'Cadastro de assessores'!A:B,2,FALSE),"Não Cadastrado")</f>
        <v>18009</v>
      </c>
      <c r="I434" s="512"/>
      <c r="J434" s="51" t="s">
        <v>186</v>
      </c>
      <c r="K434" s="512" t="s">
        <v>107</v>
      </c>
      <c r="L434" s="610">
        <v>44452.0</v>
      </c>
      <c r="M434" s="610">
        <v>44469.0</v>
      </c>
      <c r="N434" s="567">
        <v>44960.0</v>
      </c>
      <c r="O434" s="566" t="s">
        <v>3824</v>
      </c>
      <c r="P434" s="629">
        <v>0.02</v>
      </c>
      <c r="Q434" s="224" t="s">
        <v>5075</v>
      </c>
      <c r="R434" s="613"/>
      <c r="S434" s="522" t="str">
        <f t="shared" si="46"/>
        <v/>
      </c>
      <c r="T434" s="522" t="s">
        <v>108</v>
      </c>
      <c r="U434" s="522" t="s">
        <v>2675</v>
      </c>
      <c r="V434" s="522" t="s">
        <v>29</v>
      </c>
      <c r="W434" s="468"/>
      <c r="X434" s="468"/>
      <c r="Y434" s="468"/>
      <c r="Z434" s="468"/>
      <c r="AA434" s="468"/>
      <c r="AB434" s="468"/>
      <c r="AC434" s="468"/>
      <c r="AD434" s="468"/>
      <c r="AE434" s="468"/>
      <c r="AF434" s="468"/>
      <c r="AG434" s="614"/>
      <c r="AH434" s="614"/>
      <c r="AI434" s="614"/>
      <c r="AJ434" s="450"/>
      <c r="AK434" s="450"/>
      <c r="AL434" s="450"/>
      <c r="AM434" s="683"/>
      <c r="AN434" s="683"/>
      <c r="AO434" s="450"/>
      <c r="AP434" s="450"/>
      <c r="AQ434" s="450"/>
      <c r="AR434" s="450"/>
      <c r="AS434" s="450"/>
      <c r="AT434" s="450"/>
      <c r="AU434" s="468"/>
      <c r="AV434" s="450"/>
      <c r="AW434" s="450">
        <v>95889.91</v>
      </c>
      <c r="AX434" s="450">
        <v>104385.97</v>
      </c>
      <c r="AY434" s="450">
        <v>105809.93</v>
      </c>
      <c r="AZ434" s="450">
        <v>110725.69</v>
      </c>
      <c r="BA434" s="450">
        <v>111698.64</v>
      </c>
      <c r="BB434" s="450">
        <v>135099.81</v>
      </c>
      <c r="BC434" s="450"/>
      <c r="BD434" s="450">
        <v>130259.66</v>
      </c>
      <c r="BE434" s="450">
        <v>126546.16</v>
      </c>
      <c r="BF434" s="450">
        <v>130164.5</v>
      </c>
      <c r="BG434" s="450">
        <v>131824.5453</v>
      </c>
      <c r="BH434" s="450">
        <v>130119.83</v>
      </c>
      <c r="BI434" s="450">
        <v>143244.26</v>
      </c>
      <c r="BJ434" s="450">
        <v>143875.77</v>
      </c>
      <c r="BK434" s="450">
        <v>144431.71</v>
      </c>
      <c r="BL434" s="450">
        <v>15785.3</v>
      </c>
      <c r="BM434" s="450">
        <v>0.0</v>
      </c>
      <c r="BN434" s="450">
        <v>0.0</v>
      </c>
      <c r="BO434" s="450">
        <v>0.0</v>
      </c>
      <c r="BP434" s="450">
        <v>0.0</v>
      </c>
      <c r="BQ434" s="450">
        <v>0.0</v>
      </c>
      <c r="BR434" s="450">
        <v>0.0</v>
      </c>
      <c r="BS434" s="615" t="str">
        <f t="array" ref="BS434">XLOOKUP(D434,'PL TOTAL XP'!A:A,'PL TOTAL XP'!C:C,"0")</f>
        <v>0</v>
      </c>
      <c r="BT434" s="616"/>
    </row>
    <row r="435" ht="15.75" customHeight="1">
      <c r="A435" s="183" t="s">
        <v>3820</v>
      </c>
      <c r="B435" s="78" t="s">
        <v>2076</v>
      </c>
      <c r="C435" s="617" t="s">
        <v>5076</v>
      </c>
      <c r="D435" s="522">
        <v>306126.0</v>
      </c>
      <c r="E435" s="512" t="s">
        <v>2550</v>
      </c>
      <c r="F435" s="512" t="s">
        <v>29</v>
      </c>
      <c r="G435" s="512" t="s">
        <v>2550</v>
      </c>
      <c r="H435" s="512" t="str">
        <f>IFERROR(VLOOKUP(G435,'Cadastro de assessores'!A:B,2,FALSE),"Não Cadastrado")</f>
        <v>18986</v>
      </c>
      <c r="I435" s="512"/>
      <c r="J435" s="51" t="s">
        <v>3823</v>
      </c>
      <c r="K435" s="512" t="s">
        <v>107</v>
      </c>
      <c r="L435" s="610">
        <v>44172.0</v>
      </c>
      <c r="M435" s="610">
        <v>44210.0</v>
      </c>
      <c r="N435" s="566"/>
      <c r="O435" s="566" t="s">
        <v>3824</v>
      </c>
      <c r="P435" s="629">
        <v>0.02</v>
      </c>
      <c r="Q435" s="620"/>
      <c r="R435" s="613"/>
      <c r="S435" s="522" t="str">
        <f t="shared" si="46"/>
        <v/>
      </c>
      <c r="T435" s="522" t="s">
        <v>108</v>
      </c>
      <c r="U435" s="522" t="s">
        <v>2623</v>
      </c>
      <c r="V435" s="522" t="s">
        <v>29</v>
      </c>
      <c r="W435" s="614"/>
      <c r="X435" s="614"/>
      <c r="Y435" s="614"/>
      <c r="Z435" s="614"/>
      <c r="AA435" s="614"/>
      <c r="AB435" s="614"/>
      <c r="AC435" s="614"/>
      <c r="AD435" s="614"/>
      <c r="AE435" s="614"/>
      <c r="AF435" s="614"/>
      <c r="AG435" s="614"/>
      <c r="AH435" s="614"/>
      <c r="AI435" s="614"/>
      <c r="AJ435" s="614"/>
      <c r="AK435" s="450"/>
      <c r="AL435" s="450">
        <v>587928.45</v>
      </c>
      <c r="AM435" s="450">
        <v>559968.71</v>
      </c>
      <c r="AN435" s="683">
        <v>560943.35</v>
      </c>
      <c r="AO435" s="683">
        <v>583217.03</v>
      </c>
      <c r="AP435" s="450">
        <v>587751.01</v>
      </c>
      <c r="AQ435" s="450">
        <v>584026.69</v>
      </c>
      <c r="AR435" s="450">
        <v>604804.2</v>
      </c>
      <c r="AS435" s="450">
        <v>596951.49</v>
      </c>
      <c r="AT435" s="450">
        <v>578458.86</v>
      </c>
      <c r="AU435" s="450">
        <v>572205.7</v>
      </c>
      <c r="AV435" s="450">
        <v>552858.06</v>
      </c>
      <c r="AW435" s="450">
        <v>522351.84</v>
      </c>
      <c r="AX435" s="450">
        <v>521112.27</v>
      </c>
      <c r="AY435" s="450">
        <v>530378.59</v>
      </c>
      <c r="AZ435" s="450">
        <v>548111.7</v>
      </c>
      <c r="BA435" s="450">
        <v>553398.15</v>
      </c>
      <c r="BB435" s="450">
        <v>578369.71</v>
      </c>
      <c r="BC435" s="450"/>
      <c r="BD435" s="450">
        <v>567706.0</v>
      </c>
      <c r="BE435" s="450">
        <v>556107.95</v>
      </c>
      <c r="BF435" s="450">
        <v>572752.08</v>
      </c>
      <c r="BG435" s="450">
        <v>582905.9579</v>
      </c>
      <c r="BH435" s="450">
        <v>577830.48</v>
      </c>
      <c r="BI435" s="450">
        <v>604248.7</v>
      </c>
      <c r="BJ435" s="450">
        <v>607648.4</v>
      </c>
      <c r="BK435" s="450">
        <v>609587.5</v>
      </c>
      <c r="BL435" s="450">
        <v>611407.73</v>
      </c>
      <c r="BM435" s="450">
        <v>608633.16</v>
      </c>
      <c r="BN435" s="450">
        <v>118488.77</v>
      </c>
      <c r="BO435" s="450">
        <v>183.01</v>
      </c>
      <c r="BP435" s="450">
        <v>183.01</v>
      </c>
      <c r="BQ435" s="450">
        <v>183.01</v>
      </c>
      <c r="BR435" s="450">
        <v>183.01</v>
      </c>
      <c r="BS435" s="615" t="str">
        <f t="array" ref="BS435">XLOOKUP(D435,'PL TOTAL XP'!A:A,'PL TOTAL XP'!C:C,"0")</f>
        <v>0</v>
      </c>
      <c r="BT435" s="616"/>
    </row>
    <row r="436" ht="15.75" customHeight="1">
      <c r="A436" s="183" t="s">
        <v>3820</v>
      </c>
      <c r="B436" s="78" t="s">
        <v>2091</v>
      </c>
      <c r="C436" s="564" t="s">
        <v>5077</v>
      </c>
      <c r="D436" s="566">
        <v>2997463.0</v>
      </c>
      <c r="E436" s="512" t="s">
        <v>18</v>
      </c>
      <c r="F436" s="609" t="s">
        <v>29</v>
      </c>
      <c r="G436" s="609" t="s">
        <v>60</v>
      </c>
      <c r="H436" s="609">
        <f>IFERROR(VLOOKUP(G436,'Cadastro de assessores'!A:B,2,FALSE),"Não Cadastrado")</f>
        <v>12332</v>
      </c>
      <c r="I436" s="609"/>
      <c r="J436" s="51" t="s">
        <v>3823</v>
      </c>
      <c r="K436" s="566" t="s">
        <v>107</v>
      </c>
      <c r="L436" s="610">
        <v>44496.0</v>
      </c>
      <c r="M436" s="610">
        <v>44503.0</v>
      </c>
      <c r="N436" s="566"/>
      <c r="O436" s="566" t="s">
        <v>3834</v>
      </c>
      <c r="P436" s="612">
        <v>0.007</v>
      </c>
      <c r="Q436" s="224"/>
      <c r="R436" s="613"/>
      <c r="S436" s="522" t="str">
        <f t="shared" si="46"/>
        <v/>
      </c>
      <c r="T436" s="522" t="s">
        <v>108</v>
      </c>
      <c r="U436" s="566" t="s">
        <v>2614</v>
      </c>
      <c r="V436" s="522" t="s">
        <v>29</v>
      </c>
      <c r="W436" s="468"/>
      <c r="X436" s="468"/>
      <c r="Y436" s="468"/>
      <c r="Z436" s="468"/>
      <c r="AA436" s="468"/>
      <c r="AB436" s="468"/>
      <c r="AC436" s="468"/>
      <c r="AD436" s="468"/>
      <c r="AE436" s="468"/>
      <c r="AF436" s="468"/>
      <c r="AG436" s="614"/>
      <c r="AH436" s="614"/>
      <c r="AI436" s="614"/>
      <c r="AJ436" s="450"/>
      <c r="AK436" s="450"/>
      <c r="AL436" s="450"/>
      <c r="AM436" s="683"/>
      <c r="AN436" s="683"/>
      <c r="AO436" s="450"/>
      <c r="AP436" s="450"/>
      <c r="AQ436" s="450"/>
      <c r="AR436" s="450"/>
      <c r="AS436" s="450"/>
      <c r="AT436" s="450"/>
      <c r="AU436" s="450"/>
      <c r="AV436" s="450"/>
      <c r="AW436" s="450"/>
      <c r="AX436" s="450">
        <v>101078.2</v>
      </c>
      <c r="AY436" s="450">
        <v>116356.65</v>
      </c>
      <c r="AZ436" s="450">
        <v>123264.46</v>
      </c>
      <c r="BA436" s="450">
        <v>124208.69</v>
      </c>
      <c r="BB436" s="450">
        <v>129574.91</v>
      </c>
      <c r="BC436" s="450"/>
      <c r="BD436" s="450">
        <v>127342.89</v>
      </c>
      <c r="BE436" s="450">
        <v>128456.36</v>
      </c>
      <c r="BF436" s="450">
        <v>109092.5</v>
      </c>
      <c r="BG436" s="450">
        <v>109503.617</v>
      </c>
      <c r="BH436" s="450">
        <v>113595.31</v>
      </c>
      <c r="BI436" s="450">
        <v>114416.34</v>
      </c>
      <c r="BJ436" s="450">
        <v>115438.73</v>
      </c>
      <c r="BK436" s="450">
        <v>116341.96</v>
      </c>
      <c r="BL436" s="450">
        <v>117581.13</v>
      </c>
      <c r="BM436" s="450">
        <v>118295.62</v>
      </c>
      <c r="BN436" s="450">
        <v>119731.39</v>
      </c>
      <c r="BO436" s="450">
        <v>9309.15</v>
      </c>
      <c r="BP436" s="450">
        <v>9419.35</v>
      </c>
      <c r="BQ436" s="450">
        <v>9499.36</v>
      </c>
      <c r="BR436" s="450">
        <v>132.41</v>
      </c>
      <c r="BS436" s="615">
        <f t="array" ref="BS436">XLOOKUP(D436,'PL TOTAL XP'!A:A,'PL TOTAL XP'!C:C,"0")</f>
        <v>0</v>
      </c>
      <c r="BT436" s="616"/>
    </row>
    <row r="437" ht="15.75" customHeight="1">
      <c r="A437" s="183" t="s">
        <v>3820</v>
      </c>
      <c r="B437" s="78" t="s">
        <v>2091</v>
      </c>
      <c r="C437" s="564" t="s">
        <v>5077</v>
      </c>
      <c r="D437" s="512">
        <v>9129986.0</v>
      </c>
      <c r="E437" s="512" t="s">
        <v>18</v>
      </c>
      <c r="F437" s="609" t="s">
        <v>29</v>
      </c>
      <c r="G437" s="609" t="s">
        <v>60</v>
      </c>
      <c r="H437" s="609">
        <f>IFERROR(VLOOKUP(G437,'Cadastro de assessores'!A:B,2,FALSE),"Não Cadastrado")</f>
        <v>12332</v>
      </c>
      <c r="I437" s="609"/>
      <c r="J437" s="51" t="s">
        <v>3823</v>
      </c>
      <c r="K437" s="522" t="s">
        <v>147</v>
      </c>
      <c r="L437" s="610">
        <v>44817.0</v>
      </c>
      <c r="M437" s="610">
        <v>44825.0</v>
      </c>
      <c r="N437" s="522"/>
      <c r="O437" s="522" t="s">
        <v>3840</v>
      </c>
      <c r="P437" s="629">
        <v>0.025</v>
      </c>
      <c r="Q437" s="506"/>
      <c r="R437" s="613"/>
      <c r="S437" s="522"/>
      <c r="T437" s="522"/>
      <c r="U437" s="522"/>
      <c r="V437" s="522" t="s">
        <v>2600</v>
      </c>
      <c r="W437" s="614"/>
      <c r="X437" s="614"/>
      <c r="Y437" s="614"/>
      <c r="Z437" s="614"/>
      <c r="AA437" s="614"/>
      <c r="AB437" s="614"/>
      <c r="AC437" s="614"/>
      <c r="AD437" s="614"/>
      <c r="AE437" s="614"/>
      <c r="AF437" s="614"/>
      <c r="AG437" s="614"/>
      <c r="AH437" s="614"/>
      <c r="AI437" s="614"/>
      <c r="AJ437" s="614"/>
      <c r="AK437" s="450"/>
      <c r="AL437" s="450"/>
      <c r="AM437" s="450"/>
      <c r="AN437" s="683"/>
      <c r="AO437" s="683"/>
      <c r="AP437" s="450"/>
      <c r="AQ437" s="450"/>
      <c r="AR437" s="450"/>
      <c r="AS437" s="450"/>
      <c r="AT437" s="450"/>
      <c r="AU437" s="450"/>
      <c r="AV437" s="450"/>
      <c r="AW437" s="450"/>
      <c r="AX437" s="450"/>
      <c r="AY437" s="450"/>
      <c r="AZ437" s="450"/>
      <c r="BA437" s="450"/>
      <c r="BB437" s="450"/>
      <c r="BC437" s="450"/>
      <c r="BD437" s="450"/>
      <c r="BE437" s="450"/>
      <c r="BF437" s="450"/>
      <c r="BG437" s="450">
        <v>0.0</v>
      </c>
      <c r="BH437" s="450">
        <v>11703.43</v>
      </c>
      <c r="BI437" s="450">
        <v>12539.47</v>
      </c>
      <c r="BJ437" s="450">
        <v>12068.04</v>
      </c>
      <c r="BK437" s="450">
        <v>12067.31</v>
      </c>
      <c r="BL437" s="450">
        <v>12268.09</v>
      </c>
      <c r="BM437" s="450">
        <v>11255.97</v>
      </c>
      <c r="BN437" s="450">
        <v>10981.6</v>
      </c>
      <c r="BO437" s="450">
        <v>10434.74</v>
      </c>
      <c r="BP437" s="450">
        <v>11097.81</v>
      </c>
      <c r="BQ437" s="450">
        <v>12035.22</v>
      </c>
      <c r="BR437" s="450">
        <v>12568.2</v>
      </c>
      <c r="BS437" s="615">
        <f t="array" ref="BS437">XLOOKUP(D437,'PL TOTAL XP'!A:A,'PL TOTAL XP'!C:C,"0")</f>
        <v>0</v>
      </c>
      <c r="BT437" s="616"/>
    </row>
    <row r="438" ht="15.75" customHeight="1">
      <c r="A438" s="183" t="s">
        <v>3820</v>
      </c>
      <c r="B438" s="78" t="s">
        <v>5078</v>
      </c>
      <c r="C438" s="617" t="s">
        <v>5079</v>
      </c>
      <c r="D438" s="512">
        <v>4837612.0</v>
      </c>
      <c r="E438" s="512" t="s">
        <v>105</v>
      </c>
      <c r="F438" s="512" t="s">
        <v>29</v>
      </c>
      <c r="G438" s="512" t="s">
        <v>71</v>
      </c>
      <c r="H438" s="512" t="str">
        <f>IFERROR(VLOOKUP(G438,'Cadastro de assessores'!A:B,2,FALSE),"Não Cadastrado")</f>
        <v>17896</v>
      </c>
      <c r="I438" s="512"/>
      <c r="J438" s="51" t="s">
        <v>186</v>
      </c>
      <c r="K438" s="512" t="s">
        <v>107</v>
      </c>
      <c r="L438" s="610">
        <v>44232.0</v>
      </c>
      <c r="M438" s="610">
        <v>44250.0</v>
      </c>
      <c r="N438" s="619">
        <v>44984.0</v>
      </c>
      <c r="O438" s="522" t="s">
        <v>3828</v>
      </c>
      <c r="P438" s="629">
        <v>0.015</v>
      </c>
      <c r="Q438" s="506" t="s">
        <v>5080</v>
      </c>
      <c r="R438" s="613"/>
      <c r="S438" s="522" t="str">
        <f t="shared" ref="S438:S445" si="47">IF(BC438&lt;=0,"",IF(BC438&lt;=1000000,"Não Qualificado",IF(AND(BC438&gt;1000000,BC438&lt;=10000000),"Qualificado","Profissional")))</f>
        <v>Não Qualificado</v>
      </c>
      <c r="T438" s="522" t="s">
        <v>108</v>
      </c>
      <c r="U438" s="522" t="s">
        <v>2675</v>
      </c>
      <c r="V438" s="522" t="s">
        <v>29</v>
      </c>
      <c r="W438" s="614"/>
      <c r="X438" s="614"/>
      <c r="Y438" s="614"/>
      <c r="Z438" s="614"/>
      <c r="AA438" s="614"/>
      <c r="AB438" s="614"/>
      <c r="AC438" s="614"/>
      <c r="AD438" s="614"/>
      <c r="AE438" s="614"/>
      <c r="AF438" s="614"/>
      <c r="AG438" s="614"/>
      <c r="AH438" s="614"/>
      <c r="AI438" s="614"/>
      <c r="AJ438" s="614"/>
      <c r="AK438" s="450"/>
      <c r="AL438" s="450"/>
      <c r="AM438" s="450">
        <v>201365.72</v>
      </c>
      <c r="AN438" s="683">
        <v>560943.35</v>
      </c>
      <c r="AO438" s="683">
        <v>216054.67</v>
      </c>
      <c r="AP438" s="450">
        <v>227328.75</v>
      </c>
      <c r="AQ438" s="450">
        <v>226533.87</v>
      </c>
      <c r="AR438" s="450">
        <v>243192.57</v>
      </c>
      <c r="AS438" s="450">
        <v>289504.38</v>
      </c>
      <c r="AT438" s="450">
        <v>306110.09</v>
      </c>
      <c r="AU438" s="450">
        <v>304091.97</v>
      </c>
      <c r="AV438" s="450">
        <v>299048.75</v>
      </c>
      <c r="AW438" s="450">
        <v>316076.75</v>
      </c>
      <c r="AX438" s="450">
        <v>315702.89</v>
      </c>
      <c r="AY438" s="450">
        <v>319238.37</v>
      </c>
      <c r="AZ438" s="450">
        <v>379118.37</v>
      </c>
      <c r="BA438" s="450">
        <v>400159.43</v>
      </c>
      <c r="BB438" s="450">
        <v>465481.65</v>
      </c>
      <c r="BC438" s="450">
        <v>153664.18</v>
      </c>
      <c r="BD438" s="450">
        <v>504452.89</v>
      </c>
      <c r="BE438" s="450">
        <v>504436.09</v>
      </c>
      <c r="BF438" s="450">
        <v>514010.85</v>
      </c>
      <c r="BG438" s="450">
        <v>517079.1264</v>
      </c>
      <c r="BH438" s="450">
        <v>523071.33</v>
      </c>
      <c r="BI438" s="450">
        <v>537094.82</v>
      </c>
      <c r="BJ438" s="450">
        <v>538169.16</v>
      </c>
      <c r="BK438" s="450">
        <v>541049.95</v>
      </c>
      <c r="BL438" s="450">
        <v>545480.5</v>
      </c>
      <c r="BM438" s="450">
        <v>548740.43</v>
      </c>
      <c r="BN438" s="450">
        <v>0.0</v>
      </c>
      <c r="BO438" s="450">
        <v>0.0</v>
      </c>
      <c r="BP438" s="450">
        <v>0.0</v>
      </c>
      <c r="BQ438" s="450">
        <v>0.0</v>
      </c>
      <c r="BR438" s="450">
        <v>0.0</v>
      </c>
      <c r="BS438" s="615" t="str">
        <f t="array" ref="BS438">XLOOKUP(D438,'PL TOTAL XP'!A:A,'PL TOTAL XP'!C:C,"0")</f>
        <v>0</v>
      </c>
      <c r="BT438" s="616"/>
    </row>
    <row r="439" ht="15.75" customHeight="1">
      <c r="A439" s="183" t="s">
        <v>3820</v>
      </c>
      <c r="B439" s="78" t="s">
        <v>5081</v>
      </c>
      <c r="C439" s="617" t="s">
        <v>5082</v>
      </c>
      <c r="D439" s="522">
        <v>4617147.0</v>
      </c>
      <c r="E439" s="522" t="s">
        <v>18</v>
      </c>
      <c r="F439" s="522" t="s">
        <v>29</v>
      </c>
      <c r="G439" s="522" t="s">
        <v>3827</v>
      </c>
      <c r="H439" s="522" t="str">
        <f>IFERROR(VLOOKUP(G439,'Cadastro de assessores'!A:B,2,FALSE),"Não Cadastrado")</f>
        <v>17679</v>
      </c>
      <c r="I439" s="522"/>
      <c r="J439" s="51" t="s">
        <v>186</v>
      </c>
      <c r="K439" s="522" t="s">
        <v>2563</v>
      </c>
      <c r="L439" s="619">
        <v>44166.0</v>
      </c>
      <c r="M439" s="619">
        <v>44166.0</v>
      </c>
      <c r="N439" s="619">
        <v>44390.0</v>
      </c>
      <c r="O439" s="522" t="s">
        <v>3828</v>
      </c>
      <c r="P439" s="612">
        <v>0.015</v>
      </c>
      <c r="Q439" s="620" t="s">
        <v>5083</v>
      </c>
      <c r="R439" s="613"/>
      <c r="S439" s="522" t="str">
        <f t="shared" si="47"/>
        <v>Não Qualificado</v>
      </c>
      <c r="T439" s="522" t="s">
        <v>108</v>
      </c>
      <c r="U439" s="522" t="s">
        <v>2664</v>
      </c>
      <c r="V439" s="522" t="s">
        <v>791</v>
      </c>
      <c r="W439" s="614" t="s">
        <v>3830</v>
      </c>
      <c r="X439" s="614" t="s">
        <v>3830</v>
      </c>
      <c r="Y439" s="614" t="s">
        <v>3830</v>
      </c>
      <c r="Z439" s="614" t="s">
        <v>3830</v>
      </c>
      <c r="AA439" s="614" t="s">
        <v>3830</v>
      </c>
      <c r="AB439" s="614" t="s">
        <v>3830</v>
      </c>
      <c r="AC439" s="614" t="s">
        <v>3830</v>
      </c>
      <c r="AD439" s="614" t="s">
        <v>3830</v>
      </c>
      <c r="AE439" s="614" t="s">
        <v>3830</v>
      </c>
      <c r="AF439" s="614" t="s">
        <v>3830</v>
      </c>
      <c r="AG439" s="614" t="s">
        <v>3830</v>
      </c>
      <c r="AH439" s="614" t="s">
        <v>3830</v>
      </c>
      <c r="AI439" s="614" t="s">
        <v>3830</v>
      </c>
      <c r="AJ439" s="614" t="s">
        <v>3830</v>
      </c>
      <c r="AK439" s="450">
        <v>145902.15</v>
      </c>
      <c r="AL439" s="450">
        <v>203277.95</v>
      </c>
      <c r="AM439" s="450">
        <v>197221.31</v>
      </c>
      <c r="AN439" s="450">
        <v>198226.84</v>
      </c>
      <c r="AO439" s="450">
        <v>203687.97</v>
      </c>
      <c r="AP439" s="450">
        <v>194987.16</v>
      </c>
      <c r="AQ439" s="450">
        <v>204139.66</v>
      </c>
      <c r="AR439" s="450">
        <v>209125.79</v>
      </c>
      <c r="AS439" s="450">
        <v>207398.62</v>
      </c>
      <c r="AT439" s="450"/>
      <c r="AU439" s="450"/>
      <c r="AV439" s="450"/>
      <c r="AW439" s="450"/>
      <c r="AX439" s="450"/>
      <c r="AY439" s="450"/>
      <c r="AZ439" s="450"/>
      <c r="BA439" s="450">
        <v>0.0</v>
      </c>
      <c r="BB439" s="450">
        <v>0.0</v>
      </c>
      <c r="BC439" s="450">
        <v>786619.56</v>
      </c>
      <c r="BD439" s="450" t="s">
        <v>2566</v>
      </c>
      <c r="BE439" s="450" t="s">
        <v>2566</v>
      </c>
      <c r="BF439" s="450">
        <v>0.0</v>
      </c>
      <c r="BG439" s="450">
        <v>0.0</v>
      </c>
      <c r="BH439" s="450">
        <v>0.0</v>
      </c>
      <c r="BI439" s="450">
        <v>0.0</v>
      </c>
      <c r="BJ439" s="450">
        <v>0.0</v>
      </c>
      <c r="BK439" s="450">
        <v>0.0</v>
      </c>
      <c r="BL439" s="450">
        <v>0.0</v>
      </c>
      <c r="BM439" s="450">
        <v>0.0</v>
      </c>
      <c r="BN439" s="450">
        <v>0.0</v>
      </c>
      <c r="BO439" s="450">
        <v>0.0</v>
      </c>
      <c r="BP439" s="450">
        <v>0.0</v>
      </c>
      <c r="BQ439" s="450">
        <v>0.0</v>
      </c>
      <c r="BR439" s="450">
        <v>0.0</v>
      </c>
      <c r="BS439" s="615" t="str">
        <f t="array" ref="BS439">XLOOKUP(D439,'PL TOTAL XP'!A:A,'PL TOTAL XP'!C:C,"0")</f>
        <v>0</v>
      </c>
      <c r="BT439" s="616"/>
    </row>
    <row r="440" ht="15.75" customHeight="1">
      <c r="A440" s="183" t="s">
        <v>3820</v>
      </c>
      <c r="B440" s="78" t="s">
        <v>5084</v>
      </c>
      <c r="C440" s="564" t="s">
        <v>5085</v>
      </c>
      <c r="D440" s="566">
        <v>355180.0</v>
      </c>
      <c r="E440" s="522" t="s">
        <v>18</v>
      </c>
      <c r="F440" s="511" t="s">
        <v>19</v>
      </c>
      <c r="G440" s="511" t="s">
        <v>256</v>
      </c>
      <c r="H440" s="511" t="str">
        <f>IFERROR(VLOOKUP(G440,'Cadastro de assessores'!A:B,2,FALSE),"Não Cadastrado")</f>
        <v>18009</v>
      </c>
      <c r="I440" s="511"/>
      <c r="J440" s="51" t="s">
        <v>186</v>
      </c>
      <c r="K440" s="522" t="s">
        <v>2563</v>
      </c>
      <c r="L440" s="619">
        <v>44362.0</v>
      </c>
      <c r="M440" s="619">
        <v>44362.0</v>
      </c>
      <c r="N440" s="654">
        <v>44489.0</v>
      </c>
      <c r="O440" s="566" t="s">
        <v>3824</v>
      </c>
      <c r="P440" s="612">
        <v>0.02</v>
      </c>
      <c r="Q440" s="620" t="s">
        <v>5086</v>
      </c>
      <c r="R440" s="613"/>
      <c r="S440" s="522" t="str">
        <f t="shared" si="47"/>
        <v>Não Qualificado</v>
      </c>
      <c r="T440" s="522" t="s">
        <v>108</v>
      </c>
      <c r="U440" s="566" t="s">
        <v>2921</v>
      </c>
      <c r="V440" s="566" t="s">
        <v>34</v>
      </c>
      <c r="W440" s="468"/>
      <c r="X440" s="468"/>
      <c r="Y440" s="468"/>
      <c r="Z440" s="468"/>
      <c r="AA440" s="468"/>
      <c r="AB440" s="468"/>
      <c r="AC440" s="468"/>
      <c r="AD440" s="468"/>
      <c r="AE440" s="468"/>
      <c r="AF440" s="468"/>
      <c r="AG440" s="468"/>
      <c r="AH440" s="468"/>
      <c r="AI440" s="468"/>
      <c r="AJ440" s="468"/>
      <c r="AK440" s="450"/>
      <c r="AL440" s="450"/>
      <c r="AM440" s="450"/>
      <c r="AN440" s="450"/>
      <c r="AO440" s="450"/>
      <c r="AP440" s="450"/>
      <c r="AQ440" s="450"/>
      <c r="AR440" s="468"/>
      <c r="AS440" s="450">
        <v>101488.65</v>
      </c>
      <c r="AT440" s="450">
        <v>95947.73</v>
      </c>
      <c r="AU440" s="450">
        <v>95046.38</v>
      </c>
      <c r="AV440" s="450">
        <v>91628.14</v>
      </c>
      <c r="AW440" s="450">
        <v>87386.49</v>
      </c>
      <c r="AX440" s="450"/>
      <c r="AY440" s="450"/>
      <c r="AZ440" s="450"/>
      <c r="BA440" s="450">
        <v>0.0</v>
      </c>
      <c r="BB440" s="450">
        <v>0.0</v>
      </c>
      <c r="BC440" s="450">
        <v>23934.39</v>
      </c>
      <c r="BD440" s="450" t="s">
        <v>2566</v>
      </c>
      <c r="BE440" s="450" t="s">
        <v>2566</v>
      </c>
      <c r="BF440" s="450">
        <v>0.0</v>
      </c>
      <c r="BG440" s="450">
        <v>0.0</v>
      </c>
      <c r="BH440" s="450">
        <v>0.0</v>
      </c>
      <c r="BI440" s="450">
        <v>0.0</v>
      </c>
      <c r="BJ440" s="450">
        <v>0.0</v>
      </c>
      <c r="BK440" s="450">
        <v>0.0</v>
      </c>
      <c r="BL440" s="450">
        <v>0.0</v>
      </c>
      <c r="BM440" s="450">
        <v>0.0</v>
      </c>
      <c r="BN440" s="450">
        <v>0.0</v>
      </c>
      <c r="BO440" s="450">
        <v>0.0</v>
      </c>
      <c r="BP440" s="450">
        <v>0.0</v>
      </c>
      <c r="BQ440" s="450">
        <v>0.0</v>
      </c>
      <c r="BR440" s="450">
        <v>0.0</v>
      </c>
      <c r="BS440" s="615" t="str">
        <f t="array" ref="BS440">XLOOKUP(D440,'PL TOTAL XP'!A:A,'PL TOTAL XP'!C:C,"0")</f>
        <v>0</v>
      </c>
      <c r="BT440" s="616"/>
    </row>
    <row r="441" ht="15.75" customHeight="1">
      <c r="A441" s="183" t="s">
        <v>3820</v>
      </c>
      <c r="B441" s="78" t="s">
        <v>5087</v>
      </c>
      <c r="C441" s="617" t="s">
        <v>5088</v>
      </c>
      <c r="D441" s="512">
        <v>396107.0</v>
      </c>
      <c r="E441" s="512" t="s">
        <v>2550</v>
      </c>
      <c r="F441" s="512" t="s">
        <v>29</v>
      </c>
      <c r="G441" s="512" t="s">
        <v>2550</v>
      </c>
      <c r="H441" s="512" t="str">
        <f>IFERROR(VLOOKUP(G441,'Cadastro de assessores'!A:B,2,FALSE),"Não Cadastrado")</f>
        <v>18986</v>
      </c>
      <c r="I441" s="512"/>
      <c r="J441" s="46" t="s">
        <v>107</v>
      </c>
      <c r="K441" s="512" t="s">
        <v>107</v>
      </c>
      <c r="L441" s="610">
        <v>44193.0</v>
      </c>
      <c r="M441" s="610">
        <v>44250.0</v>
      </c>
      <c r="N441" s="522"/>
      <c r="O441" s="522" t="s">
        <v>3828</v>
      </c>
      <c r="P441" s="612">
        <v>0.015</v>
      </c>
      <c r="Q441" s="620"/>
      <c r="R441" s="613"/>
      <c r="S441" s="522" t="str">
        <f t="shared" si="47"/>
        <v>Não Qualificado</v>
      </c>
      <c r="T441" s="522" t="s">
        <v>108</v>
      </c>
      <c r="U441" s="522" t="s">
        <v>2842</v>
      </c>
      <c r="V441" s="522" t="s">
        <v>19</v>
      </c>
      <c r="W441" s="614"/>
      <c r="X441" s="614"/>
      <c r="Y441" s="614"/>
      <c r="Z441" s="614"/>
      <c r="AA441" s="614"/>
      <c r="AB441" s="614"/>
      <c r="AC441" s="614"/>
      <c r="AD441" s="614"/>
      <c r="AE441" s="614"/>
      <c r="AF441" s="614"/>
      <c r="AG441" s="614"/>
      <c r="AH441" s="614"/>
      <c r="AI441" s="614"/>
      <c r="AJ441" s="614"/>
      <c r="AK441" s="450"/>
      <c r="AL441" s="450"/>
      <c r="AM441" s="450">
        <v>157087.58</v>
      </c>
      <c r="AN441" s="450">
        <v>154576.69</v>
      </c>
      <c r="AO441" s="450">
        <v>158171.95</v>
      </c>
      <c r="AP441" s="450">
        <v>159062.67</v>
      </c>
      <c r="AQ441" s="450">
        <v>158437.32</v>
      </c>
      <c r="AR441" s="450">
        <v>162461.68</v>
      </c>
      <c r="AS441" s="450">
        <v>149736.56</v>
      </c>
      <c r="AT441" s="450">
        <v>158170.83</v>
      </c>
      <c r="AU441" s="450">
        <v>157308.25</v>
      </c>
      <c r="AV441" s="450">
        <v>36166.56</v>
      </c>
      <c r="AW441" s="450">
        <v>36408.04</v>
      </c>
      <c r="AX441" s="450">
        <v>36570.81</v>
      </c>
      <c r="AY441" s="450">
        <v>36551.39</v>
      </c>
      <c r="AZ441" s="450">
        <v>36671.04</v>
      </c>
      <c r="BA441" s="450">
        <v>31743.1</v>
      </c>
      <c r="BB441" s="450">
        <v>33183.07</v>
      </c>
      <c r="BC441" s="450">
        <v>114269.59</v>
      </c>
      <c r="BD441" s="450">
        <v>32233.66</v>
      </c>
      <c r="BE441" s="450">
        <v>16126.55</v>
      </c>
      <c r="BF441" s="450">
        <v>16449.67</v>
      </c>
      <c r="BG441" s="450">
        <v>16733.81</v>
      </c>
      <c r="BH441" s="450">
        <v>16911.1</v>
      </c>
      <c r="BI441" s="450">
        <v>17298.09</v>
      </c>
      <c r="BJ441" s="450">
        <v>17322.98</v>
      </c>
      <c r="BK441" s="450">
        <v>17484.49</v>
      </c>
      <c r="BL441" s="450">
        <v>17626.81</v>
      </c>
      <c r="BM441" s="450">
        <v>17639.33</v>
      </c>
      <c r="BN441" s="450">
        <v>27513.92</v>
      </c>
      <c r="BO441" s="450">
        <v>38906.09</v>
      </c>
      <c r="BP441" s="450">
        <v>42025.16</v>
      </c>
      <c r="BQ441" s="450">
        <v>42403.86</v>
      </c>
      <c r="BR441" s="450">
        <v>45645.34</v>
      </c>
      <c r="BS441" s="615">
        <f t="array" ref="BS441">XLOOKUP(D441,'PL TOTAL XP'!A:A,'PL TOTAL XP'!C:C,"0")</f>
        <v>66597.53</v>
      </c>
      <c r="BT441" s="616"/>
    </row>
    <row r="442" ht="15.75" customHeight="1">
      <c r="A442" s="183" t="s">
        <v>3820</v>
      </c>
      <c r="B442" s="78" t="s">
        <v>5089</v>
      </c>
      <c r="C442" s="617" t="s">
        <v>5090</v>
      </c>
      <c r="D442" s="522">
        <v>4836917.0</v>
      </c>
      <c r="E442" s="522" t="s">
        <v>2550</v>
      </c>
      <c r="F442" s="522" t="s">
        <v>29</v>
      </c>
      <c r="G442" s="522" t="s">
        <v>2550</v>
      </c>
      <c r="H442" s="522" t="str">
        <f>IFERROR(VLOOKUP(G442,'Cadastro de assessores'!A:B,2,FALSE),"Não Cadastrado")</f>
        <v>18986</v>
      </c>
      <c r="I442" s="522"/>
      <c r="J442" s="51" t="s">
        <v>186</v>
      </c>
      <c r="K442" s="522" t="s">
        <v>2563</v>
      </c>
      <c r="L442" s="619">
        <v>44244.0</v>
      </c>
      <c r="M442" s="619">
        <v>44244.0</v>
      </c>
      <c r="N442" s="619">
        <v>44270.0</v>
      </c>
      <c r="O442" s="522" t="s">
        <v>3828</v>
      </c>
      <c r="P442" s="612">
        <v>0.015</v>
      </c>
      <c r="Q442" s="620" t="s">
        <v>4487</v>
      </c>
      <c r="R442" s="613"/>
      <c r="S442" s="522" t="str">
        <f t="shared" si="47"/>
        <v/>
      </c>
      <c r="T442" s="522" t="s">
        <v>108</v>
      </c>
      <c r="U442" s="566" t="s">
        <v>3123</v>
      </c>
      <c r="V442" s="566" t="s">
        <v>29</v>
      </c>
      <c r="W442" s="614"/>
      <c r="X442" s="614"/>
      <c r="Y442" s="614"/>
      <c r="Z442" s="614"/>
      <c r="AA442" s="614"/>
      <c r="AB442" s="614"/>
      <c r="AC442" s="614"/>
      <c r="AD442" s="614"/>
      <c r="AE442" s="614"/>
      <c r="AF442" s="614"/>
      <c r="AG442" s="614"/>
      <c r="AH442" s="614"/>
      <c r="AI442" s="614"/>
      <c r="AJ442" s="614"/>
      <c r="AK442" s="450"/>
      <c r="AL442" s="450"/>
      <c r="AM442" s="450">
        <v>376120.08</v>
      </c>
      <c r="AN442" s="450">
        <v>378053.96</v>
      </c>
      <c r="AO442" s="450"/>
      <c r="AP442" s="450"/>
      <c r="AQ442" s="450"/>
      <c r="AR442" s="450"/>
      <c r="AS442" s="450"/>
      <c r="AT442" s="450"/>
      <c r="AU442" s="450"/>
      <c r="AV442" s="450"/>
      <c r="AW442" s="450"/>
      <c r="AX442" s="450"/>
      <c r="AY442" s="450"/>
      <c r="AZ442" s="450"/>
      <c r="BA442" s="450">
        <v>0.0</v>
      </c>
      <c r="BB442" s="450">
        <v>0.0</v>
      </c>
      <c r="BC442" s="450"/>
      <c r="BD442" s="450" t="s">
        <v>2566</v>
      </c>
      <c r="BE442" s="450" t="s">
        <v>2566</v>
      </c>
      <c r="BF442" s="450">
        <v>0.0</v>
      </c>
      <c r="BG442" s="450">
        <v>0.0</v>
      </c>
      <c r="BH442" s="450">
        <v>0.0</v>
      </c>
      <c r="BI442" s="450">
        <v>0.0</v>
      </c>
      <c r="BJ442" s="450">
        <v>0.0</v>
      </c>
      <c r="BK442" s="450">
        <v>0.0</v>
      </c>
      <c r="BL442" s="450">
        <v>0.0</v>
      </c>
      <c r="BM442" s="450">
        <v>0.0</v>
      </c>
      <c r="BN442" s="450">
        <v>0.0</v>
      </c>
      <c r="BO442" s="450">
        <v>0.0</v>
      </c>
      <c r="BP442" s="450">
        <v>0.0</v>
      </c>
      <c r="BQ442" s="450">
        <v>0.0</v>
      </c>
      <c r="BR442" s="450">
        <v>0.0</v>
      </c>
      <c r="BS442" s="615" t="str">
        <f t="array" ref="BS442">XLOOKUP(D442,'PL TOTAL XP'!A:A,'PL TOTAL XP'!C:C,"0")</f>
        <v>0</v>
      </c>
      <c r="BT442" s="616"/>
    </row>
    <row r="443" ht="15.75" customHeight="1">
      <c r="A443" s="183" t="s">
        <v>3820</v>
      </c>
      <c r="B443" s="78" t="s">
        <v>5091</v>
      </c>
      <c r="C443" s="617" t="s">
        <v>5092</v>
      </c>
      <c r="D443" s="522">
        <v>4425136.0</v>
      </c>
      <c r="E443" s="522" t="s">
        <v>18</v>
      </c>
      <c r="F443" s="522" t="s">
        <v>29</v>
      </c>
      <c r="G443" s="522" t="s">
        <v>3827</v>
      </c>
      <c r="H443" s="522" t="str">
        <f>IFERROR(VLOOKUP(G443,'Cadastro de assessores'!A:B,2,FALSE),"Não Cadastrado")</f>
        <v>17679</v>
      </c>
      <c r="I443" s="522"/>
      <c r="J443" s="51" t="s">
        <v>186</v>
      </c>
      <c r="K443" s="522" t="s">
        <v>2563</v>
      </c>
      <c r="L443" s="619">
        <v>44096.0</v>
      </c>
      <c r="M443" s="619">
        <v>44096.0</v>
      </c>
      <c r="N443" s="619">
        <v>44448.0</v>
      </c>
      <c r="O443" s="522" t="s">
        <v>3828</v>
      </c>
      <c r="P443" s="612">
        <v>0.015</v>
      </c>
      <c r="Q443" s="620" t="s">
        <v>5093</v>
      </c>
      <c r="R443" s="613"/>
      <c r="S443" s="522" t="str">
        <f t="shared" si="47"/>
        <v/>
      </c>
      <c r="T443" s="522" t="s">
        <v>108</v>
      </c>
      <c r="U443" s="522" t="s">
        <v>2565</v>
      </c>
      <c r="V443" s="522" t="s">
        <v>29</v>
      </c>
      <c r="W443" s="614" t="s">
        <v>3830</v>
      </c>
      <c r="X443" s="614" t="s">
        <v>3830</v>
      </c>
      <c r="Y443" s="614" t="s">
        <v>3830</v>
      </c>
      <c r="Z443" s="614" t="s">
        <v>3830</v>
      </c>
      <c r="AA443" s="614" t="s">
        <v>3830</v>
      </c>
      <c r="AB443" s="614" t="s">
        <v>3830</v>
      </c>
      <c r="AC443" s="614" t="s">
        <v>3830</v>
      </c>
      <c r="AD443" s="614" t="s">
        <v>3830</v>
      </c>
      <c r="AE443" s="614" t="s">
        <v>3830</v>
      </c>
      <c r="AF443" s="614" t="s">
        <v>3830</v>
      </c>
      <c r="AG443" s="614" t="s">
        <v>3830</v>
      </c>
      <c r="AH443" s="614" t="s">
        <v>5094</v>
      </c>
      <c r="AI443" s="614" t="s">
        <v>5095</v>
      </c>
      <c r="AJ443" s="614" t="s">
        <v>5096</v>
      </c>
      <c r="AK443" s="450">
        <v>116448.42</v>
      </c>
      <c r="AL443" s="450">
        <v>114005.63</v>
      </c>
      <c r="AM443" s="450">
        <v>110864.65</v>
      </c>
      <c r="AN443" s="450">
        <v>110873.34</v>
      </c>
      <c r="AO443" s="450">
        <v>113167.14</v>
      </c>
      <c r="AP443" s="450">
        <v>113921.69</v>
      </c>
      <c r="AQ443" s="450">
        <v>113422.14</v>
      </c>
      <c r="AR443" s="450">
        <v>116303.22</v>
      </c>
      <c r="AS443" s="450">
        <v>115312.93</v>
      </c>
      <c r="AT443" s="450">
        <v>112813.67</v>
      </c>
      <c r="AU443" s="450">
        <v>112027.0</v>
      </c>
      <c r="AV443" s="450"/>
      <c r="AW443" s="450"/>
      <c r="AX443" s="450"/>
      <c r="AY443" s="450"/>
      <c r="AZ443" s="450"/>
      <c r="BA443" s="450">
        <v>0.0</v>
      </c>
      <c r="BB443" s="450">
        <v>0.0</v>
      </c>
      <c r="BC443" s="450"/>
      <c r="BD443" s="450" t="s">
        <v>2566</v>
      </c>
      <c r="BE443" s="450" t="s">
        <v>2566</v>
      </c>
      <c r="BF443" s="450">
        <v>0.0</v>
      </c>
      <c r="BG443" s="450">
        <v>0.0</v>
      </c>
      <c r="BH443" s="450">
        <v>0.0</v>
      </c>
      <c r="BI443" s="450">
        <v>0.0</v>
      </c>
      <c r="BJ443" s="450">
        <v>0.0</v>
      </c>
      <c r="BK443" s="450">
        <v>0.0</v>
      </c>
      <c r="BL443" s="450">
        <v>0.0</v>
      </c>
      <c r="BM443" s="450">
        <v>0.0</v>
      </c>
      <c r="BN443" s="450">
        <v>0.0</v>
      </c>
      <c r="BO443" s="450">
        <v>0.0</v>
      </c>
      <c r="BP443" s="450">
        <v>0.0</v>
      </c>
      <c r="BQ443" s="450">
        <v>0.0</v>
      </c>
      <c r="BR443" s="450">
        <v>0.0</v>
      </c>
      <c r="BS443" s="615" t="str">
        <f t="array" ref="BS443">XLOOKUP(D443,'PL TOTAL XP'!A:A,'PL TOTAL XP'!C:C,"0")</f>
        <v>0</v>
      </c>
      <c r="BT443" s="616"/>
    </row>
    <row r="444" ht="15.75" customHeight="1">
      <c r="A444" s="183" t="s">
        <v>3820</v>
      </c>
      <c r="B444" s="78" t="s">
        <v>5097</v>
      </c>
      <c r="C444" s="617" t="s">
        <v>5098</v>
      </c>
      <c r="D444" s="522">
        <v>4655754.0</v>
      </c>
      <c r="E444" s="512" t="s">
        <v>105</v>
      </c>
      <c r="F444" s="512" t="s">
        <v>29</v>
      </c>
      <c r="G444" s="512" t="s">
        <v>4486</v>
      </c>
      <c r="H444" s="512" t="str">
        <f>IFERROR(VLOOKUP(G444,'Cadastro de assessores'!A:B,2,FALSE),"Não Cadastrado")</f>
        <v>14244</v>
      </c>
      <c r="I444" s="512"/>
      <c r="J444" s="51" t="s">
        <v>3823</v>
      </c>
      <c r="K444" s="512" t="s">
        <v>107</v>
      </c>
      <c r="L444" s="611">
        <v>44173.0</v>
      </c>
      <c r="M444" s="611">
        <v>44180.0</v>
      </c>
      <c r="N444" s="522"/>
      <c r="O444" s="522" t="s">
        <v>3828</v>
      </c>
      <c r="P444" s="612">
        <v>0.015</v>
      </c>
      <c r="Q444" s="620"/>
      <c r="R444" s="613"/>
      <c r="S444" s="522" t="str">
        <f t="shared" si="47"/>
        <v/>
      </c>
      <c r="T444" s="522" t="s">
        <v>108</v>
      </c>
      <c r="U444" s="522" t="s">
        <v>2580</v>
      </c>
      <c r="V444" s="522" t="s">
        <v>29</v>
      </c>
      <c r="W444" s="614" t="s">
        <v>3830</v>
      </c>
      <c r="X444" s="614" t="s">
        <v>3830</v>
      </c>
      <c r="Y444" s="614" t="s">
        <v>3830</v>
      </c>
      <c r="Z444" s="614" t="s">
        <v>3830</v>
      </c>
      <c r="AA444" s="614" t="s">
        <v>3830</v>
      </c>
      <c r="AB444" s="614" t="s">
        <v>3830</v>
      </c>
      <c r="AC444" s="614" t="s">
        <v>3830</v>
      </c>
      <c r="AD444" s="614" t="s">
        <v>3830</v>
      </c>
      <c r="AE444" s="614" t="s">
        <v>3830</v>
      </c>
      <c r="AF444" s="614" t="s">
        <v>3830</v>
      </c>
      <c r="AG444" s="614" t="s">
        <v>3830</v>
      </c>
      <c r="AH444" s="614" t="s">
        <v>3830</v>
      </c>
      <c r="AI444" s="614" t="s">
        <v>3830</v>
      </c>
      <c r="AJ444" s="614" t="s">
        <v>3830</v>
      </c>
      <c r="AK444" s="450">
        <v>293621.33</v>
      </c>
      <c r="AL444" s="450">
        <v>289262.8</v>
      </c>
      <c r="AM444" s="450">
        <v>282238.95</v>
      </c>
      <c r="AN444" s="450">
        <v>282408.97</v>
      </c>
      <c r="AO444" s="450">
        <v>289242.76</v>
      </c>
      <c r="AP444" s="450">
        <v>285986.24</v>
      </c>
      <c r="AQ444" s="450">
        <v>273810.39</v>
      </c>
      <c r="AR444" s="450">
        <v>280671.12</v>
      </c>
      <c r="AS444" s="450">
        <v>261361.17</v>
      </c>
      <c r="AT444" s="450">
        <v>225654.66</v>
      </c>
      <c r="AU444" s="450">
        <v>195877.82</v>
      </c>
      <c r="AV444" s="450">
        <v>173675.51</v>
      </c>
      <c r="AW444" s="450">
        <v>154705.63</v>
      </c>
      <c r="AX444" s="450">
        <v>134581.1</v>
      </c>
      <c r="AY444" s="450">
        <v>129709.93</v>
      </c>
      <c r="AZ444" s="450">
        <v>119877.92</v>
      </c>
      <c r="BA444" s="450">
        <v>99631.17</v>
      </c>
      <c r="BB444" s="450">
        <v>103551.12</v>
      </c>
      <c r="BC444" s="450"/>
      <c r="BD444" s="450">
        <v>94181.04</v>
      </c>
      <c r="BE444" s="450">
        <v>93591.31</v>
      </c>
      <c r="BF444" s="450">
        <v>95292.79</v>
      </c>
      <c r="BG444" s="450">
        <v>95601.65308</v>
      </c>
      <c r="BH444" s="450">
        <v>95839.71</v>
      </c>
      <c r="BI444" s="450">
        <v>99380.01</v>
      </c>
      <c r="BJ444" s="450">
        <v>98805.98</v>
      </c>
      <c r="BK444" s="450">
        <v>99474.59</v>
      </c>
      <c r="BL444" s="450">
        <v>943.21</v>
      </c>
      <c r="BM444" s="450">
        <v>831.1</v>
      </c>
      <c r="BN444" s="450">
        <v>831.1</v>
      </c>
      <c r="BO444" s="450">
        <v>831.1</v>
      </c>
      <c r="BP444" s="450">
        <v>831.1</v>
      </c>
      <c r="BQ444" s="450">
        <v>831.1</v>
      </c>
      <c r="BR444" s="450">
        <v>0.0</v>
      </c>
      <c r="BS444" s="615">
        <f t="array" ref="BS444">XLOOKUP(D444,'PL TOTAL XP'!A:A,'PL TOTAL XP'!C:C,"0")</f>
        <v>0</v>
      </c>
      <c r="BT444" s="616"/>
    </row>
    <row r="445" ht="15.75" customHeight="1">
      <c r="A445" s="183" t="s">
        <v>3820</v>
      </c>
      <c r="B445" s="78" t="s">
        <v>5099</v>
      </c>
      <c r="C445" s="617" t="s">
        <v>5100</v>
      </c>
      <c r="D445" s="522">
        <v>7782720.0</v>
      </c>
      <c r="E445" s="512" t="s">
        <v>105</v>
      </c>
      <c r="F445" s="512" t="s">
        <v>29</v>
      </c>
      <c r="G445" s="512" t="s">
        <v>4283</v>
      </c>
      <c r="H445" s="512">
        <f>IFERROR(VLOOKUP(G445,'Cadastro de assessores'!A:B,2,FALSE),"Não Cadastrado")</f>
        <v>12330</v>
      </c>
      <c r="I445" s="512"/>
      <c r="J445" s="51" t="s">
        <v>3823</v>
      </c>
      <c r="K445" s="512" t="s">
        <v>107</v>
      </c>
      <c r="L445" s="624">
        <v>44588.0</v>
      </c>
      <c r="M445" s="624">
        <v>44595.0</v>
      </c>
      <c r="N445" s="522"/>
      <c r="O445" s="522" t="s">
        <v>3834</v>
      </c>
      <c r="P445" s="612">
        <v>0.007</v>
      </c>
      <c r="Q445" s="620"/>
      <c r="R445" s="613"/>
      <c r="S445" s="522" t="str">
        <f t="shared" si="47"/>
        <v>Não Qualificado</v>
      </c>
      <c r="T445" s="522" t="s">
        <v>108</v>
      </c>
      <c r="U445" s="522" t="s">
        <v>2656</v>
      </c>
      <c r="V445" s="522" t="s">
        <v>29</v>
      </c>
      <c r="W445" s="614"/>
      <c r="X445" s="614"/>
      <c r="Y445" s="614"/>
      <c r="Z445" s="614"/>
      <c r="AA445" s="614"/>
      <c r="AB445" s="614"/>
      <c r="AC445" s="614"/>
      <c r="AD445" s="614"/>
      <c r="AE445" s="614"/>
      <c r="AF445" s="614"/>
      <c r="AG445" s="614"/>
      <c r="AH445" s="614"/>
      <c r="AI445" s="614"/>
      <c r="AJ445" s="614"/>
      <c r="AK445" s="450"/>
      <c r="AL445" s="450"/>
      <c r="AM445" s="450"/>
      <c r="AN445" s="450"/>
      <c r="AO445" s="450"/>
      <c r="AP445" s="450"/>
      <c r="AQ445" s="450"/>
      <c r="AR445" s="450"/>
      <c r="AS445" s="450"/>
      <c r="AT445" s="450"/>
      <c r="AU445" s="450"/>
      <c r="AV445" s="450"/>
      <c r="AW445" s="450"/>
      <c r="AX445" s="450"/>
      <c r="AY445" s="450"/>
      <c r="AZ445" s="450"/>
      <c r="BA445" s="450">
        <v>100697.8</v>
      </c>
      <c r="BB445" s="450">
        <v>101876.02</v>
      </c>
      <c r="BC445" s="450">
        <v>126550.51</v>
      </c>
      <c r="BD445" s="450">
        <v>104166.72</v>
      </c>
      <c r="BE445" s="450">
        <v>105095.06</v>
      </c>
      <c r="BF445" s="450">
        <v>105890.06</v>
      </c>
      <c r="BG445" s="450">
        <v>106312.713</v>
      </c>
      <c r="BH445" s="450">
        <v>106835.73</v>
      </c>
      <c r="BI445" s="450">
        <v>107515.93</v>
      </c>
      <c r="BJ445" s="450">
        <v>108440.44</v>
      </c>
      <c r="BK445" s="450">
        <v>109280.88</v>
      </c>
      <c r="BL445" s="450">
        <v>110426.5</v>
      </c>
      <c r="BM445" s="450">
        <v>0.0</v>
      </c>
      <c r="BN445" s="450">
        <v>-21.91</v>
      </c>
      <c r="BO445" s="450">
        <v>-21.91</v>
      </c>
      <c r="BP445" s="450">
        <v>-21.91</v>
      </c>
      <c r="BQ445" s="450">
        <v>-21.91</v>
      </c>
      <c r="BR445" s="450">
        <v>-21.91</v>
      </c>
      <c r="BS445" s="615">
        <f t="array" ref="BS445">XLOOKUP(D445,'PL TOTAL XP'!A:A,'PL TOTAL XP'!C:C,"0")</f>
        <v>-21.91</v>
      </c>
      <c r="BT445" s="616"/>
    </row>
    <row r="446" ht="15.75" customHeight="1">
      <c r="A446" s="183" t="s">
        <v>3820</v>
      </c>
      <c r="B446" s="78" t="s">
        <v>2110</v>
      </c>
      <c r="C446" s="632" t="s">
        <v>5101</v>
      </c>
      <c r="D446" s="522">
        <v>475798.0</v>
      </c>
      <c r="E446" s="522" t="s">
        <v>18</v>
      </c>
      <c r="F446" s="522" t="s">
        <v>19</v>
      </c>
      <c r="G446" s="522" t="s">
        <v>20</v>
      </c>
      <c r="H446" s="566">
        <v>12331.0</v>
      </c>
      <c r="I446" s="566"/>
      <c r="J446" s="51" t="s">
        <v>3823</v>
      </c>
      <c r="K446" s="522" t="s">
        <v>107</v>
      </c>
      <c r="L446" s="624">
        <v>44715.0</v>
      </c>
      <c r="M446" s="624">
        <v>44715.0</v>
      </c>
      <c r="N446" s="619"/>
      <c r="O446" s="522" t="s">
        <v>3836</v>
      </c>
      <c r="P446" s="612">
        <v>0.012</v>
      </c>
      <c r="Q446" s="620" t="s">
        <v>4102</v>
      </c>
      <c r="R446" s="613"/>
      <c r="S446" s="522"/>
      <c r="T446" s="522" t="s">
        <v>108</v>
      </c>
      <c r="U446" s="522" t="s">
        <v>2652</v>
      </c>
      <c r="V446" s="522" t="s">
        <v>19</v>
      </c>
      <c r="W446" s="614"/>
      <c r="X446" s="614"/>
      <c r="Y446" s="614"/>
      <c r="Z446" s="614"/>
      <c r="AA446" s="614"/>
      <c r="AB446" s="614"/>
      <c r="AC446" s="614"/>
      <c r="AD446" s="614"/>
      <c r="AE446" s="614"/>
      <c r="AF446" s="614"/>
      <c r="AG446" s="614"/>
      <c r="AH446" s="614"/>
      <c r="AI446" s="614"/>
      <c r="AJ446" s="614"/>
      <c r="AK446" s="450"/>
      <c r="AL446" s="450"/>
      <c r="AM446" s="450"/>
      <c r="AN446" s="450"/>
      <c r="AO446" s="450"/>
      <c r="AP446" s="450"/>
      <c r="AQ446" s="450"/>
      <c r="AR446" s="450"/>
      <c r="AS446" s="450"/>
      <c r="AT446" s="450"/>
      <c r="AU446" s="450"/>
      <c r="AV446" s="450"/>
      <c r="AW446" s="450"/>
      <c r="AX446" s="450"/>
      <c r="AY446" s="450"/>
      <c r="AZ446" s="450"/>
      <c r="BA446" s="450"/>
      <c r="BB446" s="450"/>
      <c r="BC446" s="450"/>
      <c r="BD446" s="450" t="s">
        <v>2566</v>
      </c>
      <c r="BE446" s="450">
        <v>789633.81</v>
      </c>
      <c r="BF446" s="450">
        <v>766890.05</v>
      </c>
      <c r="BG446" s="450">
        <v>779279.0573</v>
      </c>
      <c r="BH446" s="450">
        <v>779969.45</v>
      </c>
      <c r="BI446" s="450">
        <v>787891.46</v>
      </c>
      <c r="BJ446" s="450">
        <v>796251.98</v>
      </c>
      <c r="BK446" s="450">
        <v>851704.45</v>
      </c>
      <c r="BL446" s="450">
        <v>220013.09</v>
      </c>
      <c r="BM446" s="450">
        <v>26478.63</v>
      </c>
      <c r="BN446" s="450">
        <v>26818.01</v>
      </c>
      <c r="BO446" s="450">
        <v>27030.62</v>
      </c>
      <c r="BP446" s="450">
        <v>0.0</v>
      </c>
      <c r="BQ446" s="450">
        <v>0.0</v>
      </c>
      <c r="BR446" s="450">
        <v>0.0</v>
      </c>
      <c r="BS446" s="615" t="str">
        <f t="array" ref="BS446">XLOOKUP(D446,'PL TOTAL XP'!A:A,'PL TOTAL XP'!C:C,"0")</f>
        <v>0</v>
      </c>
      <c r="BT446" s="616"/>
    </row>
    <row r="447" ht="15.75" customHeight="1">
      <c r="A447" s="183" t="s">
        <v>3820</v>
      </c>
      <c r="B447" s="78" t="s">
        <v>5102</v>
      </c>
      <c r="C447" s="617" t="s">
        <v>5103</v>
      </c>
      <c r="D447" s="522">
        <v>4493392.0</v>
      </c>
      <c r="E447" s="522" t="s">
        <v>18</v>
      </c>
      <c r="F447" s="522" t="s">
        <v>29</v>
      </c>
      <c r="G447" s="522" t="s">
        <v>3827</v>
      </c>
      <c r="H447" s="522" t="str">
        <f>IFERROR(VLOOKUP(G447,'Cadastro de assessores'!A:B,2,FALSE),"Não Cadastrado")</f>
        <v>17679</v>
      </c>
      <c r="I447" s="522"/>
      <c r="J447" s="51" t="s">
        <v>186</v>
      </c>
      <c r="K447" s="522" t="s">
        <v>2563</v>
      </c>
      <c r="L447" s="618">
        <v>44147.0</v>
      </c>
      <c r="M447" s="618">
        <v>44147.0</v>
      </c>
      <c r="N447" s="619">
        <v>44445.0</v>
      </c>
      <c r="O447" s="522" t="s">
        <v>3836</v>
      </c>
      <c r="P447" s="612">
        <v>0.012</v>
      </c>
      <c r="Q447" s="620" t="s">
        <v>5104</v>
      </c>
      <c r="R447" s="613"/>
      <c r="S447" s="522" t="str">
        <f t="shared" ref="S447:S454" si="48">IF(BC447&lt;=0,"",IF(BC447&lt;=1000000,"Não Qualificado",IF(AND(BC447&gt;1000000,BC447&lt;=10000000),"Qualificado","Profissional")))</f>
        <v>Não Qualificado</v>
      </c>
      <c r="T447" s="522" t="s">
        <v>108</v>
      </c>
      <c r="U447" s="522" t="s">
        <v>4240</v>
      </c>
      <c r="V447" s="522" t="s">
        <v>3672</v>
      </c>
      <c r="W447" s="614" t="s">
        <v>3830</v>
      </c>
      <c r="X447" s="614" t="s">
        <v>3830</v>
      </c>
      <c r="Y447" s="614" t="s">
        <v>3830</v>
      </c>
      <c r="Z447" s="614" t="s">
        <v>3830</v>
      </c>
      <c r="AA447" s="614" t="s">
        <v>3830</v>
      </c>
      <c r="AB447" s="614" t="s">
        <v>3830</v>
      </c>
      <c r="AC447" s="614" t="s">
        <v>3830</v>
      </c>
      <c r="AD447" s="614" t="s">
        <v>3830</v>
      </c>
      <c r="AE447" s="614" t="s">
        <v>3830</v>
      </c>
      <c r="AF447" s="614" t="s">
        <v>3830</v>
      </c>
      <c r="AG447" s="614" t="s">
        <v>3830</v>
      </c>
      <c r="AH447" s="614" t="s">
        <v>3830</v>
      </c>
      <c r="AI447" s="614" t="s">
        <v>3830</v>
      </c>
      <c r="AJ447" s="614" t="s">
        <v>5105</v>
      </c>
      <c r="AK447" s="450">
        <v>199070.43</v>
      </c>
      <c r="AL447" s="450">
        <v>257304.22</v>
      </c>
      <c r="AM447" s="450">
        <v>314260.32</v>
      </c>
      <c r="AN447" s="450">
        <v>314578.5</v>
      </c>
      <c r="AO447" s="450">
        <v>318918.41</v>
      </c>
      <c r="AP447" s="450">
        <v>420295.45</v>
      </c>
      <c r="AQ447" s="450">
        <v>419261.52</v>
      </c>
      <c r="AR447" s="450">
        <v>465937.22</v>
      </c>
      <c r="AS447" s="450">
        <v>524682.3</v>
      </c>
      <c r="AT447" s="450">
        <v>539973.39</v>
      </c>
      <c r="AU447" s="450">
        <v>605680.83</v>
      </c>
      <c r="AV447" s="450"/>
      <c r="AW447" s="450"/>
      <c r="AX447" s="450"/>
      <c r="AY447" s="450"/>
      <c r="AZ447" s="450"/>
      <c r="BA447" s="450">
        <v>0.0</v>
      </c>
      <c r="BB447" s="450">
        <v>0.0</v>
      </c>
      <c r="BC447" s="450">
        <v>159.76</v>
      </c>
      <c r="BD447" s="450" t="s">
        <v>2566</v>
      </c>
      <c r="BE447" s="450" t="s">
        <v>2566</v>
      </c>
      <c r="BF447" s="450">
        <v>0.0</v>
      </c>
      <c r="BG447" s="450">
        <v>0.0</v>
      </c>
      <c r="BH447" s="450">
        <v>0.0</v>
      </c>
      <c r="BI447" s="450">
        <v>0.0</v>
      </c>
      <c r="BJ447" s="450">
        <v>0.0</v>
      </c>
      <c r="BK447" s="450">
        <v>0.0</v>
      </c>
      <c r="BL447" s="450">
        <v>0.0</v>
      </c>
      <c r="BM447" s="450">
        <v>0.0</v>
      </c>
      <c r="BN447" s="450">
        <v>0.0</v>
      </c>
      <c r="BO447" s="450">
        <v>0.0</v>
      </c>
      <c r="BP447" s="450">
        <v>0.0</v>
      </c>
      <c r="BQ447" s="450">
        <v>0.0</v>
      </c>
      <c r="BR447" s="450">
        <v>0.0</v>
      </c>
      <c r="BS447" s="615" t="str">
        <f t="array" ref="BS447">XLOOKUP(D447,'PL TOTAL XP'!A:A,'PL TOTAL XP'!C:C,"0")</f>
        <v>0</v>
      </c>
      <c r="BT447" s="616"/>
    </row>
    <row r="448" ht="15.75" customHeight="1">
      <c r="A448" s="183" t="s">
        <v>3820</v>
      </c>
      <c r="B448" s="78" t="s">
        <v>5106</v>
      </c>
      <c r="C448" s="617" t="s">
        <v>5107</v>
      </c>
      <c r="D448" s="522">
        <v>4757223.0</v>
      </c>
      <c r="E448" s="512" t="s">
        <v>18</v>
      </c>
      <c r="F448" s="609" t="s">
        <v>19</v>
      </c>
      <c r="G448" s="512" t="s">
        <v>256</v>
      </c>
      <c r="H448" s="512" t="str">
        <f>IFERROR(VLOOKUP(G448,'Cadastro de assessores'!A:B,2,FALSE),"Não Cadastrado")</f>
        <v>18009</v>
      </c>
      <c r="I448" s="512"/>
      <c r="J448" s="51" t="s">
        <v>3823</v>
      </c>
      <c r="K448" s="512" t="s">
        <v>107</v>
      </c>
      <c r="L448" s="610">
        <v>44210.0</v>
      </c>
      <c r="M448" s="610">
        <v>44210.0</v>
      </c>
      <c r="N448" s="522"/>
      <c r="O448" s="522" t="s">
        <v>3828</v>
      </c>
      <c r="P448" s="612">
        <v>0.015</v>
      </c>
      <c r="Q448" s="620"/>
      <c r="R448" s="613"/>
      <c r="S448" s="522" t="str">
        <f t="shared" si="48"/>
        <v/>
      </c>
      <c r="T448" s="522" t="s">
        <v>108</v>
      </c>
      <c r="U448" s="522" t="s">
        <v>2664</v>
      </c>
      <c r="V448" s="522" t="s">
        <v>791</v>
      </c>
      <c r="W448" s="614"/>
      <c r="X448" s="614"/>
      <c r="Y448" s="614"/>
      <c r="Z448" s="614"/>
      <c r="AA448" s="614"/>
      <c r="AB448" s="614"/>
      <c r="AC448" s="614"/>
      <c r="AD448" s="614"/>
      <c r="AE448" s="614"/>
      <c r="AF448" s="614"/>
      <c r="AG448" s="614"/>
      <c r="AH448" s="614"/>
      <c r="AI448" s="614"/>
      <c r="AJ448" s="614"/>
      <c r="AK448" s="450"/>
      <c r="AL448" s="450">
        <v>48755.63</v>
      </c>
      <c r="AM448" s="450">
        <v>47323.65</v>
      </c>
      <c r="AN448" s="450">
        <v>47558.49</v>
      </c>
      <c r="AO448" s="450">
        <v>48849.44</v>
      </c>
      <c r="AP448" s="450">
        <v>49134.61</v>
      </c>
      <c r="AQ448" s="450">
        <v>48927.71</v>
      </c>
      <c r="AR448" s="450">
        <v>50071.6</v>
      </c>
      <c r="AS448" s="450">
        <v>49729.17</v>
      </c>
      <c r="AT448" s="450">
        <v>48769.14</v>
      </c>
      <c r="AU448" s="450">
        <v>48499.44</v>
      </c>
      <c r="AV448" s="450">
        <v>47658.1</v>
      </c>
      <c r="AW448" s="450">
        <v>46017.56</v>
      </c>
      <c r="AX448" s="450">
        <v>46010.28</v>
      </c>
      <c r="AY448" s="450">
        <v>46554.11</v>
      </c>
      <c r="AZ448" s="450">
        <v>47950.79</v>
      </c>
      <c r="BA448" s="450">
        <v>48340.53</v>
      </c>
      <c r="BB448" s="450">
        <v>50064.64</v>
      </c>
      <c r="BC448" s="450"/>
      <c r="BD448" s="450">
        <v>49618.98</v>
      </c>
      <c r="BE448" s="450">
        <v>49406.27</v>
      </c>
      <c r="BF448" s="450">
        <v>50551.6</v>
      </c>
      <c r="BG448" s="450">
        <v>51056.36321</v>
      </c>
      <c r="BH448" s="450">
        <v>51066.43</v>
      </c>
      <c r="BI448" s="450">
        <v>63152.38</v>
      </c>
      <c r="BJ448" s="450">
        <v>62985.31</v>
      </c>
      <c r="BK448" s="450">
        <v>63455.16</v>
      </c>
      <c r="BL448" s="450">
        <v>64092.78</v>
      </c>
      <c r="BM448" s="450">
        <v>40610.22</v>
      </c>
      <c r="BN448" s="450">
        <v>0.0</v>
      </c>
      <c r="BO448" s="450">
        <v>0.0</v>
      </c>
      <c r="BP448" s="450">
        <v>0.0</v>
      </c>
      <c r="BQ448" s="450">
        <v>0.0</v>
      </c>
      <c r="BR448" s="450">
        <v>0.0</v>
      </c>
      <c r="BS448" s="615" t="str">
        <f t="array" ref="BS448">XLOOKUP(D448,'PL TOTAL XP'!A:A,'PL TOTAL XP'!C:C,"0")</f>
        <v>0</v>
      </c>
      <c r="BT448" s="616"/>
    </row>
    <row r="449" ht="15.75" customHeight="1">
      <c r="A449" s="183" t="s">
        <v>3820</v>
      </c>
      <c r="B449" s="78" t="s">
        <v>5108</v>
      </c>
      <c r="C449" s="617" t="s">
        <v>5109</v>
      </c>
      <c r="D449" s="522">
        <v>4491063.0</v>
      </c>
      <c r="E449" s="522" t="s">
        <v>18</v>
      </c>
      <c r="F449" s="522" t="s">
        <v>29</v>
      </c>
      <c r="G449" s="522" t="s">
        <v>3827</v>
      </c>
      <c r="H449" s="522" t="str">
        <f>IFERROR(VLOOKUP(G449,'Cadastro de assessores'!A:B,2,FALSE),"Não Cadastrado")</f>
        <v>17679</v>
      </c>
      <c r="I449" s="522"/>
      <c r="J449" s="51" t="s">
        <v>186</v>
      </c>
      <c r="K449" s="522" t="s">
        <v>2563</v>
      </c>
      <c r="L449" s="618">
        <v>44120.0</v>
      </c>
      <c r="M449" s="618">
        <v>44120.0</v>
      </c>
      <c r="N449" s="619">
        <v>44452.0</v>
      </c>
      <c r="O449" s="522" t="s">
        <v>3828</v>
      </c>
      <c r="P449" s="612">
        <v>0.015</v>
      </c>
      <c r="Q449" s="620" t="s">
        <v>5110</v>
      </c>
      <c r="R449" s="613"/>
      <c r="S449" s="522" t="str">
        <f t="shared" si="48"/>
        <v>Não Qualificado</v>
      </c>
      <c r="T449" s="522" t="s">
        <v>108</v>
      </c>
      <c r="U449" s="522" t="s">
        <v>2580</v>
      </c>
      <c r="V449" s="522" t="s">
        <v>29</v>
      </c>
      <c r="W449" s="614" t="s">
        <v>3830</v>
      </c>
      <c r="X449" s="614" t="s">
        <v>3830</v>
      </c>
      <c r="Y449" s="614" t="s">
        <v>3830</v>
      </c>
      <c r="Z449" s="614" t="s">
        <v>3830</v>
      </c>
      <c r="AA449" s="614" t="s">
        <v>3830</v>
      </c>
      <c r="AB449" s="614" t="s">
        <v>3830</v>
      </c>
      <c r="AC449" s="614" t="s">
        <v>3830</v>
      </c>
      <c r="AD449" s="614" t="s">
        <v>3830</v>
      </c>
      <c r="AE449" s="614" t="s">
        <v>3830</v>
      </c>
      <c r="AF449" s="614" t="s">
        <v>3830</v>
      </c>
      <c r="AG449" s="614" t="s">
        <v>3830</v>
      </c>
      <c r="AH449" s="614" t="s">
        <v>3830</v>
      </c>
      <c r="AI449" s="614" t="s">
        <v>5111</v>
      </c>
      <c r="AJ449" s="614" t="s">
        <v>5112</v>
      </c>
      <c r="AK449" s="450">
        <v>121972.54</v>
      </c>
      <c r="AL449" s="450">
        <v>119090.45</v>
      </c>
      <c r="AM449" s="450">
        <v>115342.26</v>
      </c>
      <c r="AN449" s="450">
        <v>115338.67</v>
      </c>
      <c r="AO449" s="450">
        <v>118445.78</v>
      </c>
      <c r="AP449" s="450">
        <v>119144.48</v>
      </c>
      <c r="AQ449" s="450">
        <v>118660.97</v>
      </c>
      <c r="AR449" s="450">
        <v>121488.08</v>
      </c>
      <c r="AS449" s="450">
        <v>120563.64</v>
      </c>
      <c r="AT449" s="450">
        <v>118396.34</v>
      </c>
      <c r="AU449" s="450">
        <v>117576.07</v>
      </c>
      <c r="AV449" s="450"/>
      <c r="AW449" s="450"/>
      <c r="AX449" s="450"/>
      <c r="AY449" s="450"/>
      <c r="AZ449" s="450"/>
      <c r="BA449" s="450">
        <v>0.0</v>
      </c>
      <c r="BB449" s="450">
        <v>0.0</v>
      </c>
      <c r="BC449" s="450">
        <v>26288.44</v>
      </c>
      <c r="BD449" s="450" t="s">
        <v>2566</v>
      </c>
      <c r="BE449" s="450" t="s">
        <v>2566</v>
      </c>
      <c r="BF449" s="450">
        <v>0.0</v>
      </c>
      <c r="BG449" s="450">
        <v>0.0</v>
      </c>
      <c r="BH449" s="450">
        <v>0.0</v>
      </c>
      <c r="BI449" s="450">
        <v>0.0</v>
      </c>
      <c r="BJ449" s="450">
        <v>0.0</v>
      </c>
      <c r="BK449" s="450">
        <v>0.0</v>
      </c>
      <c r="BL449" s="450">
        <v>0.0</v>
      </c>
      <c r="BM449" s="450">
        <v>0.0</v>
      </c>
      <c r="BN449" s="450">
        <v>0.0</v>
      </c>
      <c r="BO449" s="450">
        <v>0.0</v>
      </c>
      <c r="BP449" s="450">
        <v>0.0</v>
      </c>
      <c r="BQ449" s="450">
        <v>0.0</v>
      </c>
      <c r="BR449" s="450">
        <v>0.0</v>
      </c>
      <c r="BS449" s="615" t="str">
        <f t="array" ref="BS449">XLOOKUP(D449,'PL TOTAL XP'!A:A,'PL TOTAL XP'!C:C,"0")</f>
        <v>0</v>
      </c>
      <c r="BT449" s="616"/>
    </row>
    <row r="450" ht="15.75" customHeight="1">
      <c r="A450" s="183" t="s">
        <v>3820</v>
      </c>
      <c r="B450" s="78" t="s">
        <v>5113</v>
      </c>
      <c r="C450" s="564" t="s">
        <v>5114</v>
      </c>
      <c r="D450" s="566">
        <v>4740849.0</v>
      </c>
      <c r="E450" s="522" t="s">
        <v>105</v>
      </c>
      <c r="F450" s="522" t="s">
        <v>29</v>
      </c>
      <c r="G450" s="522" t="s">
        <v>4146</v>
      </c>
      <c r="H450" s="522" t="str">
        <f>IFERROR(VLOOKUP(G450,'Cadastro de assessores'!A:B,2,FALSE),"Não Cadastrado")</f>
        <v>17489</v>
      </c>
      <c r="I450" s="522"/>
      <c r="J450" s="51" t="s">
        <v>186</v>
      </c>
      <c r="K450" s="522" t="s">
        <v>2563</v>
      </c>
      <c r="L450" s="619">
        <v>44320.0</v>
      </c>
      <c r="M450" s="619">
        <v>44320.0</v>
      </c>
      <c r="N450" s="619">
        <v>44684.0</v>
      </c>
      <c r="O450" s="522" t="s">
        <v>3824</v>
      </c>
      <c r="P450" s="612">
        <v>0.02</v>
      </c>
      <c r="Q450" s="224" t="s">
        <v>5115</v>
      </c>
      <c r="R450" s="613"/>
      <c r="S450" s="522" t="str">
        <f t="shared" si="48"/>
        <v/>
      </c>
      <c r="T450" s="522" t="s">
        <v>108</v>
      </c>
      <c r="U450" s="566" t="s">
        <v>2591</v>
      </c>
      <c r="V450" s="566" t="s">
        <v>29</v>
      </c>
      <c r="W450" s="468"/>
      <c r="X450" s="468"/>
      <c r="Y450" s="468"/>
      <c r="Z450" s="468"/>
      <c r="AA450" s="468"/>
      <c r="AB450" s="468"/>
      <c r="AC450" s="468"/>
      <c r="AD450" s="468"/>
      <c r="AE450" s="468"/>
      <c r="AF450" s="468"/>
      <c r="AG450" s="468"/>
      <c r="AH450" s="468"/>
      <c r="AI450" s="468"/>
      <c r="AJ450" s="468"/>
      <c r="AK450" s="468"/>
      <c r="AL450" s="450"/>
      <c r="AM450" s="450"/>
      <c r="AN450" s="450"/>
      <c r="AO450" s="450"/>
      <c r="AP450" s="450"/>
      <c r="AQ450" s="450"/>
      <c r="AR450" s="450">
        <v>212137.89</v>
      </c>
      <c r="AS450" s="450">
        <v>207292.2</v>
      </c>
      <c r="AT450" s="450">
        <v>196230.02</v>
      </c>
      <c r="AU450" s="450">
        <v>192094.3</v>
      </c>
      <c r="AV450" s="450">
        <v>181731.71</v>
      </c>
      <c r="AW450" s="450">
        <v>167371.93</v>
      </c>
      <c r="AX450" s="450">
        <v>165773.6</v>
      </c>
      <c r="AY450" s="450">
        <v>169095.2</v>
      </c>
      <c r="AZ450" s="450">
        <v>179967.17</v>
      </c>
      <c r="BA450" s="450">
        <v>181999.83</v>
      </c>
      <c r="BB450" s="450">
        <v>190657.24</v>
      </c>
      <c r="BC450" s="450"/>
      <c r="BD450" s="450" t="s">
        <v>2566</v>
      </c>
      <c r="BE450" s="450" t="s">
        <v>2566</v>
      </c>
      <c r="BF450" s="450">
        <v>0.0</v>
      </c>
      <c r="BG450" s="450">
        <v>0.0</v>
      </c>
      <c r="BH450" s="450">
        <v>0.0</v>
      </c>
      <c r="BI450" s="450">
        <v>0.0</v>
      </c>
      <c r="BJ450" s="450">
        <v>0.0</v>
      </c>
      <c r="BK450" s="450">
        <v>0.0</v>
      </c>
      <c r="BL450" s="450">
        <v>0.0</v>
      </c>
      <c r="BM450" s="450">
        <v>0.0</v>
      </c>
      <c r="BN450" s="450">
        <v>0.0</v>
      </c>
      <c r="BO450" s="450">
        <v>0.0</v>
      </c>
      <c r="BP450" s="450">
        <v>0.0</v>
      </c>
      <c r="BQ450" s="450">
        <v>0.0</v>
      </c>
      <c r="BR450" s="450">
        <v>0.0</v>
      </c>
      <c r="BS450" s="615" t="str">
        <f t="array" ref="BS450">XLOOKUP(D450,'PL TOTAL XP'!A:A,'PL TOTAL XP'!C:C,"0")</f>
        <v>0</v>
      </c>
      <c r="BT450" s="616"/>
    </row>
    <row r="451" ht="15.75" customHeight="1">
      <c r="A451" s="183" t="s">
        <v>3820</v>
      </c>
      <c r="B451" s="78" t="s">
        <v>5116</v>
      </c>
      <c r="C451" s="617" t="s">
        <v>5117</v>
      </c>
      <c r="D451" s="522">
        <v>4441540.0</v>
      </c>
      <c r="E451" s="522" t="s">
        <v>18</v>
      </c>
      <c r="F451" s="522" t="s">
        <v>29</v>
      </c>
      <c r="G451" s="522" t="s">
        <v>3827</v>
      </c>
      <c r="H451" s="522" t="str">
        <f>IFERROR(VLOOKUP(G451,'Cadastro de assessores'!A:B,2,FALSE),"Não Cadastrado")</f>
        <v>17679</v>
      </c>
      <c r="I451" s="522"/>
      <c r="J451" s="51" t="s">
        <v>186</v>
      </c>
      <c r="K451" s="522" t="s">
        <v>2563</v>
      </c>
      <c r="L451" s="618">
        <v>44133.0</v>
      </c>
      <c r="M451" s="618">
        <v>44133.0</v>
      </c>
      <c r="N451" s="619">
        <v>44438.0</v>
      </c>
      <c r="O451" s="522" t="s">
        <v>3836</v>
      </c>
      <c r="P451" s="612">
        <v>0.012</v>
      </c>
      <c r="Q451" s="620" t="s">
        <v>5118</v>
      </c>
      <c r="R451" s="613"/>
      <c r="S451" s="522" t="str">
        <f t="shared" si="48"/>
        <v>Não Qualificado</v>
      </c>
      <c r="T451" s="522" t="s">
        <v>108</v>
      </c>
      <c r="U451" s="522" t="s">
        <v>2619</v>
      </c>
      <c r="V451" s="522" t="s">
        <v>152</v>
      </c>
      <c r="W451" s="614" t="s">
        <v>3830</v>
      </c>
      <c r="X451" s="614" t="s">
        <v>3830</v>
      </c>
      <c r="Y451" s="614" t="s">
        <v>3830</v>
      </c>
      <c r="Z451" s="614" t="s">
        <v>3830</v>
      </c>
      <c r="AA451" s="614" t="s">
        <v>3830</v>
      </c>
      <c r="AB451" s="614" t="s">
        <v>3830</v>
      </c>
      <c r="AC451" s="614" t="s">
        <v>3830</v>
      </c>
      <c r="AD451" s="614" t="s">
        <v>3830</v>
      </c>
      <c r="AE451" s="614" t="s">
        <v>3830</v>
      </c>
      <c r="AF451" s="614" t="s">
        <v>3830</v>
      </c>
      <c r="AG451" s="614" t="s">
        <v>3830</v>
      </c>
      <c r="AH451" s="614" t="s">
        <v>3830</v>
      </c>
      <c r="AI451" s="614" t="s">
        <v>5119</v>
      </c>
      <c r="AJ451" s="614" t="s">
        <v>5120</v>
      </c>
      <c r="AK451" s="450">
        <v>156342.29</v>
      </c>
      <c r="AL451" s="450">
        <v>154699.32</v>
      </c>
      <c r="AM451" s="450">
        <v>152719.33</v>
      </c>
      <c r="AN451" s="450">
        <v>152891.15</v>
      </c>
      <c r="AO451" s="450">
        <v>154355.21</v>
      </c>
      <c r="AP451" s="450">
        <v>154878.9</v>
      </c>
      <c r="AQ451" s="450">
        <v>154569.93</v>
      </c>
      <c r="AR451" s="450">
        <v>156423.12</v>
      </c>
      <c r="AS451" s="450">
        <v>156036.41</v>
      </c>
      <c r="AT451" s="450">
        <v>153642.09</v>
      </c>
      <c r="AU451" s="450">
        <v>116138.07</v>
      </c>
      <c r="AV451" s="450"/>
      <c r="AW451" s="450"/>
      <c r="AX451" s="450"/>
      <c r="AY451" s="450"/>
      <c r="AZ451" s="450"/>
      <c r="BA451" s="450">
        <v>0.0</v>
      </c>
      <c r="BB451" s="450">
        <v>0.0</v>
      </c>
      <c r="BC451" s="450">
        <v>99795.8</v>
      </c>
      <c r="BD451" s="450" t="s">
        <v>2566</v>
      </c>
      <c r="BE451" s="450" t="s">
        <v>2566</v>
      </c>
      <c r="BF451" s="450">
        <v>0.0</v>
      </c>
      <c r="BG451" s="450">
        <v>0.0</v>
      </c>
      <c r="BH451" s="450">
        <v>0.0</v>
      </c>
      <c r="BI451" s="450">
        <v>0.0</v>
      </c>
      <c r="BJ451" s="450">
        <v>0.0</v>
      </c>
      <c r="BK451" s="450">
        <v>0.0</v>
      </c>
      <c r="BL451" s="450">
        <v>0.0</v>
      </c>
      <c r="BM451" s="450">
        <v>0.0</v>
      </c>
      <c r="BN451" s="450">
        <v>0.0</v>
      </c>
      <c r="BO451" s="450">
        <v>0.0</v>
      </c>
      <c r="BP451" s="450">
        <v>0.0</v>
      </c>
      <c r="BQ451" s="450">
        <v>0.0</v>
      </c>
      <c r="BR451" s="450">
        <v>0.0</v>
      </c>
      <c r="BS451" s="615" t="str">
        <f t="array" ref="BS451">XLOOKUP(D451,'PL TOTAL XP'!A:A,'PL TOTAL XP'!C:C,"0")</f>
        <v>0</v>
      </c>
      <c r="BT451" s="616"/>
    </row>
    <row r="452" ht="15.75" customHeight="1">
      <c r="A452" s="183" t="s">
        <v>3820</v>
      </c>
      <c r="B452" s="78" t="s">
        <v>5121</v>
      </c>
      <c r="C452" s="617" t="s">
        <v>5122</v>
      </c>
      <c r="D452" s="522">
        <v>3615656.0</v>
      </c>
      <c r="E452" s="522" t="s">
        <v>2550</v>
      </c>
      <c r="F452" s="522" t="s">
        <v>29</v>
      </c>
      <c r="G452" s="522" t="s">
        <v>2550</v>
      </c>
      <c r="H452" s="522" t="str">
        <f>IFERROR(VLOOKUP(G452,'Cadastro de assessores'!A:B,2,FALSE),"Não Cadastrado")</f>
        <v>18986</v>
      </c>
      <c r="I452" s="522"/>
      <c r="J452" s="51" t="s">
        <v>186</v>
      </c>
      <c r="K452" s="522" t="s">
        <v>2563</v>
      </c>
      <c r="L452" s="619">
        <v>43859.0</v>
      </c>
      <c r="M452" s="619">
        <v>43859.0</v>
      </c>
      <c r="N452" s="619">
        <v>44305.0</v>
      </c>
      <c r="O452" s="522" t="s">
        <v>3828</v>
      </c>
      <c r="P452" s="612">
        <v>0.015</v>
      </c>
      <c r="Q452" s="620" t="s">
        <v>5060</v>
      </c>
      <c r="R452" s="613"/>
      <c r="S452" s="522" t="str">
        <f t="shared" si="48"/>
        <v>Não Qualificado</v>
      </c>
      <c r="T452" s="522" t="s">
        <v>108</v>
      </c>
      <c r="U452" s="522" t="s">
        <v>2765</v>
      </c>
      <c r="V452" s="522" t="s">
        <v>29</v>
      </c>
      <c r="W452" s="614" t="s">
        <v>3830</v>
      </c>
      <c r="X452" s="614" t="s">
        <v>3830</v>
      </c>
      <c r="Y452" s="614" t="s">
        <v>3830</v>
      </c>
      <c r="Z452" s="614" t="s">
        <v>5123</v>
      </c>
      <c r="AA452" s="614" t="s">
        <v>5124</v>
      </c>
      <c r="AB452" s="614" t="s">
        <v>5125</v>
      </c>
      <c r="AC452" s="614" t="s">
        <v>5126</v>
      </c>
      <c r="AD452" s="614" t="s">
        <v>5127</v>
      </c>
      <c r="AE452" s="614" t="s">
        <v>5128</v>
      </c>
      <c r="AF452" s="614" t="s">
        <v>5129</v>
      </c>
      <c r="AG452" s="614" t="s">
        <v>5130</v>
      </c>
      <c r="AH452" s="614" t="s">
        <v>5131</v>
      </c>
      <c r="AI452" s="614" t="s">
        <v>5132</v>
      </c>
      <c r="AJ452" s="614" t="s">
        <v>5133</v>
      </c>
      <c r="AK452" s="450">
        <v>845622.72</v>
      </c>
      <c r="AL452" s="450">
        <v>823975.03</v>
      </c>
      <c r="AM452" s="450">
        <v>721960.02</v>
      </c>
      <c r="AN452" s="450">
        <v>723425.43</v>
      </c>
      <c r="AO452" s="450">
        <v>5328.73</v>
      </c>
      <c r="AP452" s="450"/>
      <c r="AQ452" s="450"/>
      <c r="AR452" s="450"/>
      <c r="AS452" s="450"/>
      <c r="AT452" s="450"/>
      <c r="AU452" s="450"/>
      <c r="AV452" s="450"/>
      <c r="AW452" s="450"/>
      <c r="AX452" s="450"/>
      <c r="AY452" s="450"/>
      <c r="AZ452" s="450"/>
      <c r="BA452" s="450">
        <v>0.0</v>
      </c>
      <c r="BB452" s="450">
        <v>0.0</v>
      </c>
      <c r="BC452" s="450">
        <v>453.21</v>
      </c>
      <c r="BD452" s="450" t="s">
        <v>2566</v>
      </c>
      <c r="BE452" s="450" t="s">
        <v>2566</v>
      </c>
      <c r="BF452" s="450">
        <v>0.0</v>
      </c>
      <c r="BG452" s="450">
        <v>0.0</v>
      </c>
      <c r="BH452" s="450">
        <v>0.0</v>
      </c>
      <c r="BI452" s="450">
        <v>0.0</v>
      </c>
      <c r="BJ452" s="450">
        <v>0.0</v>
      </c>
      <c r="BK452" s="450">
        <v>0.0</v>
      </c>
      <c r="BL452" s="450">
        <v>0.0</v>
      </c>
      <c r="BM452" s="450">
        <v>0.0</v>
      </c>
      <c r="BN452" s="450">
        <v>0.0</v>
      </c>
      <c r="BO452" s="450">
        <v>0.0</v>
      </c>
      <c r="BP452" s="450">
        <v>0.0</v>
      </c>
      <c r="BQ452" s="450">
        <v>0.0</v>
      </c>
      <c r="BR452" s="450">
        <v>0.0</v>
      </c>
      <c r="BS452" s="615" t="str">
        <f t="array" ref="BS452">XLOOKUP(D452,'PL TOTAL XP'!A:A,'PL TOTAL XP'!C:C,"0")</f>
        <v>0</v>
      </c>
      <c r="BT452" s="616"/>
    </row>
    <row r="453" ht="15.75" customHeight="1">
      <c r="A453" s="183" t="s">
        <v>3820</v>
      </c>
      <c r="B453" s="78" t="s">
        <v>5134</v>
      </c>
      <c r="C453" s="564" t="s">
        <v>5135</v>
      </c>
      <c r="D453" s="511">
        <v>5892424.0</v>
      </c>
      <c r="E453" s="522" t="s">
        <v>18</v>
      </c>
      <c r="F453" s="511" t="s">
        <v>19</v>
      </c>
      <c r="G453" s="522" t="s">
        <v>4152</v>
      </c>
      <c r="H453" s="522" t="str">
        <f>IFERROR(VLOOKUP(G453,'Cadastro de assessores'!A:B,2,FALSE),"Não Cadastrado")</f>
        <v>14294</v>
      </c>
      <c r="I453" s="522" t="str">
        <f>IFERROR(VLOOKUP(H453,'Cadastro de assessores'!B:C,2,FALSE),"Não Cadastrado")</f>
        <v>Regular</v>
      </c>
      <c r="J453" s="51" t="s">
        <v>186</v>
      </c>
      <c r="K453" s="522" t="s">
        <v>2563</v>
      </c>
      <c r="L453" s="619">
        <v>44421.0</v>
      </c>
      <c r="M453" s="619">
        <v>44421.0</v>
      </c>
      <c r="N453" s="567">
        <v>44817.0</v>
      </c>
      <c r="O453" s="566" t="s">
        <v>3834</v>
      </c>
      <c r="P453" s="612">
        <v>0.007</v>
      </c>
      <c r="Q453" s="224" t="s">
        <v>5136</v>
      </c>
      <c r="R453" s="613"/>
      <c r="S453" s="522" t="str">
        <f t="shared" si="48"/>
        <v>Não Qualificado</v>
      </c>
      <c r="T453" s="522" t="s">
        <v>108</v>
      </c>
      <c r="U453" s="566" t="s">
        <v>5137</v>
      </c>
      <c r="V453" s="566" t="s">
        <v>34</v>
      </c>
      <c r="W453" s="468"/>
      <c r="X453" s="468"/>
      <c r="Y453" s="468"/>
      <c r="Z453" s="468"/>
      <c r="AA453" s="468"/>
      <c r="AB453" s="468"/>
      <c r="AC453" s="468"/>
      <c r="AD453" s="468"/>
      <c r="AE453" s="468"/>
      <c r="AF453" s="468"/>
      <c r="AG453" s="468"/>
      <c r="AH453" s="614"/>
      <c r="AI453" s="614"/>
      <c r="AJ453" s="450"/>
      <c r="AK453" s="450"/>
      <c r="AL453" s="450"/>
      <c r="AM453" s="450"/>
      <c r="AN453" s="450"/>
      <c r="AO453" s="450"/>
      <c r="AP453" s="450"/>
      <c r="AQ453" s="450"/>
      <c r="AR453" s="450"/>
      <c r="AS453" s="634"/>
      <c r="AT453" s="449"/>
      <c r="AU453" s="449">
        <v>417499.24</v>
      </c>
      <c r="AV453" s="450">
        <v>409645.54</v>
      </c>
      <c r="AW453" s="450">
        <v>404630.79</v>
      </c>
      <c r="AX453" s="450">
        <v>406481.35</v>
      </c>
      <c r="AY453" s="450">
        <v>411529.31</v>
      </c>
      <c r="AZ453" s="450">
        <v>416852.53</v>
      </c>
      <c r="BA453" s="450">
        <v>419705.44</v>
      </c>
      <c r="BB453" s="450">
        <v>424052.25</v>
      </c>
      <c r="BC453" s="450">
        <v>87676.78</v>
      </c>
      <c r="BD453" s="450">
        <v>433093.14</v>
      </c>
      <c r="BE453" s="450">
        <v>436919.72</v>
      </c>
      <c r="BF453" s="450">
        <v>440425.61</v>
      </c>
      <c r="BG453" s="450">
        <v>443087.9811</v>
      </c>
      <c r="BH453" s="450">
        <v>0.0</v>
      </c>
      <c r="BI453" s="450">
        <v>0.0</v>
      </c>
      <c r="BJ453" s="450">
        <v>0.0</v>
      </c>
      <c r="BK453" s="450">
        <v>0.0</v>
      </c>
      <c r="BL453" s="450">
        <v>0.0</v>
      </c>
      <c r="BM453" s="450">
        <v>0.0</v>
      </c>
      <c r="BN453" s="450">
        <v>0.0</v>
      </c>
      <c r="BO453" s="450">
        <v>0.0</v>
      </c>
      <c r="BP453" s="450">
        <v>0.0</v>
      </c>
      <c r="BQ453" s="450">
        <v>0.0</v>
      </c>
      <c r="BR453" s="450">
        <v>0.0</v>
      </c>
      <c r="BS453" s="615" t="str">
        <f t="array" ref="BS453">XLOOKUP(D453,'PL TOTAL XP'!A:A,'PL TOTAL XP'!C:C,"0")</f>
        <v>0</v>
      </c>
      <c r="BT453" s="616"/>
    </row>
    <row r="454" ht="15.75" customHeight="1">
      <c r="A454" s="183" t="s">
        <v>3820</v>
      </c>
      <c r="B454" s="78" t="s">
        <v>5138</v>
      </c>
      <c r="C454" s="617" t="s">
        <v>5139</v>
      </c>
      <c r="D454" s="522">
        <v>4362832.0</v>
      </c>
      <c r="E454" s="522" t="s">
        <v>105</v>
      </c>
      <c r="F454" s="522" t="s">
        <v>29</v>
      </c>
      <c r="G454" s="522" t="s">
        <v>3993</v>
      </c>
      <c r="H454" s="522" t="str">
        <f>IFERROR(VLOOKUP(G454,'Cadastro de assessores'!A:B,2,FALSE),"Não Cadastrado")</f>
        <v>16459</v>
      </c>
      <c r="I454" s="522"/>
      <c r="J454" s="51" t="s">
        <v>186</v>
      </c>
      <c r="K454" s="522" t="s">
        <v>2563</v>
      </c>
      <c r="L454" s="619">
        <v>44078.0</v>
      </c>
      <c r="M454" s="619">
        <v>44078.0</v>
      </c>
      <c r="N454" s="567">
        <v>44424.0</v>
      </c>
      <c r="O454" s="566" t="s">
        <v>3824</v>
      </c>
      <c r="P454" s="612">
        <v>0.02</v>
      </c>
      <c r="Q454" s="620" t="s">
        <v>5140</v>
      </c>
      <c r="R454" s="613"/>
      <c r="S454" s="522" t="str">
        <f t="shared" si="48"/>
        <v>Não Qualificado</v>
      </c>
      <c r="T454" s="522" t="s">
        <v>108</v>
      </c>
      <c r="U454" s="522" t="s">
        <v>2602</v>
      </c>
      <c r="V454" s="522" t="s">
        <v>29</v>
      </c>
      <c r="W454" s="614" t="s">
        <v>3830</v>
      </c>
      <c r="X454" s="614" t="s">
        <v>3830</v>
      </c>
      <c r="Y454" s="614" t="s">
        <v>3830</v>
      </c>
      <c r="Z454" s="614" t="s">
        <v>3830</v>
      </c>
      <c r="AA454" s="614" t="s">
        <v>3830</v>
      </c>
      <c r="AB454" s="614" t="s">
        <v>3830</v>
      </c>
      <c r="AC454" s="614" t="s">
        <v>3830</v>
      </c>
      <c r="AD454" s="614" t="s">
        <v>3830</v>
      </c>
      <c r="AE454" s="614" t="s">
        <v>3830</v>
      </c>
      <c r="AF454" s="614" t="s">
        <v>3830</v>
      </c>
      <c r="AG454" s="614" t="s">
        <v>5141</v>
      </c>
      <c r="AH454" s="614" t="s">
        <v>5142</v>
      </c>
      <c r="AI454" s="614" t="s">
        <v>5143</v>
      </c>
      <c r="AJ454" s="614" t="s">
        <v>5144</v>
      </c>
      <c r="AK454" s="450">
        <v>1109306.8</v>
      </c>
      <c r="AL454" s="450">
        <v>1084143.76</v>
      </c>
      <c r="AM454" s="450">
        <v>1013252.43</v>
      </c>
      <c r="AN454" s="450">
        <v>1021421.54</v>
      </c>
      <c r="AO454" s="450">
        <v>1057583.06</v>
      </c>
      <c r="AP454" s="450">
        <v>1066222.67</v>
      </c>
      <c r="AQ454" s="450">
        <v>1057853.41</v>
      </c>
      <c r="AR454" s="450">
        <v>1095878.63</v>
      </c>
      <c r="AS454" s="450">
        <v>1069580.17</v>
      </c>
      <c r="AT454" s="450">
        <v>1047871.57</v>
      </c>
      <c r="AU454" s="450"/>
      <c r="AV454" s="450"/>
      <c r="AW454" s="450"/>
      <c r="AX454" s="450"/>
      <c r="AY454" s="450"/>
      <c r="AZ454" s="450"/>
      <c r="BA454" s="450">
        <v>0.0</v>
      </c>
      <c r="BB454" s="450">
        <v>0.0</v>
      </c>
      <c r="BC454" s="450">
        <v>170355.35</v>
      </c>
      <c r="BD454" s="450" t="s">
        <v>2566</v>
      </c>
      <c r="BE454" s="450" t="s">
        <v>2566</v>
      </c>
      <c r="BF454" s="450">
        <v>0.0</v>
      </c>
      <c r="BG454" s="450">
        <v>0.0</v>
      </c>
      <c r="BH454" s="450">
        <v>0.0</v>
      </c>
      <c r="BI454" s="450">
        <v>0.0</v>
      </c>
      <c r="BJ454" s="450">
        <v>0.0</v>
      </c>
      <c r="BK454" s="450">
        <v>0.0</v>
      </c>
      <c r="BL454" s="450">
        <v>0.0</v>
      </c>
      <c r="BM454" s="450">
        <v>0.0</v>
      </c>
      <c r="BN454" s="450">
        <v>0.0</v>
      </c>
      <c r="BO454" s="450">
        <v>0.0</v>
      </c>
      <c r="BP454" s="450">
        <v>0.0</v>
      </c>
      <c r="BQ454" s="450">
        <v>0.0</v>
      </c>
      <c r="BR454" s="450">
        <v>0.0</v>
      </c>
      <c r="BS454" s="615" t="str">
        <f t="array" ref="BS454">XLOOKUP(D454,'PL TOTAL XP'!A:A,'PL TOTAL XP'!C:C,"0")</f>
        <v>0</v>
      </c>
      <c r="BT454" s="616"/>
    </row>
    <row r="455" ht="15.75" customHeight="1">
      <c r="A455" s="183" t="s">
        <v>3820</v>
      </c>
      <c r="B455" s="78" t="s">
        <v>2150</v>
      </c>
      <c r="C455" s="617" t="s">
        <v>5145</v>
      </c>
      <c r="D455" s="522">
        <v>2365107.0</v>
      </c>
      <c r="E455" s="522" t="s">
        <v>18</v>
      </c>
      <c r="F455" s="522" t="s">
        <v>19</v>
      </c>
      <c r="G455" s="522" t="s">
        <v>1805</v>
      </c>
      <c r="H455" s="522">
        <f>IFERROR(VLOOKUP(G455,'Cadastro de assessores'!A:B,2,FALSE),"Não Cadastrado")</f>
        <v>12350</v>
      </c>
      <c r="I455" s="522"/>
      <c r="J455" s="51" t="s">
        <v>186</v>
      </c>
      <c r="K455" s="522" t="s">
        <v>147</v>
      </c>
      <c r="L455" s="619">
        <v>44817.0</v>
      </c>
      <c r="M455" s="619">
        <v>44824.0</v>
      </c>
      <c r="N455" s="567"/>
      <c r="O455" s="566" t="s">
        <v>3828</v>
      </c>
      <c r="P455" s="612">
        <v>0.015</v>
      </c>
      <c r="Q455" s="620" t="s">
        <v>5146</v>
      </c>
      <c r="R455" s="613"/>
      <c r="S455" s="522"/>
      <c r="T455" s="522"/>
      <c r="U455" s="522"/>
      <c r="V455" s="522" t="s">
        <v>34</v>
      </c>
      <c r="W455" s="614"/>
      <c r="X455" s="614"/>
      <c r="Y455" s="614"/>
      <c r="Z455" s="614"/>
      <c r="AA455" s="614"/>
      <c r="AB455" s="614"/>
      <c r="AC455" s="614"/>
      <c r="AD455" s="614"/>
      <c r="AE455" s="614"/>
      <c r="AF455" s="614"/>
      <c r="AG455" s="614"/>
      <c r="AH455" s="614"/>
      <c r="AI455" s="614"/>
      <c r="AJ455" s="614"/>
      <c r="AK455" s="450"/>
      <c r="AL455" s="450"/>
      <c r="AM455" s="450"/>
      <c r="AN455" s="450"/>
      <c r="AO455" s="450"/>
      <c r="AP455" s="450"/>
      <c r="AQ455" s="450"/>
      <c r="AR455" s="450"/>
      <c r="AS455" s="450"/>
      <c r="AT455" s="450"/>
      <c r="AU455" s="450"/>
      <c r="AV455" s="450"/>
      <c r="AW455" s="450"/>
      <c r="AX455" s="450"/>
      <c r="AY455" s="450"/>
      <c r="AZ455" s="450"/>
      <c r="BA455" s="450"/>
      <c r="BB455" s="450"/>
      <c r="BC455" s="450"/>
      <c r="BD455" s="450"/>
      <c r="BE455" s="450"/>
      <c r="BF455" s="450"/>
      <c r="BG455" s="450"/>
      <c r="BH455" s="450">
        <v>532705.94</v>
      </c>
      <c r="BI455" s="450">
        <v>637077.6</v>
      </c>
      <c r="BJ455" s="450">
        <v>670875.03</v>
      </c>
      <c r="BK455" s="450">
        <v>675107.6</v>
      </c>
      <c r="BL455" s="450">
        <v>198604.53</v>
      </c>
      <c r="BM455" s="450">
        <v>159866.01</v>
      </c>
      <c r="BN455" s="450">
        <v>161204.47</v>
      </c>
      <c r="BO455" s="450">
        <v>154468.9</v>
      </c>
      <c r="BP455" s="450">
        <v>156870.97</v>
      </c>
      <c r="BQ455" s="450">
        <v>155582.99</v>
      </c>
      <c r="BR455" s="450">
        <v>155523.92</v>
      </c>
      <c r="BS455" s="615" t="str">
        <f t="array" ref="BS455">XLOOKUP(D455,'PL TOTAL XP'!A:A,'PL TOTAL XP'!C:C,"0")</f>
        <v>0</v>
      </c>
      <c r="BT455" s="616"/>
    </row>
    <row r="456" ht="15.75" customHeight="1">
      <c r="A456" s="183" t="s">
        <v>3820</v>
      </c>
      <c r="B456" s="78" t="s">
        <v>2156</v>
      </c>
      <c r="C456" s="564" t="s">
        <v>2154</v>
      </c>
      <c r="D456" s="566">
        <v>2293219.0</v>
      </c>
      <c r="E456" s="512" t="s">
        <v>18</v>
      </c>
      <c r="F456" s="512" t="s">
        <v>29</v>
      </c>
      <c r="G456" s="512" t="s">
        <v>2803</v>
      </c>
      <c r="H456" s="512" t="str">
        <f>IFERROR(VLOOKUP(G456,'Cadastro de assessores'!A:B,2,FALSE),"Não Cadastrado")</f>
        <v>18236</v>
      </c>
      <c r="I456" s="512"/>
      <c r="J456" s="51" t="s">
        <v>3823</v>
      </c>
      <c r="K456" s="512" t="s">
        <v>107</v>
      </c>
      <c r="L456" s="610">
        <v>44210.0</v>
      </c>
      <c r="M456" s="610">
        <v>44293.0</v>
      </c>
      <c r="N456" s="566"/>
      <c r="O456" s="566" t="s">
        <v>3824</v>
      </c>
      <c r="P456" s="612">
        <v>0.02</v>
      </c>
      <c r="Q456" s="224" t="s">
        <v>5147</v>
      </c>
      <c r="R456" s="613"/>
      <c r="S456" s="522" t="str">
        <f>IF(BC456&lt;=0,"",IF(BC456&lt;=1000000,"Não Qualificado",IF(AND(BC456&gt;1000000,BC456&lt;=10000000),"Qualificado","Profissional")))</f>
        <v/>
      </c>
      <c r="T456" s="522" t="s">
        <v>108</v>
      </c>
      <c r="U456" s="566" t="s">
        <v>5148</v>
      </c>
      <c r="V456" s="566" t="s">
        <v>29</v>
      </c>
      <c r="W456" s="468"/>
      <c r="X456" s="468"/>
      <c r="Y456" s="468"/>
      <c r="Z456" s="468"/>
      <c r="AA456" s="468"/>
      <c r="AB456" s="468"/>
      <c r="AC456" s="468"/>
      <c r="AD456" s="468"/>
      <c r="AE456" s="468"/>
      <c r="AF456" s="468"/>
      <c r="AG456" s="468"/>
      <c r="AH456" s="468"/>
      <c r="AI456" s="468"/>
      <c r="AJ456" s="468"/>
      <c r="AK456" s="468"/>
      <c r="AL456" s="450"/>
      <c r="AM456" s="450"/>
      <c r="AN456" s="450"/>
      <c r="AO456" s="450"/>
      <c r="AP456" s="450">
        <v>117034.46</v>
      </c>
      <c r="AQ456" s="450">
        <v>156292.5</v>
      </c>
      <c r="AR456" s="450">
        <v>160728.53</v>
      </c>
      <c r="AS456" s="450">
        <v>159023.66</v>
      </c>
      <c r="AT456" s="450">
        <v>154024.74</v>
      </c>
      <c r="AU456" s="450">
        <v>152300.03</v>
      </c>
      <c r="AV456" s="450">
        <v>148314.88</v>
      </c>
      <c r="AW456" s="450">
        <v>140718.88</v>
      </c>
      <c r="AX456" s="450">
        <v>139883.93</v>
      </c>
      <c r="AY456" s="450">
        <v>124978.4</v>
      </c>
      <c r="AZ456" s="450">
        <v>129978.11</v>
      </c>
      <c r="BA456" s="450">
        <v>131538.56</v>
      </c>
      <c r="BB456" s="450">
        <v>137791.51</v>
      </c>
      <c r="BC456" s="450"/>
      <c r="BD456" s="450">
        <v>133877.91</v>
      </c>
      <c r="BE456" s="450">
        <v>130854.98</v>
      </c>
      <c r="BF456" s="450">
        <v>134265.69</v>
      </c>
      <c r="BG456" s="450">
        <v>130306.6847</v>
      </c>
      <c r="BH456" s="450">
        <v>129972.76</v>
      </c>
      <c r="BI456" s="450">
        <v>137582.01</v>
      </c>
      <c r="BJ456" s="450">
        <v>137251.25</v>
      </c>
      <c r="BK456" s="450">
        <v>137641.57</v>
      </c>
      <c r="BL456" s="450">
        <v>137845.47</v>
      </c>
      <c r="BM456" s="450">
        <v>137241.22</v>
      </c>
      <c r="BN456" s="450">
        <v>137905.63</v>
      </c>
      <c r="BO456" s="450">
        <v>0.0</v>
      </c>
      <c r="BP456" s="450">
        <v>0.0</v>
      </c>
      <c r="BQ456" s="450">
        <v>0.0</v>
      </c>
      <c r="BR456" s="450">
        <v>0.0</v>
      </c>
      <c r="BS456" s="615" t="str">
        <f t="array" ref="BS456">XLOOKUP(D456,'PL TOTAL XP'!A:A,'PL TOTAL XP'!C:C,"0")</f>
        <v>0</v>
      </c>
      <c r="BT456" s="616"/>
    </row>
    <row r="457" ht="15.75" customHeight="1">
      <c r="A457" s="183" t="s">
        <v>3820</v>
      </c>
      <c r="B457" s="78" t="s">
        <v>5149</v>
      </c>
      <c r="C457" s="617" t="s">
        <v>5150</v>
      </c>
      <c r="D457" s="522">
        <v>2523005.0</v>
      </c>
      <c r="E457" s="512" t="s">
        <v>18</v>
      </c>
      <c r="F457" s="511" t="s">
        <v>19</v>
      </c>
      <c r="G457" s="511" t="s">
        <v>1805</v>
      </c>
      <c r="H457" s="512">
        <f>IFERROR(VLOOKUP(G457,'Cadastro de assessores'!A:B,2,FALSE),"Não Cadastrado")</f>
        <v>12350</v>
      </c>
      <c r="I457" s="522"/>
      <c r="J457" s="51" t="s">
        <v>3823</v>
      </c>
      <c r="K457" s="522"/>
      <c r="L457" s="619"/>
      <c r="M457" s="619">
        <v>44834.0</v>
      </c>
      <c r="N457" s="618"/>
      <c r="O457" s="522" t="s">
        <v>3834</v>
      </c>
      <c r="P457" s="612">
        <v>0.01</v>
      </c>
      <c r="Q457" s="620" t="s">
        <v>5151</v>
      </c>
      <c r="R457" s="613"/>
      <c r="S457" s="522"/>
      <c r="T457" s="522"/>
      <c r="U457" s="522"/>
      <c r="V457" s="522" t="s">
        <v>34</v>
      </c>
      <c r="W457" s="614"/>
      <c r="X457" s="614"/>
      <c r="Y457" s="614"/>
      <c r="Z457" s="614"/>
      <c r="AA457" s="614"/>
      <c r="AB457" s="614"/>
      <c r="AC457" s="614"/>
      <c r="AD457" s="614"/>
      <c r="AE457" s="614"/>
      <c r="AF457" s="614"/>
      <c r="AG457" s="614"/>
      <c r="AH457" s="614"/>
      <c r="AI457" s="614"/>
      <c r="AJ457" s="614"/>
      <c r="AK457" s="450"/>
      <c r="AL457" s="450"/>
      <c r="AM457" s="450"/>
      <c r="AN457" s="450"/>
      <c r="AO457" s="450"/>
      <c r="AP457" s="450"/>
      <c r="AQ457" s="450"/>
      <c r="AR457" s="450"/>
      <c r="AS457" s="450"/>
      <c r="AT457" s="450"/>
      <c r="AU457" s="450"/>
      <c r="AV457" s="450"/>
      <c r="AW457" s="450"/>
      <c r="AX457" s="450"/>
      <c r="AY457" s="450"/>
      <c r="AZ457" s="450"/>
      <c r="BA457" s="450"/>
      <c r="BB457" s="450"/>
      <c r="BC457" s="450"/>
      <c r="BD457" s="450"/>
      <c r="BE457" s="450"/>
      <c r="BF457" s="450"/>
      <c r="BG457" s="450"/>
      <c r="BH457" s="450"/>
      <c r="BI457" s="450">
        <v>205825.47</v>
      </c>
      <c r="BJ457" s="450">
        <v>207607.53</v>
      </c>
      <c r="BK457" s="450">
        <v>209057.65</v>
      </c>
      <c r="BL457" s="450">
        <v>211061.45</v>
      </c>
      <c r="BM457" s="450">
        <v>212475.84</v>
      </c>
      <c r="BN457" s="450">
        <v>214735.54</v>
      </c>
      <c r="BO457" s="450">
        <v>0.0</v>
      </c>
      <c r="BP457" s="450">
        <v>0.0</v>
      </c>
      <c r="BQ457" s="450">
        <v>0.0</v>
      </c>
      <c r="BR457" s="450">
        <v>0.0</v>
      </c>
      <c r="BS457" s="615">
        <f t="array" ref="BS457">XLOOKUP(D457,'PL TOTAL XP'!A:A,'PL TOTAL XP'!C:C,"0")</f>
        <v>0</v>
      </c>
      <c r="BT457" s="616"/>
    </row>
    <row r="458" ht="15.75" customHeight="1">
      <c r="A458" s="183" t="s">
        <v>3820</v>
      </c>
      <c r="B458" s="78" t="s">
        <v>5152</v>
      </c>
      <c r="C458" s="617" t="s">
        <v>5153</v>
      </c>
      <c r="D458" s="522">
        <v>4860067.0</v>
      </c>
      <c r="E458" s="522" t="s">
        <v>18</v>
      </c>
      <c r="F458" s="511" t="s">
        <v>19</v>
      </c>
      <c r="G458" s="511" t="s">
        <v>256</v>
      </c>
      <c r="H458" s="522" t="str">
        <f>IFERROR(VLOOKUP(G458,'Cadastro de assessores'!A:B,2,FALSE),"Não Cadastrado")</f>
        <v>18009</v>
      </c>
      <c r="I458" s="522"/>
      <c r="J458" s="51" t="s">
        <v>186</v>
      </c>
      <c r="K458" s="522" t="s">
        <v>2563</v>
      </c>
      <c r="L458" s="619">
        <v>44259.0</v>
      </c>
      <c r="M458" s="619">
        <v>44259.0</v>
      </c>
      <c r="N458" s="618">
        <v>44516.0</v>
      </c>
      <c r="O458" s="522" t="s">
        <v>3840</v>
      </c>
      <c r="P458" s="612">
        <v>0.025</v>
      </c>
      <c r="Q458" s="620" t="s">
        <v>5154</v>
      </c>
      <c r="R458" s="613"/>
      <c r="S458" s="522" t="str">
        <f t="shared" ref="S458:S462" si="49">IF(BC458&lt;=0,"",IF(BC458&lt;=1000000,"Não Qualificado",IF(AND(BC458&gt;1000000,BC458&lt;=10000000),"Qualificado","Profissional")))</f>
        <v>Não Qualificado</v>
      </c>
      <c r="T458" s="522" t="s">
        <v>108</v>
      </c>
      <c r="U458" s="522" t="s">
        <v>2619</v>
      </c>
      <c r="V458" s="522" t="s">
        <v>152</v>
      </c>
      <c r="W458" s="614"/>
      <c r="X458" s="614"/>
      <c r="Y458" s="614"/>
      <c r="Z458" s="614"/>
      <c r="AA458" s="614"/>
      <c r="AB458" s="614"/>
      <c r="AC458" s="614"/>
      <c r="AD458" s="614"/>
      <c r="AE458" s="614"/>
      <c r="AF458" s="614"/>
      <c r="AG458" s="614"/>
      <c r="AH458" s="614"/>
      <c r="AI458" s="614"/>
      <c r="AJ458" s="614"/>
      <c r="AK458" s="450"/>
      <c r="AL458" s="450"/>
      <c r="AM458" s="450" t="s">
        <v>2600</v>
      </c>
      <c r="AN458" s="450">
        <v>94169.58</v>
      </c>
      <c r="AO458" s="450">
        <v>100462.15</v>
      </c>
      <c r="AP458" s="450">
        <v>102188.63</v>
      </c>
      <c r="AQ458" s="450">
        <v>101048.95</v>
      </c>
      <c r="AR458" s="450">
        <v>128925.59</v>
      </c>
      <c r="AS458" s="450">
        <v>182841.86</v>
      </c>
      <c r="AT458" s="450">
        <v>173002.98</v>
      </c>
      <c r="AU458" s="450">
        <v>231526.41</v>
      </c>
      <c r="AV458" s="450">
        <v>217924.4</v>
      </c>
      <c r="AW458" s="450">
        <v>282221.41</v>
      </c>
      <c r="AX458" s="450"/>
      <c r="AY458" s="450"/>
      <c r="AZ458" s="450"/>
      <c r="BA458" s="450">
        <v>0.0</v>
      </c>
      <c r="BB458" s="450">
        <v>0.0</v>
      </c>
      <c r="BC458" s="450">
        <v>276933.47</v>
      </c>
      <c r="BD458" s="450" t="s">
        <v>2566</v>
      </c>
      <c r="BE458" s="450" t="s">
        <v>2566</v>
      </c>
      <c r="BF458" s="450">
        <v>0.0</v>
      </c>
      <c r="BG458" s="450">
        <v>0.0</v>
      </c>
      <c r="BH458" s="450">
        <v>0.0</v>
      </c>
      <c r="BI458" s="450">
        <v>0.0</v>
      </c>
      <c r="BJ458" s="450">
        <v>0.0</v>
      </c>
      <c r="BK458" s="450">
        <v>0.0</v>
      </c>
      <c r="BL458" s="450">
        <v>0.0</v>
      </c>
      <c r="BM458" s="450">
        <v>0.0</v>
      </c>
      <c r="BN458" s="450">
        <v>0.0</v>
      </c>
      <c r="BO458" s="450">
        <v>0.0</v>
      </c>
      <c r="BP458" s="450">
        <v>0.0</v>
      </c>
      <c r="BQ458" s="450">
        <v>0.0</v>
      </c>
      <c r="BR458" s="450">
        <v>0.0</v>
      </c>
      <c r="BS458" s="615" t="str">
        <f t="array" ref="BS458">XLOOKUP(D458,'PL TOTAL XP'!A:A,'PL TOTAL XP'!C:C,"0")</f>
        <v>0</v>
      </c>
      <c r="BT458" s="616"/>
    </row>
    <row r="459" ht="15.75" customHeight="1">
      <c r="A459" s="183" t="s">
        <v>3820</v>
      </c>
      <c r="B459" s="78" t="s">
        <v>5155</v>
      </c>
      <c r="C459" s="617" t="s">
        <v>5156</v>
      </c>
      <c r="D459" s="522">
        <v>4582050.0</v>
      </c>
      <c r="E459" s="512" t="s">
        <v>18</v>
      </c>
      <c r="F459" s="512" t="s">
        <v>29</v>
      </c>
      <c r="G459" s="512" t="s">
        <v>3827</v>
      </c>
      <c r="H459" s="512" t="str">
        <f>IFERROR(VLOOKUP(G459,'Cadastro de assessores'!A:B,2,FALSE),"Não Cadastrado")</f>
        <v>17679</v>
      </c>
      <c r="I459" s="512"/>
      <c r="J459" s="51" t="s">
        <v>3823</v>
      </c>
      <c r="K459" s="643" t="s">
        <v>147</v>
      </c>
      <c r="L459" s="522" t="s">
        <v>2600</v>
      </c>
      <c r="M459" s="640" t="s">
        <v>4195</v>
      </c>
      <c r="N459" s="522"/>
      <c r="O459" s="522" t="s">
        <v>3828</v>
      </c>
      <c r="P459" s="612">
        <v>0.015</v>
      </c>
      <c r="Q459" s="620"/>
      <c r="R459" s="613"/>
      <c r="S459" s="522" t="str">
        <f t="shared" si="49"/>
        <v/>
      </c>
      <c r="T459" s="522" t="s">
        <v>108</v>
      </c>
      <c r="U459" s="522" t="s">
        <v>4240</v>
      </c>
      <c r="V459" s="522" t="s">
        <v>3672</v>
      </c>
      <c r="W459" s="614"/>
      <c r="X459" s="614"/>
      <c r="Y459" s="614"/>
      <c r="Z459" s="614"/>
      <c r="AA459" s="614"/>
      <c r="AB459" s="614"/>
      <c r="AC459" s="614"/>
      <c r="AD459" s="614"/>
      <c r="AE459" s="614"/>
      <c r="AF459" s="614"/>
      <c r="AG459" s="614"/>
      <c r="AH459" s="614"/>
      <c r="AI459" s="614"/>
      <c r="AJ459" s="614"/>
      <c r="AK459" s="450"/>
      <c r="AL459" s="450"/>
      <c r="AM459" s="450" t="s">
        <v>2600</v>
      </c>
      <c r="AN459" s="450" t="s">
        <v>2600</v>
      </c>
      <c r="AO459" s="450"/>
      <c r="AP459" s="450"/>
      <c r="AQ459" s="450"/>
      <c r="AR459" s="450"/>
      <c r="AS459" s="450"/>
      <c r="AT459" s="450"/>
      <c r="AU459" s="450"/>
      <c r="AV459" s="450"/>
      <c r="AW459" s="450"/>
      <c r="AX459" s="450"/>
      <c r="AY459" s="450"/>
      <c r="AZ459" s="450">
        <v>0.0</v>
      </c>
      <c r="BA459" s="450">
        <v>0.0</v>
      </c>
      <c r="BB459" s="450">
        <v>0.0</v>
      </c>
      <c r="BC459" s="450"/>
      <c r="BD459" s="450" t="s">
        <v>2566</v>
      </c>
      <c r="BE459" s="450" t="s">
        <v>2566</v>
      </c>
      <c r="BF459" s="450">
        <v>0.0</v>
      </c>
      <c r="BG459" s="450">
        <v>0.0</v>
      </c>
      <c r="BH459" s="450">
        <v>0.0</v>
      </c>
      <c r="BI459" s="450">
        <v>0.0</v>
      </c>
      <c r="BJ459" s="450">
        <v>0.0</v>
      </c>
      <c r="BK459" s="450">
        <v>0.0</v>
      </c>
      <c r="BL459" s="450">
        <v>0.0</v>
      </c>
      <c r="BM459" s="450">
        <v>0.0</v>
      </c>
      <c r="BN459" s="450">
        <v>0.0</v>
      </c>
      <c r="BO459" s="450">
        <v>0.0</v>
      </c>
      <c r="BP459" s="450">
        <v>0.0</v>
      </c>
      <c r="BQ459" s="450">
        <v>0.0</v>
      </c>
      <c r="BR459" s="450">
        <v>0.0</v>
      </c>
      <c r="BS459" s="615">
        <f t="array" ref="BS459">XLOOKUP(D459,'PL TOTAL XP'!A:A,'PL TOTAL XP'!C:C,"0")</f>
        <v>0</v>
      </c>
      <c r="BT459" s="616"/>
    </row>
    <row r="460" ht="15.75" customHeight="1">
      <c r="A460" s="183" t="s">
        <v>3820</v>
      </c>
      <c r="B460" s="78" t="s">
        <v>5157</v>
      </c>
      <c r="C460" s="564" t="s">
        <v>5158</v>
      </c>
      <c r="D460" s="566">
        <v>5080319.0</v>
      </c>
      <c r="E460" s="512" t="s">
        <v>18</v>
      </c>
      <c r="F460" s="609" t="s">
        <v>19</v>
      </c>
      <c r="G460" s="512" t="s">
        <v>256</v>
      </c>
      <c r="H460" s="609" t="str">
        <f>IFERROR(VLOOKUP(G460,'Cadastro de assessores'!A:B,2,FALSE),"Não Cadastrado")</f>
        <v>18009</v>
      </c>
      <c r="I460" s="609"/>
      <c r="J460" s="51" t="s">
        <v>3823</v>
      </c>
      <c r="K460" s="643" t="s">
        <v>107</v>
      </c>
      <c r="L460" s="610">
        <v>44298.0</v>
      </c>
      <c r="M460" s="610">
        <v>44298.0</v>
      </c>
      <c r="N460" s="522"/>
      <c r="O460" s="522" t="s">
        <v>3828</v>
      </c>
      <c r="P460" s="612">
        <v>0.015</v>
      </c>
      <c r="Q460" s="224" t="s">
        <v>4511</v>
      </c>
      <c r="R460" s="613"/>
      <c r="S460" s="522" t="str">
        <f t="shared" si="49"/>
        <v/>
      </c>
      <c r="T460" s="522" t="s">
        <v>108</v>
      </c>
      <c r="U460" s="522" t="s">
        <v>2619</v>
      </c>
      <c r="V460" s="522" t="s">
        <v>152</v>
      </c>
      <c r="W460" s="468"/>
      <c r="X460" s="468"/>
      <c r="Y460" s="468"/>
      <c r="Z460" s="468"/>
      <c r="AA460" s="468"/>
      <c r="AB460" s="468"/>
      <c r="AC460" s="468"/>
      <c r="AD460" s="468"/>
      <c r="AE460" s="468"/>
      <c r="AF460" s="468"/>
      <c r="AG460" s="468"/>
      <c r="AH460" s="468"/>
      <c r="AI460" s="468"/>
      <c r="AJ460" s="468"/>
      <c r="AK460" s="450"/>
      <c r="AL460" s="450"/>
      <c r="AM460" s="450"/>
      <c r="AN460" s="450"/>
      <c r="AO460" s="450"/>
      <c r="AP460" s="450">
        <v>116320.08</v>
      </c>
      <c r="AQ460" s="450">
        <v>115841.99</v>
      </c>
      <c r="AR460" s="450">
        <v>142810.19</v>
      </c>
      <c r="AS460" s="450">
        <v>141814.68</v>
      </c>
      <c r="AT460" s="450">
        <v>168622.28</v>
      </c>
      <c r="AU460" s="450">
        <v>183780.04</v>
      </c>
      <c r="AV460" s="450">
        <v>180384.76</v>
      </c>
      <c r="AW460" s="450">
        <v>175109.85</v>
      </c>
      <c r="AX460" s="450">
        <v>175115.37</v>
      </c>
      <c r="AY460" s="450">
        <v>177169.6</v>
      </c>
      <c r="AZ460" s="450">
        <v>181986.89</v>
      </c>
      <c r="BA460" s="450">
        <v>170472.01</v>
      </c>
      <c r="BB460" s="450">
        <v>68.07</v>
      </c>
      <c r="BC460" s="450"/>
      <c r="BD460" s="450">
        <v>162.51</v>
      </c>
      <c r="BE460" s="450">
        <v>162.51</v>
      </c>
      <c r="BF460" s="450">
        <v>162.51</v>
      </c>
      <c r="BG460" s="450">
        <v>162.51</v>
      </c>
      <c r="BH460" s="450">
        <v>162.51</v>
      </c>
      <c r="BI460" s="450">
        <v>162.51</v>
      </c>
      <c r="BJ460" s="450">
        <v>162.51</v>
      </c>
      <c r="BK460" s="450">
        <v>162.51</v>
      </c>
      <c r="BL460" s="450">
        <v>162.51</v>
      </c>
      <c r="BM460" s="450">
        <v>162.51</v>
      </c>
      <c r="BN460" s="450">
        <v>162.51</v>
      </c>
      <c r="BO460" s="450">
        <v>162.51</v>
      </c>
      <c r="BP460" s="450">
        <v>162.51</v>
      </c>
      <c r="BQ460" s="450">
        <v>162.51</v>
      </c>
      <c r="BR460" s="450">
        <v>162.51</v>
      </c>
      <c r="BS460" s="615">
        <f t="array" ref="BS460">XLOOKUP(D460,'PL TOTAL XP'!A:A,'PL TOTAL XP'!C:C,"0")</f>
        <v>0</v>
      </c>
      <c r="BT460" s="616"/>
    </row>
    <row r="461" ht="15.75" customHeight="1">
      <c r="A461" s="183" t="s">
        <v>3820</v>
      </c>
      <c r="B461" s="78" t="s">
        <v>2189</v>
      </c>
      <c r="C461" s="645" t="s">
        <v>2187</v>
      </c>
      <c r="D461" s="627">
        <v>7336791.0</v>
      </c>
      <c r="E461" s="512" t="s">
        <v>18</v>
      </c>
      <c r="F461" s="609" t="s">
        <v>19</v>
      </c>
      <c r="G461" s="627" t="s">
        <v>213</v>
      </c>
      <c r="H461" s="609" t="str">
        <f>IFERROR(VLOOKUP(G461,'Cadastro de assessores'!A:B,2,FALSE),"Não Cadastrado")</f>
        <v>17831</v>
      </c>
      <c r="I461" s="609"/>
      <c r="J461" s="51" t="s">
        <v>3823</v>
      </c>
      <c r="K461" s="522" t="s">
        <v>107</v>
      </c>
      <c r="L461" s="611">
        <v>44543.0</v>
      </c>
      <c r="M461" s="611">
        <v>44544.0</v>
      </c>
      <c r="N461" s="627"/>
      <c r="O461" s="627" t="s">
        <v>3836</v>
      </c>
      <c r="P461" s="612">
        <v>0.012</v>
      </c>
      <c r="Q461" s="482"/>
      <c r="R461" s="613"/>
      <c r="S461" s="522" t="str">
        <f t="shared" si="49"/>
        <v>Não Qualificado</v>
      </c>
      <c r="T461" s="522" t="s">
        <v>108</v>
      </c>
      <c r="U461" s="566" t="s">
        <v>2842</v>
      </c>
      <c r="V461" s="566" t="s">
        <v>19</v>
      </c>
      <c r="W461" s="468"/>
      <c r="X461" s="468"/>
      <c r="Y461" s="468"/>
      <c r="Z461" s="468"/>
      <c r="AA461" s="468"/>
      <c r="AB461" s="468"/>
      <c r="AC461" s="468"/>
      <c r="AD461" s="468"/>
      <c r="AE461" s="468"/>
      <c r="AF461" s="468"/>
      <c r="AG461" s="614"/>
      <c r="AH461" s="614"/>
      <c r="AI461" s="614"/>
      <c r="AJ461" s="450"/>
      <c r="AK461" s="450"/>
      <c r="AL461" s="450"/>
      <c r="AM461" s="450"/>
      <c r="AN461" s="450"/>
      <c r="AO461" s="450"/>
      <c r="AP461" s="450"/>
      <c r="AQ461" s="450"/>
      <c r="AR461" s="450"/>
      <c r="AS461" s="450"/>
      <c r="AT461" s="450"/>
      <c r="AU461" s="450"/>
      <c r="AV461" s="450"/>
      <c r="AW461" s="450"/>
      <c r="AX461" s="468"/>
      <c r="AY461" s="468"/>
      <c r="AZ461" s="614"/>
      <c r="BA461" s="614">
        <v>0.0</v>
      </c>
      <c r="BB461" s="614">
        <v>207976.77</v>
      </c>
      <c r="BC461" s="614">
        <v>148889.03</v>
      </c>
      <c r="BD461" s="450">
        <v>511973.53</v>
      </c>
      <c r="BE461" s="450">
        <v>513577.05</v>
      </c>
      <c r="BF461" s="450">
        <v>519395.65</v>
      </c>
      <c r="BG461" s="450">
        <v>400452.4061</v>
      </c>
      <c r="BH461" s="450">
        <v>402834.97</v>
      </c>
      <c r="BI461" s="450">
        <v>411301.13</v>
      </c>
      <c r="BJ461" s="450">
        <v>412242.09</v>
      </c>
      <c r="BK461" s="450">
        <v>415060.34</v>
      </c>
      <c r="BL461" s="450">
        <v>44389.6</v>
      </c>
      <c r="BM461" s="450">
        <v>44296.47</v>
      </c>
      <c r="BN461" s="450">
        <v>44883.52</v>
      </c>
      <c r="BO461" s="450">
        <v>56.6</v>
      </c>
      <c r="BP461" s="450">
        <v>56.6</v>
      </c>
      <c r="BQ461" s="450">
        <v>113.19</v>
      </c>
      <c r="BR461" s="450">
        <v>113.74</v>
      </c>
      <c r="BS461" s="615">
        <f t="array" ref="BS461">XLOOKUP(D461,'PL TOTAL XP'!A:A,'PL TOTAL XP'!C:C,"0")</f>
        <v>0</v>
      </c>
      <c r="BT461" s="616"/>
    </row>
    <row r="462" ht="15.75" customHeight="1">
      <c r="A462" s="183" t="s">
        <v>3820</v>
      </c>
      <c r="B462" s="78" t="s">
        <v>5159</v>
      </c>
      <c r="C462" s="617" t="s">
        <v>5160</v>
      </c>
      <c r="D462" s="522">
        <v>4486837.0</v>
      </c>
      <c r="E462" s="522" t="s">
        <v>18</v>
      </c>
      <c r="F462" s="522" t="s">
        <v>29</v>
      </c>
      <c r="G462" s="522" t="s">
        <v>3827</v>
      </c>
      <c r="H462" s="522" t="str">
        <f>IFERROR(VLOOKUP(G462,'Cadastro de assessores'!A:B,2,FALSE),"Não Cadastrado")</f>
        <v>17679</v>
      </c>
      <c r="I462" s="522"/>
      <c r="J462" s="51" t="s">
        <v>186</v>
      </c>
      <c r="K462" s="522" t="s">
        <v>2563</v>
      </c>
      <c r="L462" s="618">
        <v>44148.0</v>
      </c>
      <c r="M462" s="618">
        <v>44148.0</v>
      </c>
      <c r="N462" s="619">
        <v>44425.0</v>
      </c>
      <c r="O462" s="522" t="s">
        <v>3828</v>
      </c>
      <c r="P462" s="612">
        <v>0.015</v>
      </c>
      <c r="Q462" s="620" t="s">
        <v>5161</v>
      </c>
      <c r="R462" s="613"/>
      <c r="S462" s="522" t="str">
        <f t="shared" si="49"/>
        <v>Não Qualificado</v>
      </c>
      <c r="T462" s="522" t="s">
        <v>108</v>
      </c>
      <c r="U462" s="522" t="s">
        <v>2675</v>
      </c>
      <c r="V462" s="522" t="s">
        <v>29</v>
      </c>
      <c r="W462" s="614" t="s">
        <v>3830</v>
      </c>
      <c r="X462" s="614" t="s">
        <v>3830</v>
      </c>
      <c r="Y462" s="614" t="s">
        <v>3830</v>
      </c>
      <c r="Z462" s="614" t="s">
        <v>3830</v>
      </c>
      <c r="AA462" s="614" t="s">
        <v>3830</v>
      </c>
      <c r="AB462" s="614" t="s">
        <v>3830</v>
      </c>
      <c r="AC462" s="614" t="s">
        <v>3830</v>
      </c>
      <c r="AD462" s="614" t="s">
        <v>3830</v>
      </c>
      <c r="AE462" s="614" t="s">
        <v>3830</v>
      </c>
      <c r="AF462" s="614" t="s">
        <v>3830</v>
      </c>
      <c r="AG462" s="614" t="s">
        <v>3830</v>
      </c>
      <c r="AH462" s="614" t="s">
        <v>3830</v>
      </c>
      <c r="AI462" s="614" t="s">
        <v>3830</v>
      </c>
      <c r="AJ462" s="614" t="s">
        <v>5162</v>
      </c>
      <c r="AK462" s="450">
        <v>134533.45</v>
      </c>
      <c r="AL462" s="450">
        <v>158211.29</v>
      </c>
      <c r="AM462" s="450">
        <v>156481.22</v>
      </c>
      <c r="AN462" s="450">
        <v>156663.68</v>
      </c>
      <c r="AO462" s="450">
        <v>161333.4</v>
      </c>
      <c r="AP462" s="450">
        <v>161797.76</v>
      </c>
      <c r="AQ462" s="450">
        <v>161072.83</v>
      </c>
      <c r="AR462" s="450">
        <v>175863.49</v>
      </c>
      <c r="AS462" s="450">
        <v>174477.56</v>
      </c>
      <c r="AT462" s="450">
        <v>180016.21</v>
      </c>
      <c r="AU462" s="450"/>
      <c r="AV462" s="450"/>
      <c r="AW462" s="450"/>
      <c r="AX462" s="450"/>
      <c r="AY462" s="450"/>
      <c r="AZ462" s="450"/>
      <c r="BA462" s="450">
        <v>0.0</v>
      </c>
      <c r="BB462" s="450">
        <v>0.0</v>
      </c>
      <c r="BC462" s="450">
        <v>250151.86</v>
      </c>
      <c r="BD462" s="450" t="s">
        <v>2566</v>
      </c>
      <c r="BE462" s="450" t="s">
        <v>2566</v>
      </c>
      <c r="BF462" s="450">
        <v>0.0</v>
      </c>
      <c r="BG462" s="450">
        <v>0.0</v>
      </c>
      <c r="BH462" s="450">
        <v>0.0</v>
      </c>
      <c r="BI462" s="450">
        <v>0.0</v>
      </c>
      <c r="BJ462" s="450">
        <v>0.0</v>
      </c>
      <c r="BK462" s="450">
        <v>0.0</v>
      </c>
      <c r="BL462" s="450">
        <v>0.0</v>
      </c>
      <c r="BM462" s="450">
        <v>0.0</v>
      </c>
      <c r="BN462" s="450">
        <v>0.0</v>
      </c>
      <c r="BO462" s="450">
        <v>0.0</v>
      </c>
      <c r="BP462" s="450">
        <v>0.0</v>
      </c>
      <c r="BQ462" s="450">
        <v>0.0</v>
      </c>
      <c r="BR462" s="450">
        <v>0.0</v>
      </c>
      <c r="BS462" s="615" t="str">
        <f t="array" ref="BS462">XLOOKUP(D462,'PL TOTAL XP'!A:A,'PL TOTAL XP'!C:C,"0")</f>
        <v>0</v>
      </c>
      <c r="BT462" s="616"/>
    </row>
    <row r="463" ht="15.75" customHeight="1">
      <c r="A463" s="183" t="s">
        <v>3820</v>
      </c>
      <c r="B463" s="78" t="s">
        <v>2200</v>
      </c>
      <c r="C463" s="564" t="s">
        <v>5163</v>
      </c>
      <c r="D463" s="566">
        <v>7518857.0</v>
      </c>
      <c r="E463" s="512" t="s">
        <v>18</v>
      </c>
      <c r="F463" s="609" t="s">
        <v>29</v>
      </c>
      <c r="G463" s="609" t="s">
        <v>294</v>
      </c>
      <c r="H463" s="522">
        <f>IFERROR(VLOOKUP(G463,'Cadastro de assessores'!A:B,2,FALSE),"Não Cadastrado")</f>
        <v>12359</v>
      </c>
      <c r="I463" s="522"/>
      <c r="J463" s="51" t="s">
        <v>3823</v>
      </c>
      <c r="K463" s="522" t="s">
        <v>107</v>
      </c>
      <c r="L463" s="610">
        <v>44791.0</v>
      </c>
      <c r="M463" s="610">
        <v>44792.0</v>
      </c>
      <c r="N463" s="566"/>
      <c r="O463" s="566" t="s">
        <v>3836</v>
      </c>
      <c r="P463" s="612">
        <v>0.012</v>
      </c>
      <c r="Q463" s="653" t="s">
        <v>4410</v>
      </c>
      <c r="R463" s="613"/>
      <c r="S463" s="522"/>
      <c r="T463" s="522"/>
      <c r="U463" s="566"/>
      <c r="V463" s="522" t="s">
        <v>29</v>
      </c>
      <c r="W463" s="468"/>
      <c r="X463" s="468"/>
      <c r="Y463" s="468"/>
      <c r="Z463" s="468"/>
      <c r="AA463" s="468"/>
      <c r="AB463" s="468"/>
      <c r="AC463" s="468"/>
      <c r="AD463" s="468"/>
      <c r="AE463" s="468"/>
      <c r="AF463" s="468"/>
      <c r="AG463" s="468"/>
      <c r="AH463" s="468"/>
      <c r="AI463" s="468"/>
      <c r="AJ463" s="450"/>
      <c r="AK463" s="450"/>
      <c r="AL463" s="450"/>
      <c r="AM463" s="450"/>
      <c r="AN463" s="450"/>
      <c r="AO463" s="450"/>
      <c r="AP463" s="450"/>
      <c r="AQ463" s="450"/>
      <c r="AR463" s="468"/>
      <c r="AS463" s="450"/>
      <c r="AT463" s="450"/>
      <c r="AU463" s="450"/>
      <c r="AV463" s="450"/>
      <c r="AW463" s="450"/>
      <c r="AX463" s="450"/>
      <c r="AY463" s="450"/>
      <c r="AZ463" s="450"/>
      <c r="BA463" s="450"/>
      <c r="BB463" s="450"/>
      <c r="BC463" s="450"/>
      <c r="BD463" s="450"/>
      <c r="BE463" s="450"/>
      <c r="BF463" s="450"/>
      <c r="BG463" s="450">
        <v>29986.95906</v>
      </c>
      <c r="BH463" s="450">
        <v>30232.23</v>
      </c>
      <c r="BI463" s="450">
        <v>31041.43</v>
      </c>
      <c r="BJ463" s="450">
        <v>31028.22</v>
      </c>
      <c r="BK463" s="450">
        <v>31280.26</v>
      </c>
      <c r="BL463" s="450">
        <v>31644.92</v>
      </c>
      <c r="BM463" s="450">
        <v>2694.35</v>
      </c>
      <c r="BN463" s="450">
        <v>521.13</v>
      </c>
      <c r="BO463" s="450">
        <v>526.04</v>
      </c>
      <c r="BP463" s="450">
        <v>531.76</v>
      </c>
      <c r="BQ463" s="450">
        <v>536.19</v>
      </c>
      <c r="BR463" s="450">
        <v>542.48</v>
      </c>
      <c r="BS463" s="615">
        <f t="array" ref="BS463">XLOOKUP(D463,'PL TOTAL XP'!A:A,'PL TOTAL XP'!C:C,"0")</f>
        <v>0</v>
      </c>
      <c r="BT463" s="616"/>
    </row>
    <row r="464" ht="15.75" customHeight="1">
      <c r="A464" s="183" t="s">
        <v>3820</v>
      </c>
      <c r="B464" s="78" t="s">
        <v>2214</v>
      </c>
      <c r="C464" s="564" t="s">
        <v>2211</v>
      </c>
      <c r="D464" s="566">
        <v>5648950.0</v>
      </c>
      <c r="E464" s="512" t="s">
        <v>18</v>
      </c>
      <c r="F464" s="609" t="s">
        <v>29</v>
      </c>
      <c r="G464" s="609" t="s">
        <v>2213</v>
      </c>
      <c r="H464" s="609" t="str">
        <f>IFERROR(VLOOKUP(G464,'Cadastro de assessores'!A:B,2,FALSE),"Não Cadastrado")</f>
        <v>18256</v>
      </c>
      <c r="I464" s="609"/>
      <c r="J464" s="51" t="s">
        <v>3823</v>
      </c>
      <c r="K464" s="522" t="s">
        <v>107</v>
      </c>
      <c r="L464" s="610">
        <v>44365.0</v>
      </c>
      <c r="M464" s="610">
        <v>44365.0</v>
      </c>
      <c r="N464" s="566"/>
      <c r="O464" s="566" t="s">
        <v>3824</v>
      </c>
      <c r="P464" s="612">
        <v>0.019</v>
      </c>
      <c r="Q464" s="224" t="s">
        <v>3903</v>
      </c>
      <c r="R464" s="613"/>
      <c r="S464" s="522" t="str">
        <f t="shared" ref="S464:S469" si="50">IF(BC464&lt;=0,"",IF(BC464&lt;=1000000,"Não Qualificado",IF(AND(BC464&gt;1000000,BC464&lt;=10000000),"Qualificado","Profissional")))</f>
        <v>Não Qualificado</v>
      </c>
      <c r="T464" s="522" t="s">
        <v>108</v>
      </c>
      <c r="U464" s="566" t="s">
        <v>2591</v>
      </c>
      <c r="V464" s="522" t="s">
        <v>29</v>
      </c>
      <c r="W464" s="468"/>
      <c r="X464" s="468"/>
      <c r="Y464" s="468"/>
      <c r="Z464" s="468"/>
      <c r="AA464" s="468"/>
      <c r="AB464" s="468"/>
      <c r="AC464" s="468"/>
      <c r="AD464" s="468"/>
      <c r="AE464" s="468"/>
      <c r="AF464" s="468"/>
      <c r="AG464" s="468"/>
      <c r="AH464" s="468"/>
      <c r="AI464" s="468"/>
      <c r="AJ464" s="450"/>
      <c r="AK464" s="450"/>
      <c r="AL464" s="450"/>
      <c r="AM464" s="450"/>
      <c r="AN464" s="450"/>
      <c r="AO464" s="450"/>
      <c r="AP464" s="450"/>
      <c r="AQ464" s="450"/>
      <c r="AR464" s="468"/>
      <c r="AS464" s="450">
        <v>49266.38</v>
      </c>
      <c r="AT464" s="450">
        <v>47768.34</v>
      </c>
      <c r="AU464" s="450">
        <v>47203.14</v>
      </c>
      <c r="AV464" s="450">
        <v>45635.13</v>
      </c>
      <c r="AW464" s="450">
        <v>43448.9</v>
      </c>
      <c r="AX464" s="450">
        <v>43248.61</v>
      </c>
      <c r="AY464" s="450">
        <v>43757.29</v>
      </c>
      <c r="AZ464" s="450">
        <v>45254.21</v>
      </c>
      <c r="BA464" s="450">
        <v>45731.91</v>
      </c>
      <c r="BB464" s="450">
        <v>47654.02</v>
      </c>
      <c r="BC464" s="450">
        <v>233911.75</v>
      </c>
      <c r="BD464" s="450">
        <v>46471.03</v>
      </c>
      <c r="BE464" s="450">
        <v>45570.47</v>
      </c>
      <c r="BF464" s="450">
        <v>46604.01</v>
      </c>
      <c r="BG464" s="450">
        <v>47247.66231</v>
      </c>
      <c r="BH464" s="450">
        <v>47462.24</v>
      </c>
      <c r="BI464" s="450">
        <v>49654.7</v>
      </c>
      <c r="BJ464" s="450">
        <v>49431.21</v>
      </c>
      <c r="BK464" s="450">
        <v>49693.01</v>
      </c>
      <c r="BL464" s="450">
        <v>50315.95</v>
      </c>
      <c r="BM464" s="450">
        <v>50436.7</v>
      </c>
      <c r="BN464" s="450">
        <v>918.19</v>
      </c>
      <c r="BO464" s="450">
        <v>864.4</v>
      </c>
      <c r="BP464" s="450">
        <v>811.58</v>
      </c>
      <c r="BQ464" s="450">
        <v>904.86</v>
      </c>
      <c r="BR464" s="450">
        <v>1030.92</v>
      </c>
      <c r="BS464" s="615">
        <f t="array" ref="BS464">XLOOKUP(D464,'PL TOTAL XP'!A:A,'PL TOTAL XP'!C:C,"0")</f>
        <v>0</v>
      </c>
      <c r="BT464" s="616"/>
    </row>
    <row r="465" ht="15.75" customHeight="1">
      <c r="A465" s="183" t="s">
        <v>3820</v>
      </c>
      <c r="B465" s="78" t="s">
        <v>5164</v>
      </c>
      <c r="C465" s="564" t="s">
        <v>5165</v>
      </c>
      <c r="D465" s="566">
        <v>6320705.0</v>
      </c>
      <c r="E465" s="512" t="s">
        <v>105</v>
      </c>
      <c r="F465" s="609" t="s">
        <v>29</v>
      </c>
      <c r="G465" s="609" t="s">
        <v>3873</v>
      </c>
      <c r="H465" s="609" t="str">
        <f>IFERROR(VLOOKUP(G465,'Cadastro de assessores'!A:B,2,FALSE),"Não Cadastrado")</f>
        <v>12624</v>
      </c>
      <c r="I465" s="609"/>
      <c r="J465" s="51" t="s">
        <v>3823</v>
      </c>
      <c r="K465" s="522" t="s">
        <v>107</v>
      </c>
      <c r="L465" s="610">
        <v>44421.0</v>
      </c>
      <c r="M465" s="610">
        <v>44421.0</v>
      </c>
      <c r="N465" s="566"/>
      <c r="O465" s="566" t="s">
        <v>3840</v>
      </c>
      <c r="P465" s="612">
        <v>0.025</v>
      </c>
      <c r="Q465" s="224"/>
      <c r="R465" s="613"/>
      <c r="S465" s="522" t="str">
        <f t="shared" si="50"/>
        <v/>
      </c>
      <c r="T465" s="522" t="s">
        <v>108</v>
      </c>
      <c r="U465" s="522" t="s">
        <v>2580</v>
      </c>
      <c r="V465" s="522" t="s">
        <v>29</v>
      </c>
      <c r="W465" s="468"/>
      <c r="X465" s="468"/>
      <c r="Y465" s="468"/>
      <c r="Z465" s="468"/>
      <c r="AA465" s="468"/>
      <c r="AB465" s="468"/>
      <c r="AC465" s="468"/>
      <c r="AD465" s="468"/>
      <c r="AE465" s="468"/>
      <c r="AF465" s="468"/>
      <c r="AG465" s="468"/>
      <c r="AH465" s="614"/>
      <c r="AI465" s="450"/>
      <c r="AJ465" s="450"/>
      <c r="AK465" s="450"/>
      <c r="AL465" s="450"/>
      <c r="AM465" s="450"/>
      <c r="AN465" s="450"/>
      <c r="AO465" s="450"/>
      <c r="AP465" s="450"/>
      <c r="AQ465" s="468"/>
      <c r="AR465" s="450"/>
      <c r="AS465" s="634"/>
      <c r="AT465" s="449"/>
      <c r="AU465" s="449">
        <v>104884.5</v>
      </c>
      <c r="AV465" s="450">
        <v>98891.08</v>
      </c>
      <c r="AW465" s="450">
        <v>90858.68</v>
      </c>
      <c r="AX465" s="450">
        <v>89741.48</v>
      </c>
      <c r="AY465" s="450">
        <v>91510.2</v>
      </c>
      <c r="AZ465" s="450">
        <v>97033.55</v>
      </c>
      <c r="BA465" s="450">
        <v>98245.19</v>
      </c>
      <c r="BB465" s="450">
        <v>104704.92</v>
      </c>
      <c r="BC465" s="450"/>
      <c r="BD465" s="450">
        <v>97942.6</v>
      </c>
      <c r="BE465" s="450">
        <v>93962.15</v>
      </c>
      <c r="BF465" s="450">
        <v>8850.88</v>
      </c>
      <c r="BG465" s="450">
        <v>5433.96</v>
      </c>
      <c r="BH465" s="450">
        <v>5456.64</v>
      </c>
      <c r="BI465" s="450">
        <v>5508.45</v>
      </c>
      <c r="BJ465" s="450">
        <v>5524.52</v>
      </c>
      <c r="BK465" s="450">
        <v>527.76</v>
      </c>
      <c r="BL465" s="450">
        <v>924.19</v>
      </c>
      <c r="BM465" s="450">
        <v>933.75</v>
      </c>
      <c r="BN465" s="450">
        <v>923.76</v>
      </c>
      <c r="BO465" s="450">
        <v>924.67</v>
      </c>
      <c r="BP465" s="450">
        <v>925.62</v>
      </c>
      <c r="BQ465" s="450">
        <v>929.54</v>
      </c>
      <c r="BR465" s="450">
        <v>927.86</v>
      </c>
      <c r="BS465" s="615">
        <f t="array" ref="BS465">XLOOKUP(D465,'PL TOTAL XP'!A:A,'PL TOTAL XP'!C:C,"0")</f>
        <v>0.14</v>
      </c>
      <c r="BT465" s="616"/>
    </row>
    <row r="466" ht="15.75" customHeight="1">
      <c r="A466" s="183" t="s">
        <v>3820</v>
      </c>
      <c r="B466" s="78" t="s">
        <v>2220</v>
      </c>
      <c r="C466" s="564" t="s">
        <v>5166</v>
      </c>
      <c r="D466" s="555">
        <v>7263623.0</v>
      </c>
      <c r="E466" s="512" t="s">
        <v>18</v>
      </c>
      <c r="F466" s="609" t="s">
        <v>29</v>
      </c>
      <c r="G466" s="627" t="s">
        <v>168</v>
      </c>
      <c r="H466" s="609">
        <f>IFERROR(VLOOKUP(G466,'Cadastro de assessores'!A:B,2,FALSE),"Não Cadastrado")</f>
        <v>12344</v>
      </c>
      <c r="I466" s="609"/>
      <c r="J466" s="51" t="s">
        <v>3823</v>
      </c>
      <c r="K466" s="643" t="s">
        <v>147</v>
      </c>
      <c r="L466" s="522" t="s">
        <v>2600</v>
      </c>
      <c r="M466" s="640" t="s">
        <v>4195</v>
      </c>
      <c r="N466" s="627"/>
      <c r="O466" s="627" t="s">
        <v>3840</v>
      </c>
      <c r="P466" s="612">
        <v>0.025</v>
      </c>
      <c r="Q466" s="701" t="s">
        <v>5167</v>
      </c>
      <c r="R466" s="613"/>
      <c r="S466" s="522" t="str">
        <f t="shared" si="50"/>
        <v>Não Qualificado</v>
      </c>
      <c r="T466" s="522" t="s">
        <v>108</v>
      </c>
      <c r="U466" s="522" t="s">
        <v>2580</v>
      </c>
      <c r="V466" s="522" t="s">
        <v>29</v>
      </c>
      <c r="W466" s="468"/>
      <c r="X466" s="468"/>
      <c r="Y466" s="468"/>
      <c r="Z466" s="468"/>
      <c r="AA466" s="468"/>
      <c r="AB466" s="468"/>
      <c r="AC466" s="468"/>
      <c r="AD466" s="468"/>
      <c r="AE466" s="468"/>
      <c r="AF466" s="468"/>
      <c r="AG466" s="468"/>
      <c r="AH466" s="614"/>
      <c r="AI466" s="450"/>
      <c r="AJ466" s="450"/>
      <c r="AK466" s="450"/>
      <c r="AL466" s="450"/>
      <c r="AM466" s="450"/>
      <c r="AN466" s="450"/>
      <c r="AO466" s="450"/>
      <c r="AP466" s="450"/>
      <c r="AQ466" s="468"/>
      <c r="AR466" s="450"/>
      <c r="AS466" s="450"/>
      <c r="AT466" s="450"/>
      <c r="AU466" s="450"/>
      <c r="AV466" s="450"/>
      <c r="AW466" s="450"/>
      <c r="AX466" s="468"/>
      <c r="AY466" s="468"/>
      <c r="AZ466" s="614"/>
      <c r="BA466" s="614">
        <v>0.0</v>
      </c>
      <c r="BB466" s="614">
        <v>0.0</v>
      </c>
      <c r="BC466" s="614">
        <v>113671.65</v>
      </c>
      <c r="BD466" s="450" t="s">
        <v>2566</v>
      </c>
      <c r="BE466" s="450" t="s">
        <v>2566</v>
      </c>
      <c r="BF466" s="450">
        <v>0.0</v>
      </c>
      <c r="BG466" s="450">
        <v>0.0</v>
      </c>
      <c r="BH466" s="450">
        <v>0.0</v>
      </c>
      <c r="BI466" s="450">
        <v>0.0</v>
      </c>
      <c r="BJ466" s="450">
        <v>0.0</v>
      </c>
      <c r="BK466" s="450">
        <v>0.0</v>
      </c>
      <c r="BL466" s="450">
        <v>0.0</v>
      </c>
      <c r="BM466" s="450">
        <v>0.0</v>
      </c>
      <c r="BN466" s="450">
        <v>0.0</v>
      </c>
      <c r="BO466" s="450">
        <v>0.0</v>
      </c>
      <c r="BP466" s="450">
        <v>0.0</v>
      </c>
      <c r="BQ466" s="450">
        <v>0.0</v>
      </c>
      <c r="BR466" s="450">
        <v>0.0</v>
      </c>
      <c r="BS466" s="615">
        <f t="array" ref="BS466">XLOOKUP(D466,'PL TOTAL XP'!A:A,'PL TOTAL XP'!C:C,"0")</f>
        <v>0</v>
      </c>
      <c r="BT466" s="616"/>
    </row>
    <row r="467" ht="15.75" customHeight="1">
      <c r="A467" s="183" t="s">
        <v>3820</v>
      </c>
      <c r="B467" s="78" t="s">
        <v>2220</v>
      </c>
      <c r="C467" s="564" t="s">
        <v>5166</v>
      </c>
      <c r="D467" s="566">
        <v>2004579.0</v>
      </c>
      <c r="E467" s="512" t="s">
        <v>18</v>
      </c>
      <c r="F467" s="609" t="s">
        <v>29</v>
      </c>
      <c r="G467" s="627" t="s">
        <v>168</v>
      </c>
      <c r="H467" s="609">
        <f>IFERROR(VLOOKUP(G467,'Cadastro de assessores'!A:B,2,FALSE),"Não Cadastrado")</f>
        <v>12344</v>
      </c>
      <c r="I467" s="609"/>
      <c r="J467" s="46" t="s">
        <v>107</v>
      </c>
      <c r="K467" s="522" t="s">
        <v>107</v>
      </c>
      <c r="L467" s="610">
        <v>44557.0</v>
      </c>
      <c r="M467" s="610">
        <v>44557.0</v>
      </c>
      <c r="N467" s="627"/>
      <c r="O467" s="627" t="s">
        <v>3834</v>
      </c>
      <c r="P467" s="612">
        <v>0.007</v>
      </c>
      <c r="Q467" s="701" t="s">
        <v>5167</v>
      </c>
      <c r="R467" s="613"/>
      <c r="S467" s="522" t="str">
        <f t="shared" si="50"/>
        <v>Não Qualificado</v>
      </c>
      <c r="T467" s="522" t="s">
        <v>108</v>
      </c>
      <c r="U467" s="522" t="s">
        <v>2580</v>
      </c>
      <c r="V467" s="522" t="s">
        <v>29</v>
      </c>
      <c r="W467" s="468"/>
      <c r="X467" s="468"/>
      <c r="Y467" s="468"/>
      <c r="Z467" s="468"/>
      <c r="AA467" s="468"/>
      <c r="AB467" s="468"/>
      <c r="AC467" s="468"/>
      <c r="AD467" s="468"/>
      <c r="AE467" s="468"/>
      <c r="AF467" s="468"/>
      <c r="AG467" s="468"/>
      <c r="AH467" s="614"/>
      <c r="AI467" s="450"/>
      <c r="AJ467" s="450"/>
      <c r="AK467" s="450"/>
      <c r="AL467" s="450"/>
      <c r="AM467" s="450"/>
      <c r="AN467" s="450"/>
      <c r="AO467" s="450"/>
      <c r="AP467" s="450"/>
      <c r="AQ467" s="468"/>
      <c r="AR467" s="450"/>
      <c r="AS467" s="450"/>
      <c r="AT467" s="450"/>
      <c r="AU467" s="450"/>
      <c r="AV467" s="450"/>
      <c r="AW467" s="450"/>
      <c r="AX467" s="468"/>
      <c r="AY467" s="449">
        <v>490247.55</v>
      </c>
      <c r="AZ467" s="450">
        <v>594296.93</v>
      </c>
      <c r="BA467" s="450">
        <v>599010.14</v>
      </c>
      <c r="BB467" s="450">
        <v>607476.02</v>
      </c>
      <c r="BC467" s="450">
        <v>135391.14</v>
      </c>
      <c r="BD467" s="450">
        <v>619618.25</v>
      </c>
      <c r="BE467" s="450">
        <v>624555.53</v>
      </c>
      <c r="BF467" s="450">
        <v>627595.1</v>
      </c>
      <c r="BG467" s="450">
        <v>633119.5487</v>
      </c>
      <c r="BH467" s="450">
        <v>637310.28</v>
      </c>
      <c r="BI467" s="450">
        <v>640648.99</v>
      </c>
      <c r="BJ467" s="450">
        <v>644505.17</v>
      </c>
      <c r="BK467" s="450">
        <v>753247.3</v>
      </c>
      <c r="BL467" s="450">
        <v>759796.97</v>
      </c>
      <c r="BM467" s="450">
        <v>765540.86</v>
      </c>
      <c r="BN467" s="450">
        <v>774715.7</v>
      </c>
      <c r="BO467" s="450">
        <v>121.86</v>
      </c>
      <c r="BP467" s="450">
        <v>121.86</v>
      </c>
      <c r="BQ467" s="450">
        <v>8121.86</v>
      </c>
      <c r="BR467" s="450">
        <v>44601.21</v>
      </c>
      <c r="BS467" s="615">
        <f t="array" ref="BS467">XLOOKUP(D467,'PL TOTAL XP'!A:A,'PL TOTAL XP'!C:C,"0")</f>
        <v>21025.81</v>
      </c>
      <c r="BT467" s="616"/>
    </row>
    <row r="468" ht="15.75" customHeight="1">
      <c r="A468" s="183" t="s">
        <v>3820</v>
      </c>
      <c r="B468" s="78" t="s">
        <v>5168</v>
      </c>
      <c r="C468" s="564" t="s">
        <v>5169</v>
      </c>
      <c r="D468" s="566">
        <v>4841428.0</v>
      </c>
      <c r="E468" s="512" t="s">
        <v>18</v>
      </c>
      <c r="F468" s="609" t="s">
        <v>29</v>
      </c>
      <c r="G468" s="609" t="s">
        <v>2931</v>
      </c>
      <c r="H468" s="609" t="str">
        <f>IFERROR(VLOOKUP(G468,'Cadastro de assessores'!A:B,2,FALSE),"Não Cadastrado")</f>
        <v>13444</v>
      </c>
      <c r="I468" s="609"/>
      <c r="J468" s="51" t="s">
        <v>3823</v>
      </c>
      <c r="K468" s="522" t="s">
        <v>107</v>
      </c>
      <c r="L468" s="610">
        <v>44370.0</v>
      </c>
      <c r="M468" s="610">
        <v>44372.0</v>
      </c>
      <c r="N468" s="566"/>
      <c r="O468" s="566" t="s">
        <v>4037</v>
      </c>
      <c r="P468" s="612">
        <v>0.02</v>
      </c>
      <c r="Q468" s="224"/>
      <c r="R468" s="613"/>
      <c r="S468" s="522" t="str">
        <f t="shared" si="50"/>
        <v/>
      </c>
      <c r="T468" s="522" t="s">
        <v>108</v>
      </c>
      <c r="U468" s="566" t="s">
        <v>4038</v>
      </c>
      <c r="V468" s="566" t="s">
        <v>34</v>
      </c>
      <c r="W468" s="468"/>
      <c r="X468" s="468"/>
      <c r="Y468" s="468"/>
      <c r="Z468" s="468"/>
      <c r="AA468" s="468"/>
      <c r="AB468" s="468"/>
      <c r="AC468" s="468"/>
      <c r="AD468" s="468"/>
      <c r="AE468" s="468"/>
      <c r="AF468" s="468"/>
      <c r="AG468" s="468"/>
      <c r="AH468" s="468"/>
      <c r="AI468" s="614"/>
      <c r="AJ468" s="450"/>
      <c r="AK468" s="450"/>
      <c r="AL468" s="450"/>
      <c r="AM468" s="450"/>
      <c r="AN468" s="450"/>
      <c r="AO468" s="450"/>
      <c r="AP468" s="450"/>
      <c r="AQ468" s="450"/>
      <c r="AR468" s="468"/>
      <c r="AS468" s="450">
        <v>98280.75</v>
      </c>
      <c r="AT468" s="450">
        <v>92132.74</v>
      </c>
      <c r="AU468" s="450">
        <v>90335.7</v>
      </c>
      <c r="AV468" s="450">
        <v>84565.32</v>
      </c>
      <c r="AW468" s="450">
        <v>75442.76</v>
      </c>
      <c r="AX468" s="450">
        <v>68610.56</v>
      </c>
      <c r="AY468" s="450">
        <v>71332.11</v>
      </c>
      <c r="AZ468" s="450">
        <v>73982.73</v>
      </c>
      <c r="BA468" s="450">
        <v>76268.76</v>
      </c>
      <c r="BB468" s="450">
        <v>79776.3</v>
      </c>
      <c r="BC468" s="450"/>
      <c r="BD468" s="450">
        <v>76306.33</v>
      </c>
      <c r="BE468" s="450">
        <v>63907.91</v>
      </c>
      <c r="BF468" s="450">
        <v>68319.18</v>
      </c>
      <c r="BG468" s="450">
        <v>72571.56</v>
      </c>
      <c r="BH468" s="450">
        <v>69744.21</v>
      </c>
      <c r="BI468" s="450">
        <v>77493.17</v>
      </c>
      <c r="BJ468" s="450">
        <v>73364.9</v>
      </c>
      <c r="BK468" s="450">
        <v>71092.61</v>
      </c>
      <c r="BL468" s="450">
        <v>73086.78</v>
      </c>
      <c r="BM468" s="450">
        <v>67303.72</v>
      </c>
      <c r="BN468" s="450">
        <v>63602.08</v>
      </c>
      <c r="BO468" s="450">
        <v>63025.42</v>
      </c>
      <c r="BP468" s="450">
        <v>70336.45</v>
      </c>
      <c r="BQ468" s="450">
        <v>74873.84</v>
      </c>
      <c r="BR468" s="450">
        <v>77835.21</v>
      </c>
      <c r="BS468" s="615">
        <f t="array" ref="BS468">XLOOKUP(D468,'PL TOTAL XP'!A:A,'PL TOTAL XP'!C:C,"0")</f>
        <v>0</v>
      </c>
      <c r="BT468" s="616"/>
    </row>
    <row r="469" ht="15.75" customHeight="1">
      <c r="A469" s="183" t="s">
        <v>3820</v>
      </c>
      <c r="B469" s="78" t="s">
        <v>5170</v>
      </c>
      <c r="C469" s="617" t="s">
        <v>5171</v>
      </c>
      <c r="D469" s="522">
        <v>4681272.0</v>
      </c>
      <c r="E469" s="512" t="s">
        <v>105</v>
      </c>
      <c r="F469" s="512" t="s">
        <v>29</v>
      </c>
      <c r="G469" s="512" t="s">
        <v>3660</v>
      </c>
      <c r="H469" s="512" t="str">
        <f>IFERROR(VLOOKUP(G469,'Cadastro de assessores'!A:B,2,FALSE),"Não Cadastrado")</f>
        <v>14574</v>
      </c>
      <c r="I469" s="512"/>
      <c r="J469" s="51" t="s">
        <v>186</v>
      </c>
      <c r="K469" s="522" t="s">
        <v>107</v>
      </c>
      <c r="L469" s="611">
        <v>44186.0</v>
      </c>
      <c r="M469" s="611">
        <v>44186.0</v>
      </c>
      <c r="N469" s="567">
        <v>44901.0</v>
      </c>
      <c r="O469" s="566" t="s">
        <v>3824</v>
      </c>
      <c r="P469" s="612">
        <v>0.02</v>
      </c>
      <c r="Q469" s="620" t="s">
        <v>5172</v>
      </c>
      <c r="R469" s="613"/>
      <c r="S469" s="522" t="str">
        <f t="shared" si="50"/>
        <v>Não Qualificado</v>
      </c>
      <c r="T469" s="522" t="s">
        <v>108</v>
      </c>
      <c r="U469" s="522" t="s">
        <v>5173</v>
      </c>
      <c r="V469" s="522" t="s">
        <v>5174</v>
      </c>
      <c r="W469" s="614" t="s">
        <v>3830</v>
      </c>
      <c r="X469" s="614" t="s">
        <v>3830</v>
      </c>
      <c r="Y469" s="614" t="s">
        <v>3830</v>
      </c>
      <c r="Z469" s="614" t="s">
        <v>3830</v>
      </c>
      <c r="AA469" s="614" t="s">
        <v>3830</v>
      </c>
      <c r="AB469" s="614" t="s">
        <v>3830</v>
      </c>
      <c r="AC469" s="614" t="s">
        <v>3830</v>
      </c>
      <c r="AD469" s="614" t="s">
        <v>3830</v>
      </c>
      <c r="AE469" s="614" t="s">
        <v>3830</v>
      </c>
      <c r="AF469" s="614" t="s">
        <v>3830</v>
      </c>
      <c r="AG469" s="614" t="s">
        <v>3830</v>
      </c>
      <c r="AH469" s="614" t="s">
        <v>3830</v>
      </c>
      <c r="AI469" s="614" t="s">
        <v>3830</v>
      </c>
      <c r="AJ469" s="614" t="s">
        <v>3830</v>
      </c>
      <c r="AK469" s="450">
        <v>130511.09</v>
      </c>
      <c r="AL469" s="450">
        <v>156847.69</v>
      </c>
      <c r="AM469" s="450">
        <v>150562.91</v>
      </c>
      <c r="AN469" s="450">
        <v>150826.78</v>
      </c>
      <c r="AO469" s="450">
        <v>157052.35</v>
      </c>
      <c r="AP469" s="450">
        <v>161358.06</v>
      </c>
      <c r="AQ469" s="450">
        <v>160372.38</v>
      </c>
      <c r="AR469" s="450">
        <v>186413.42</v>
      </c>
      <c r="AS469" s="450">
        <v>183874.49</v>
      </c>
      <c r="AT469" s="450">
        <v>177182.7</v>
      </c>
      <c r="AU469" s="450">
        <v>174801.54</v>
      </c>
      <c r="AV469" s="450">
        <v>168789.51</v>
      </c>
      <c r="AW469" s="450">
        <v>159178.03</v>
      </c>
      <c r="AX469" s="450">
        <v>158989.46</v>
      </c>
      <c r="AY469" s="450">
        <v>161171.69</v>
      </c>
      <c r="AZ469" s="450">
        <v>168193.24</v>
      </c>
      <c r="BA469" s="450">
        <v>169606.9</v>
      </c>
      <c r="BB469" s="450">
        <v>177746.34</v>
      </c>
      <c r="BC469" s="450">
        <v>0.81</v>
      </c>
      <c r="BD469" s="450">
        <v>173740.92</v>
      </c>
      <c r="BE469" s="450">
        <v>169531.31</v>
      </c>
      <c r="BF469" s="450">
        <v>175983.34</v>
      </c>
      <c r="BG469" s="450">
        <v>180237.7685</v>
      </c>
      <c r="BH469" s="450">
        <v>179635.48</v>
      </c>
      <c r="BI469" s="450">
        <v>190126.85</v>
      </c>
      <c r="BJ469" s="450">
        <v>159052.1</v>
      </c>
      <c r="BK469" s="450">
        <v>0.0</v>
      </c>
      <c r="BL469" s="450">
        <v>0.0</v>
      </c>
      <c r="BM469" s="450">
        <v>0.0</v>
      </c>
      <c r="BN469" s="450">
        <v>0.0</v>
      </c>
      <c r="BO469" s="450">
        <v>0.0</v>
      </c>
      <c r="BP469" s="450">
        <v>0.0</v>
      </c>
      <c r="BQ469" s="450">
        <v>0.0</v>
      </c>
      <c r="BR469" s="450">
        <v>0.0</v>
      </c>
      <c r="BS469" s="615" t="str">
        <f t="array" ref="BS469">XLOOKUP(D469,'PL TOTAL XP'!A:A,'PL TOTAL XP'!C:C,"0")</f>
        <v>0</v>
      </c>
      <c r="BT469" s="616"/>
    </row>
    <row r="470" ht="15.75" customHeight="1">
      <c r="A470" s="183" t="s">
        <v>3820</v>
      </c>
      <c r="B470" s="78" t="s">
        <v>2235</v>
      </c>
      <c r="C470" s="564" t="s">
        <v>5175</v>
      </c>
      <c r="D470" s="566">
        <v>3658320.0</v>
      </c>
      <c r="E470" s="512" t="s">
        <v>18</v>
      </c>
      <c r="F470" s="512" t="s">
        <v>29</v>
      </c>
      <c r="G470" s="566" t="s">
        <v>294</v>
      </c>
      <c r="H470" s="566">
        <f>IFERROR(VLOOKUP(G470,'Cadastro de assessores'!A:B,2,FALSE),"Não Cadastrado")</f>
        <v>12359</v>
      </c>
      <c r="I470" s="566"/>
      <c r="J470" s="51" t="s">
        <v>3823</v>
      </c>
      <c r="K470" s="522" t="s">
        <v>107</v>
      </c>
      <c r="L470" s="611">
        <v>44704.0</v>
      </c>
      <c r="M470" s="611">
        <v>44704.0</v>
      </c>
      <c r="N470" s="522"/>
      <c r="O470" s="522" t="s">
        <v>3836</v>
      </c>
      <c r="P470" s="612">
        <v>0.012</v>
      </c>
      <c r="Q470" s="653" t="s">
        <v>4410</v>
      </c>
      <c r="R470" s="613"/>
      <c r="S470" s="522"/>
      <c r="T470" s="522" t="s">
        <v>108</v>
      </c>
      <c r="U470" s="522" t="s">
        <v>2591</v>
      </c>
      <c r="V470" s="522" t="s">
        <v>29</v>
      </c>
      <c r="W470" s="614"/>
      <c r="X470" s="614"/>
      <c r="Y470" s="614"/>
      <c r="Z470" s="614"/>
      <c r="AA470" s="614"/>
      <c r="AB470" s="614"/>
      <c r="AC470" s="614"/>
      <c r="AD470" s="614"/>
      <c r="AE470" s="614"/>
      <c r="AF470" s="614"/>
      <c r="AG470" s="614"/>
      <c r="AH470" s="614"/>
      <c r="AI470" s="614"/>
      <c r="AJ470" s="614"/>
      <c r="AK470" s="450"/>
      <c r="AL470" s="450"/>
      <c r="AM470" s="450"/>
      <c r="AN470" s="450"/>
      <c r="AO470" s="450"/>
      <c r="AP470" s="450"/>
      <c r="AQ470" s="450"/>
      <c r="AR470" s="450"/>
      <c r="AS470" s="450"/>
      <c r="AT470" s="450"/>
      <c r="AU470" s="450"/>
      <c r="AV470" s="450"/>
      <c r="AW470" s="450"/>
      <c r="AX470" s="450"/>
      <c r="AY470" s="450"/>
      <c r="AZ470" s="450"/>
      <c r="BA470" s="450"/>
      <c r="BB470" s="450"/>
      <c r="BC470" s="450"/>
      <c r="BD470" s="450">
        <v>57246.89</v>
      </c>
      <c r="BE470" s="450">
        <v>57118.23</v>
      </c>
      <c r="BF470" s="450">
        <v>57774.79</v>
      </c>
      <c r="BG470" s="450">
        <v>58928.37616</v>
      </c>
      <c r="BH470" s="450">
        <v>59060.06</v>
      </c>
      <c r="BI470" s="450">
        <v>59493.31</v>
      </c>
      <c r="BJ470" s="450">
        <v>60189.18</v>
      </c>
      <c r="BK470" s="450">
        <v>60922.8</v>
      </c>
      <c r="BL470" s="450">
        <v>61754.98</v>
      </c>
      <c r="BM470" s="450">
        <v>49787.62</v>
      </c>
      <c r="BN470" s="450">
        <v>1.17</v>
      </c>
      <c r="BO470" s="450">
        <v>1.17</v>
      </c>
      <c r="BP470" s="450">
        <v>1.17</v>
      </c>
      <c r="BQ470" s="450">
        <v>1.17</v>
      </c>
      <c r="BR470" s="450">
        <v>1.17</v>
      </c>
      <c r="BS470" s="615">
        <f t="array" ref="BS470">XLOOKUP(D470,'PL TOTAL XP'!A:A,'PL TOTAL XP'!C:C,"0")</f>
        <v>0</v>
      </c>
      <c r="BT470" s="616"/>
    </row>
    <row r="471" ht="15.75" customHeight="1">
      <c r="A471" s="183" t="s">
        <v>3820</v>
      </c>
      <c r="B471" s="78" t="s">
        <v>2241</v>
      </c>
      <c r="C471" s="617" t="s">
        <v>2239</v>
      </c>
      <c r="D471" s="522">
        <v>4559307.0</v>
      </c>
      <c r="E471" s="512" t="s">
        <v>105</v>
      </c>
      <c r="F471" s="512" t="s">
        <v>29</v>
      </c>
      <c r="G471" s="512" t="s">
        <v>3887</v>
      </c>
      <c r="H471" s="512" t="str">
        <f>IFERROR(VLOOKUP(G471,'Cadastro de assessores'!A:B,2,FALSE),"Não Cadastrado")</f>
        <v>1298</v>
      </c>
      <c r="I471" s="512"/>
      <c r="J471" s="51" t="s">
        <v>3823</v>
      </c>
      <c r="K471" s="522" t="s">
        <v>107</v>
      </c>
      <c r="L471" s="611">
        <v>44151.0</v>
      </c>
      <c r="M471" s="611">
        <v>44151.0</v>
      </c>
      <c r="N471" s="522"/>
      <c r="O471" s="522" t="s">
        <v>3828</v>
      </c>
      <c r="P471" s="612">
        <v>0.015</v>
      </c>
      <c r="Q471" s="620"/>
      <c r="R471" s="613"/>
      <c r="S471" s="522" t="str">
        <f>IF(BC471&lt;=0,"",IF(BC471&lt;=1000000,"Não Qualificado",IF(AND(BC471&gt;1000000,BC471&lt;=10000000),"Qualificado","Profissional")))</f>
        <v>Não Qualificado</v>
      </c>
      <c r="T471" s="522" t="s">
        <v>108</v>
      </c>
      <c r="U471" s="522" t="s">
        <v>2623</v>
      </c>
      <c r="V471" s="522" t="s">
        <v>29</v>
      </c>
      <c r="W471" s="614" t="s">
        <v>3830</v>
      </c>
      <c r="X471" s="614" t="s">
        <v>3830</v>
      </c>
      <c r="Y471" s="614" t="s">
        <v>3830</v>
      </c>
      <c r="Z471" s="614" t="s">
        <v>3830</v>
      </c>
      <c r="AA471" s="614" t="s">
        <v>3830</v>
      </c>
      <c r="AB471" s="614" t="s">
        <v>3830</v>
      </c>
      <c r="AC471" s="614" t="s">
        <v>3830</v>
      </c>
      <c r="AD471" s="614" t="s">
        <v>3830</v>
      </c>
      <c r="AE471" s="614" t="s">
        <v>3830</v>
      </c>
      <c r="AF471" s="614" t="s">
        <v>3830</v>
      </c>
      <c r="AG471" s="614" t="s">
        <v>3830</v>
      </c>
      <c r="AH471" s="614" t="s">
        <v>3830</v>
      </c>
      <c r="AI471" s="614" t="s">
        <v>3830</v>
      </c>
      <c r="AJ471" s="614" t="s">
        <v>5176</v>
      </c>
      <c r="AK471" s="450">
        <v>223748.52</v>
      </c>
      <c r="AL471" s="450">
        <v>219235.47</v>
      </c>
      <c r="AM471" s="450">
        <v>214079.07</v>
      </c>
      <c r="AN471" s="450">
        <v>213908.24</v>
      </c>
      <c r="AO471" s="450">
        <v>219657.25</v>
      </c>
      <c r="AP471" s="450">
        <v>220932.72</v>
      </c>
      <c r="AQ471" s="450">
        <v>220118.75</v>
      </c>
      <c r="AR471" s="450">
        <v>224934.37</v>
      </c>
      <c r="AS471" s="450">
        <v>223127.56</v>
      </c>
      <c r="AT471" s="450">
        <v>218695.75</v>
      </c>
      <c r="AU471" s="450">
        <v>217247.23</v>
      </c>
      <c r="AV471" s="450">
        <v>212859.01</v>
      </c>
      <c r="AW471" s="450">
        <v>205567.66</v>
      </c>
      <c r="AX471" s="450">
        <v>205831.34</v>
      </c>
      <c r="AY471" s="450">
        <v>208800.92</v>
      </c>
      <c r="AZ471" s="450">
        <v>213909.64</v>
      </c>
      <c r="BA471" s="450">
        <v>215464.88</v>
      </c>
      <c r="BB471" s="450">
        <v>223008.41</v>
      </c>
      <c r="BC471" s="450">
        <v>3950.19</v>
      </c>
      <c r="BD471" s="450">
        <v>222385.89</v>
      </c>
      <c r="BE471" s="450">
        <v>221445.0</v>
      </c>
      <c r="BF471" s="450">
        <v>224944.06</v>
      </c>
      <c r="BG471" s="450">
        <v>226087.5542</v>
      </c>
      <c r="BH471" s="450">
        <v>226842.58</v>
      </c>
      <c r="BI471" s="450">
        <v>234094.25</v>
      </c>
      <c r="BJ471" s="450">
        <v>233445.18</v>
      </c>
      <c r="BK471" s="450">
        <v>234987.56</v>
      </c>
      <c r="BL471" s="450">
        <v>237773.64</v>
      </c>
      <c r="BM471" s="450">
        <v>239314.08</v>
      </c>
      <c r="BN471" s="450">
        <v>0.49</v>
      </c>
      <c r="BO471" s="450">
        <v>0.0</v>
      </c>
      <c r="BP471" s="450">
        <v>0.0</v>
      </c>
      <c r="BQ471" s="450">
        <v>0.0</v>
      </c>
      <c r="BR471" s="450">
        <v>0.0</v>
      </c>
      <c r="BS471" s="615">
        <f t="array" ref="BS471">XLOOKUP(D471,'PL TOTAL XP'!A:A,'PL TOTAL XP'!C:C,"0")</f>
        <v>0</v>
      </c>
      <c r="BT471" s="616"/>
    </row>
    <row r="472" ht="15.75" customHeight="1">
      <c r="A472" s="183" t="s">
        <v>3820</v>
      </c>
      <c r="B472" s="78" t="s">
        <v>2252</v>
      </c>
      <c r="C472" s="564" t="s">
        <v>2249</v>
      </c>
      <c r="D472" s="566">
        <v>3677198.0</v>
      </c>
      <c r="E472" s="512" t="s">
        <v>18</v>
      </c>
      <c r="F472" s="512" t="s">
        <v>19</v>
      </c>
      <c r="G472" s="512" t="s">
        <v>20</v>
      </c>
      <c r="H472" s="512">
        <f>IFERROR(VLOOKUP(G472,'Cadastro de assessores'!A:B,2,FALSE),"Não Cadastrado")</f>
        <v>12331</v>
      </c>
      <c r="I472" s="512"/>
      <c r="J472" s="51" t="s">
        <v>3823</v>
      </c>
      <c r="K472" s="522" t="s">
        <v>107</v>
      </c>
      <c r="L472" s="611">
        <v>44784.0</v>
      </c>
      <c r="M472" s="611">
        <v>44784.0</v>
      </c>
      <c r="N472" s="522"/>
      <c r="O472" s="522" t="s">
        <v>3836</v>
      </c>
      <c r="P472" s="612">
        <v>0.012</v>
      </c>
      <c r="Q472" s="620" t="s">
        <v>5177</v>
      </c>
      <c r="R472" s="613"/>
      <c r="S472" s="522"/>
      <c r="T472" s="522"/>
      <c r="U472" s="522"/>
      <c r="V472" s="522" t="s">
        <v>34</v>
      </c>
      <c r="W472" s="614"/>
      <c r="X472" s="614"/>
      <c r="Y472" s="614"/>
      <c r="Z472" s="614"/>
      <c r="AA472" s="614"/>
      <c r="AB472" s="614"/>
      <c r="AC472" s="614"/>
      <c r="AD472" s="614"/>
      <c r="AE472" s="614"/>
      <c r="AF472" s="614"/>
      <c r="AG472" s="614"/>
      <c r="AH472" s="614"/>
      <c r="AI472" s="614"/>
      <c r="AJ472" s="614"/>
      <c r="AK472" s="450"/>
      <c r="AL472" s="450"/>
      <c r="AM472" s="450"/>
      <c r="AN472" s="450"/>
      <c r="AO472" s="450"/>
      <c r="AP472" s="450"/>
      <c r="AQ472" s="450"/>
      <c r="AR472" s="450"/>
      <c r="AS472" s="450"/>
      <c r="AT472" s="450"/>
      <c r="AU472" s="450"/>
      <c r="AV472" s="450"/>
      <c r="AW472" s="450"/>
      <c r="AX472" s="450"/>
      <c r="AY472" s="450"/>
      <c r="AZ472" s="450"/>
      <c r="BA472" s="450"/>
      <c r="BB472" s="450"/>
      <c r="BC472" s="450"/>
      <c r="BD472" s="450"/>
      <c r="BE472" s="450"/>
      <c r="BF472" s="450"/>
      <c r="BG472" s="450">
        <v>553622.9585</v>
      </c>
      <c r="BH472" s="450">
        <v>556438.84</v>
      </c>
      <c r="BI472" s="450">
        <v>610019.69</v>
      </c>
      <c r="BJ472" s="450">
        <v>613027.59</v>
      </c>
      <c r="BK472" s="450">
        <v>617093.05</v>
      </c>
      <c r="BL472" s="450">
        <v>622124.51</v>
      </c>
      <c r="BM472" s="450">
        <v>674489.12</v>
      </c>
      <c r="BN472" s="450">
        <v>678119.8</v>
      </c>
      <c r="BO472" s="450">
        <v>685546.58</v>
      </c>
      <c r="BP472" s="450">
        <v>0.0</v>
      </c>
      <c r="BQ472" s="450">
        <v>0.0</v>
      </c>
      <c r="BR472" s="450">
        <v>0.0</v>
      </c>
      <c r="BS472" s="615" t="str">
        <f t="array" ref="BS472">XLOOKUP(D472,'PL TOTAL XP'!A:A,'PL TOTAL XP'!C:C,"0")</f>
        <v>0</v>
      </c>
      <c r="BT472" s="616"/>
    </row>
    <row r="473" ht="15.75" customHeight="1">
      <c r="A473" s="183" t="s">
        <v>3820</v>
      </c>
      <c r="B473" s="78" t="s">
        <v>5178</v>
      </c>
      <c r="C473" s="617" t="s">
        <v>5179</v>
      </c>
      <c r="D473" s="522">
        <v>2645505.0</v>
      </c>
      <c r="E473" s="522" t="s">
        <v>2550</v>
      </c>
      <c r="F473" s="522" t="s">
        <v>29</v>
      </c>
      <c r="G473" s="522" t="s">
        <v>2550</v>
      </c>
      <c r="H473" s="522" t="str">
        <f>IFERROR(VLOOKUP(G473,'Cadastro de assessores'!A:B,2,FALSE),"Não Cadastrado")</f>
        <v>18986</v>
      </c>
      <c r="I473" s="522"/>
      <c r="J473" s="51" t="s">
        <v>186</v>
      </c>
      <c r="K473" s="522" t="s">
        <v>2563</v>
      </c>
      <c r="L473" s="619">
        <v>43684.0</v>
      </c>
      <c r="M473" s="619">
        <v>43684.0</v>
      </c>
      <c r="N473" s="619">
        <v>43924.0</v>
      </c>
      <c r="O473" s="522" t="s">
        <v>3828</v>
      </c>
      <c r="P473" s="612">
        <v>0.01</v>
      </c>
      <c r="Q473" s="620" t="s">
        <v>5180</v>
      </c>
      <c r="R473" s="613"/>
      <c r="S473" s="522" t="str">
        <f>IF(BC473&lt;=0,"",IF(BC473&lt;=1000000,"Não Qualificado",IF(AND(BC473&gt;1000000,BC473&lt;=10000000),"Qualificado","Profissional")))</f>
        <v>Não Qualificado</v>
      </c>
      <c r="T473" s="522" t="s">
        <v>108</v>
      </c>
      <c r="U473" s="522" t="s">
        <v>2602</v>
      </c>
      <c r="V473" s="522" t="s">
        <v>29</v>
      </c>
      <c r="W473" s="614" t="s">
        <v>5181</v>
      </c>
      <c r="X473" s="614"/>
      <c r="Y473" s="614" t="s">
        <v>5182</v>
      </c>
      <c r="Z473" s="614" t="s">
        <v>5183</v>
      </c>
      <c r="AA473" s="614" t="s">
        <v>5184</v>
      </c>
      <c r="AB473" s="614" t="s">
        <v>5185</v>
      </c>
      <c r="AC473" s="614" t="s">
        <v>3830</v>
      </c>
      <c r="AD473" s="614" t="s">
        <v>3830</v>
      </c>
      <c r="AE473" s="614" t="s">
        <v>3830</v>
      </c>
      <c r="AF473" s="614" t="s">
        <v>3830</v>
      </c>
      <c r="AG473" s="614" t="s">
        <v>3830</v>
      </c>
      <c r="AH473" s="614"/>
      <c r="AI473" s="614" t="s">
        <v>3830</v>
      </c>
      <c r="AJ473" s="614"/>
      <c r="AK473" s="450"/>
      <c r="AL473" s="450"/>
      <c r="AM473" s="450" t="s">
        <v>2600</v>
      </c>
      <c r="AN473" s="450"/>
      <c r="AO473" s="450"/>
      <c r="AP473" s="450"/>
      <c r="AQ473" s="450"/>
      <c r="AR473" s="450"/>
      <c r="AS473" s="450"/>
      <c r="AT473" s="450"/>
      <c r="AU473" s="450"/>
      <c r="AV473" s="450"/>
      <c r="AW473" s="450"/>
      <c r="AX473" s="450"/>
      <c r="AY473" s="450"/>
      <c r="AZ473" s="450"/>
      <c r="BA473" s="450">
        <v>0.0</v>
      </c>
      <c r="BB473" s="450">
        <v>0.0</v>
      </c>
      <c r="BC473" s="450">
        <v>992871.73</v>
      </c>
      <c r="BD473" s="450" t="s">
        <v>2566</v>
      </c>
      <c r="BE473" s="450" t="s">
        <v>2566</v>
      </c>
      <c r="BF473" s="450">
        <v>0.0</v>
      </c>
      <c r="BG473" s="450">
        <v>0.0</v>
      </c>
      <c r="BH473" s="450">
        <v>0.0</v>
      </c>
      <c r="BI473" s="450">
        <v>0.0</v>
      </c>
      <c r="BJ473" s="450">
        <v>0.0</v>
      </c>
      <c r="BK473" s="450">
        <v>0.0</v>
      </c>
      <c r="BL473" s="450">
        <v>0.0</v>
      </c>
      <c r="BM473" s="450">
        <v>0.0</v>
      </c>
      <c r="BN473" s="450">
        <v>0.0</v>
      </c>
      <c r="BO473" s="450">
        <v>0.0</v>
      </c>
      <c r="BP473" s="450">
        <v>0.0</v>
      </c>
      <c r="BQ473" s="450">
        <v>0.0</v>
      </c>
      <c r="BR473" s="450">
        <v>0.0</v>
      </c>
      <c r="BS473" s="615" t="str">
        <f t="array" ref="BS473">XLOOKUP(D473,'PL TOTAL XP'!A:A,'PL TOTAL XP'!C:C,"0")</f>
        <v>0</v>
      </c>
      <c r="BT473" s="616"/>
    </row>
    <row r="474" ht="15.75" customHeight="1">
      <c r="A474" s="183" t="s">
        <v>3820</v>
      </c>
      <c r="B474" s="78" t="s">
        <v>5186</v>
      </c>
      <c r="C474" s="617" t="s">
        <v>5187</v>
      </c>
      <c r="D474" s="522">
        <v>2289902.0</v>
      </c>
      <c r="E474" s="522" t="s">
        <v>18</v>
      </c>
      <c r="F474" s="522" t="s">
        <v>19</v>
      </c>
      <c r="G474" s="522" t="s">
        <v>122</v>
      </c>
      <c r="H474" s="522">
        <v>18890.0</v>
      </c>
      <c r="I474" s="522"/>
      <c r="J474" s="51" t="s">
        <v>3823</v>
      </c>
      <c r="K474" s="522" t="s">
        <v>147</v>
      </c>
      <c r="L474" s="522" t="s">
        <v>2600</v>
      </c>
      <c r="M474" s="619"/>
      <c r="N474" s="619"/>
      <c r="O474" s="522" t="s">
        <v>3836</v>
      </c>
      <c r="P474" s="612">
        <v>0.012</v>
      </c>
      <c r="Q474" s="620" t="s">
        <v>5188</v>
      </c>
      <c r="R474" s="613"/>
      <c r="S474" s="522"/>
      <c r="T474" s="522" t="s">
        <v>108</v>
      </c>
      <c r="U474" s="522" t="s">
        <v>5189</v>
      </c>
      <c r="V474" s="522" t="s">
        <v>5190</v>
      </c>
      <c r="W474" s="614"/>
      <c r="X474" s="614"/>
      <c r="Y474" s="614"/>
      <c r="Z474" s="614"/>
      <c r="AA474" s="614"/>
      <c r="AB474" s="614"/>
      <c r="AC474" s="614"/>
      <c r="AD474" s="614"/>
      <c r="AE474" s="614"/>
      <c r="AF474" s="614"/>
      <c r="AG474" s="614"/>
      <c r="AH474" s="614"/>
      <c r="AI474" s="614"/>
      <c r="AJ474" s="614"/>
      <c r="AK474" s="450"/>
      <c r="AL474" s="450"/>
      <c r="AM474" s="450"/>
      <c r="AN474" s="450"/>
      <c r="AO474" s="450"/>
      <c r="AP474" s="450"/>
      <c r="AQ474" s="450"/>
      <c r="AR474" s="450"/>
      <c r="AS474" s="450"/>
      <c r="AT474" s="450"/>
      <c r="AU474" s="450"/>
      <c r="AV474" s="450"/>
      <c r="AW474" s="450"/>
      <c r="AX474" s="450"/>
      <c r="AY474" s="450"/>
      <c r="AZ474" s="450"/>
      <c r="BA474" s="450"/>
      <c r="BB474" s="450"/>
      <c r="BC474" s="450"/>
      <c r="BD474" s="450" t="s">
        <v>2566</v>
      </c>
      <c r="BE474" s="450" t="s">
        <v>2566</v>
      </c>
      <c r="BF474" s="450">
        <v>0.0</v>
      </c>
      <c r="BG474" s="450">
        <v>0.0</v>
      </c>
      <c r="BH474" s="450">
        <v>0.0</v>
      </c>
      <c r="BI474" s="450">
        <v>0.0</v>
      </c>
      <c r="BJ474" s="450">
        <v>0.0</v>
      </c>
      <c r="BK474" s="450">
        <v>0.0</v>
      </c>
      <c r="BL474" s="450">
        <v>0.0</v>
      </c>
      <c r="BM474" s="450">
        <v>0.0</v>
      </c>
      <c r="BN474" s="450">
        <v>0.0</v>
      </c>
      <c r="BO474" s="450">
        <v>0.0</v>
      </c>
      <c r="BP474" s="450">
        <v>0.0</v>
      </c>
      <c r="BQ474" s="450">
        <v>0.0</v>
      </c>
      <c r="BR474" s="450">
        <v>0.0</v>
      </c>
      <c r="BS474" s="615">
        <f t="array" ref="BS474">XLOOKUP(D474,'PL TOTAL XP'!A:A,'PL TOTAL XP'!C:C,"0")</f>
        <v>0</v>
      </c>
      <c r="BT474" s="616"/>
    </row>
    <row r="475" ht="15.75" customHeight="1">
      <c r="A475" s="183" t="s">
        <v>3820</v>
      </c>
      <c r="B475" s="78" t="s">
        <v>5191</v>
      </c>
      <c r="C475" s="617" t="s">
        <v>5192</v>
      </c>
      <c r="D475" s="522">
        <v>4837403.0</v>
      </c>
      <c r="E475" s="522" t="s">
        <v>105</v>
      </c>
      <c r="F475" s="522" t="s">
        <v>29</v>
      </c>
      <c r="G475" s="522" t="s">
        <v>4075</v>
      </c>
      <c r="H475" s="522" t="str">
        <f>IFERROR(VLOOKUP(G475,'Cadastro de assessores'!A:B,2,FALSE),"Não Cadastrado")</f>
        <v>19634</v>
      </c>
      <c r="I475" s="522"/>
      <c r="J475" s="51" t="s">
        <v>186</v>
      </c>
      <c r="K475" s="522" t="s">
        <v>2563</v>
      </c>
      <c r="L475" s="619">
        <v>44250.0</v>
      </c>
      <c r="M475" s="619">
        <v>44250.0</v>
      </c>
      <c r="N475" s="567">
        <v>44452.0</v>
      </c>
      <c r="O475" s="566" t="s">
        <v>3869</v>
      </c>
      <c r="P475" s="612">
        <v>0.008</v>
      </c>
      <c r="Q475" s="620" t="s">
        <v>5110</v>
      </c>
      <c r="R475" s="613"/>
      <c r="S475" s="522" t="str">
        <f t="shared" ref="S475:S478" si="51">IF(BC475&lt;=0,"",IF(BC475&lt;=1000000,"Não Qualificado",IF(AND(BC475&gt;1000000,BC475&lt;=10000000),"Qualificado","Profissional")))</f>
        <v>Não Qualificado</v>
      </c>
      <c r="T475" s="522" t="s">
        <v>108</v>
      </c>
      <c r="U475" s="522" t="s">
        <v>2602</v>
      </c>
      <c r="V475" s="522" t="s">
        <v>29</v>
      </c>
      <c r="W475" s="614"/>
      <c r="X475" s="614"/>
      <c r="Y475" s="614"/>
      <c r="Z475" s="614"/>
      <c r="AA475" s="614"/>
      <c r="AB475" s="614"/>
      <c r="AC475" s="614"/>
      <c r="AD475" s="614"/>
      <c r="AE475" s="614"/>
      <c r="AF475" s="614"/>
      <c r="AG475" s="614"/>
      <c r="AH475" s="614"/>
      <c r="AI475" s="614"/>
      <c r="AJ475" s="614"/>
      <c r="AK475" s="450"/>
      <c r="AL475" s="450"/>
      <c r="AM475" s="450">
        <v>299375.63</v>
      </c>
      <c r="AN475" s="450">
        <v>288384.21</v>
      </c>
      <c r="AO475" s="450">
        <v>285839.12</v>
      </c>
      <c r="AP475" s="450">
        <v>283810.78</v>
      </c>
      <c r="AQ475" s="450">
        <v>285038.08</v>
      </c>
      <c r="AR475" s="450">
        <v>280239.09</v>
      </c>
      <c r="AS475" s="450">
        <v>276722.03</v>
      </c>
      <c r="AT475" s="450">
        <v>282533.32</v>
      </c>
      <c r="AU475" s="450">
        <v>273945.45</v>
      </c>
      <c r="AV475" s="450"/>
      <c r="AW475" s="450"/>
      <c r="AX475" s="450"/>
      <c r="AY475" s="450"/>
      <c r="AZ475" s="450"/>
      <c r="BA475" s="450">
        <v>0.0</v>
      </c>
      <c r="BB475" s="450">
        <v>0.0</v>
      </c>
      <c r="BC475" s="450">
        <v>78222.37</v>
      </c>
      <c r="BD475" s="450" t="s">
        <v>2566</v>
      </c>
      <c r="BE475" s="450" t="s">
        <v>2566</v>
      </c>
      <c r="BF475" s="450">
        <v>0.0</v>
      </c>
      <c r="BG475" s="450">
        <v>0.0</v>
      </c>
      <c r="BH475" s="450">
        <v>0.0</v>
      </c>
      <c r="BI475" s="450">
        <v>0.0</v>
      </c>
      <c r="BJ475" s="450">
        <v>0.0</v>
      </c>
      <c r="BK475" s="450">
        <v>0.0</v>
      </c>
      <c r="BL475" s="450">
        <v>0.0</v>
      </c>
      <c r="BM475" s="450">
        <v>0.0</v>
      </c>
      <c r="BN475" s="450">
        <v>0.0</v>
      </c>
      <c r="BO475" s="450">
        <v>0.0</v>
      </c>
      <c r="BP475" s="450">
        <v>0.0</v>
      </c>
      <c r="BQ475" s="450">
        <v>0.0</v>
      </c>
      <c r="BR475" s="450">
        <v>0.0</v>
      </c>
      <c r="BS475" s="615" t="str">
        <f t="array" ref="BS475">XLOOKUP(D475,'PL TOTAL XP'!A:A,'PL TOTAL XP'!C:C,"0")</f>
        <v>0</v>
      </c>
      <c r="BT475" s="616"/>
    </row>
    <row r="476" ht="15.75" customHeight="1">
      <c r="A476" s="183" t="s">
        <v>3820</v>
      </c>
      <c r="B476" s="78" t="s">
        <v>2255</v>
      </c>
      <c r="C476" s="617" t="s">
        <v>2253</v>
      </c>
      <c r="D476" s="522">
        <v>4903270.0</v>
      </c>
      <c r="E476" s="512" t="s">
        <v>105</v>
      </c>
      <c r="F476" s="512" t="s">
        <v>29</v>
      </c>
      <c r="G476" s="512" t="s">
        <v>168</v>
      </c>
      <c r="H476" s="512">
        <f>IFERROR(VLOOKUP(G476,'Cadastro de assessores'!A:B,2,FALSE),"Não Cadastrado")</f>
        <v>12344</v>
      </c>
      <c r="I476" s="512"/>
      <c r="J476" s="51" t="s">
        <v>3823</v>
      </c>
      <c r="K476" s="512" t="s">
        <v>107</v>
      </c>
      <c r="L476" s="610">
        <v>44257.0</v>
      </c>
      <c r="M476" s="610">
        <v>44257.0</v>
      </c>
      <c r="N476" s="566"/>
      <c r="O476" s="566" t="s">
        <v>3824</v>
      </c>
      <c r="P476" s="612">
        <v>0.02</v>
      </c>
      <c r="Q476" s="620" t="s">
        <v>5193</v>
      </c>
      <c r="R476" s="613"/>
      <c r="S476" s="522" t="str">
        <f t="shared" si="51"/>
        <v>Não Qualificado</v>
      </c>
      <c r="T476" s="522" t="s">
        <v>108</v>
      </c>
      <c r="U476" s="522" t="s">
        <v>2942</v>
      </c>
      <c r="V476" s="522" t="s">
        <v>29</v>
      </c>
      <c r="W476" s="614"/>
      <c r="X476" s="614"/>
      <c r="Y476" s="614"/>
      <c r="Z476" s="614"/>
      <c r="AA476" s="614"/>
      <c r="AB476" s="614"/>
      <c r="AC476" s="614"/>
      <c r="AD476" s="614"/>
      <c r="AE476" s="614"/>
      <c r="AF476" s="614"/>
      <c r="AG476" s="614"/>
      <c r="AH476" s="614"/>
      <c r="AI476" s="614"/>
      <c r="AJ476" s="614"/>
      <c r="AK476" s="450"/>
      <c r="AL476" s="450"/>
      <c r="AM476" s="450">
        <v>121026.33</v>
      </c>
      <c r="AN476" s="450">
        <v>141838.74</v>
      </c>
      <c r="AO476" s="450">
        <v>157917.37</v>
      </c>
      <c r="AP476" s="450">
        <v>159063.29</v>
      </c>
      <c r="AQ476" s="450">
        <v>158280.05</v>
      </c>
      <c r="AR476" s="450">
        <v>162816.18</v>
      </c>
      <c r="AS476" s="450">
        <v>160971.72</v>
      </c>
      <c r="AT476" s="450">
        <v>155739.38</v>
      </c>
      <c r="AU476" s="450">
        <v>153845.85</v>
      </c>
      <c r="AV476" s="450">
        <v>150549.3</v>
      </c>
      <c r="AW476" s="450">
        <v>142155.43</v>
      </c>
      <c r="AX476" s="450">
        <v>141656.72</v>
      </c>
      <c r="AY476" s="450">
        <v>143518.34</v>
      </c>
      <c r="AZ476" s="450">
        <v>148606.1</v>
      </c>
      <c r="BA476" s="450">
        <v>150292.78</v>
      </c>
      <c r="BB476" s="450">
        <v>156423.74</v>
      </c>
      <c r="BC476" s="450">
        <v>0.06</v>
      </c>
      <c r="BD476" s="450">
        <v>154525.25</v>
      </c>
      <c r="BE476" s="450">
        <v>151719.42</v>
      </c>
      <c r="BF476" s="450">
        <v>155704.36</v>
      </c>
      <c r="BG476" s="450">
        <v>226222.1025</v>
      </c>
      <c r="BH476" s="450">
        <v>225638.9</v>
      </c>
      <c r="BI476" s="450">
        <v>236144.44</v>
      </c>
      <c r="BJ476" s="450">
        <v>236906.99</v>
      </c>
      <c r="BK476" s="450">
        <v>243470.39</v>
      </c>
      <c r="BL476" s="450">
        <v>242277.13</v>
      </c>
      <c r="BM476" s="450">
        <v>240398.38</v>
      </c>
      <c r="BN476" s="450">
        <v>240233.6</v>
      </c>
      <c r="BO476" s="450">
        <v>0.0</v>
      </c>
      <c r="BP476" s="450">
        <v>0.0</v>
      </c>
      <c r="BQ476" s="450">
        <v>0.0</v>
      </c>
      <c r="BR476" s="450">
        <v>0.0</v>
      </c>
      <c r="BS476" s="615">
        <f t="array" ref="BS476">XLOOKUP(D476,'PL TOTAL XP'!A:A,'PL TOTAL XP'!C:C,"0")</f>
        <v>0</v>
      </c>
      <c r="BT476" s="616"/>
    </row>
    <row r="477" ht="15.75" customHeight="1">
      <c r="A477" s="183" t="s">
        <v>3820</v>
      </c>
      <c r="B477" s="78" t="s">
        <v>72</v>
      </c>
      <c r="C477" s="617" t="s">
        <v>5194</v>
      </c>
      <c r="D477" s="522">
        <v>2405046.0</v>
      </c>
      <c r="E477" s="522" t="s">
        <v>18</v>
      </c>
      <c r="F477" s="522" t="s">
        <v>29</v>
      </c>
      <c r="G477" s="522" t="s">
        <v>5195</v>
      </c>
      <c r="H477" s="522" t="str">
        <f>IFERROR(VLOOKUP(G477,'Cadastro de assessores'!A:B,2,FALSE),"Não Cadastrado")</f>
        <v>14320</v>
      </c>
      <c r="I477" s="522"/>
      <c r="J477" s="51" t="s">
        <v>186</v>
      </c>
      <c r="K477" s="522" t="s">
        <v>2563</v>
      </c>
      <c r="L477" s="619">
        <v>43777.0</v>
      </c>
      <c r="M477" s="619">
        <v>43777.0</v>
      </c>
      <c r="N477" s="679">
        <v>44105.0</v>
      </c>
      <c r="O477" s="522" t="s">
        <v>4620</v>
      </c>
      <c r="P477" s="612">
        <v>0.02</v>
      </c>
      <c r="Q477" s="620" t="s">
        <v>5196</v>
      </c>
      <c r="R477" s="613"/>
      <c r="S477" s="522" t="str">
        <f t="shared" si="51"/>
        <v/>
      </c>
      <c r="T477" s="522" t="s">
        <v>108</v>
      </c>
      <c r="U477" s="522" t="s">
        <v>3487</v>
      </c>
      <c r="V477" s="522" t="s">
        <v>29</v>
      </c>
      <c r="W477" s="614" t="s">
        <v>5197</v>
      </c>
      <c r="X477" s="614"/>
      <c r="Y477" s="614" t="s">
        <v>5198</v>
      </c>
      <c r="Z477" s="614" t="s">
        <v>5199</v>
      </c>
      <c r="AA477" s="614" t="s">
        <v>5200</v>
      </c>
      <c r="AB477" s="614" t="s">
        <v>5201</v>
      </c>
      <c r="AC477" s="614" t="s">
        <v>5202</v>
      </c>
      <c r="AD477" s="614" t="s">
        <v>5203</v>
      </c>
      <c r="AE477" s="614" t="s">
        <v>5204</v>
      </c>
      <c r="AF477" s="614" t="s">
        <v>5205</v>
      </c>
      <c r="AG477" s="614" t="s">
        <v>5206</v>
      </c>
      <c r="AH477" s="614" t="s">
        <v>5207</v>
      </c>
      <c r="AI477" s="614" t="s">
        <v>5208</v>
      </c>
      <c r="AJ477" s="614"/>
      <c r="AK477" s="450"/>
      <c r="AL477" s="450"/>
      <c r="AM477" s="450" t="s">
        <v>2600</v>
      </c>
      <c r="AN477" s="450"/>
      <c r="AO477" s="450"/>
      <c r="AP477" s="450"/>
      <c r="AQ477" s="450"/>
      <c r="AR477" s="450"/>
      <c r="AS477" s="450"/>
      <c r="AT477" s="450"/>
      <c r="AU477" s="450"/>
      <c r="AV477" s="450"/>
      <c r="AW477" s="450"/>
      <c r="AX477" s="450"/>
      <c r="AY477" s="450"/>
      <c r="AZ477" s="450"/>
      <c r="BA477" s="450">
        <v>0.0</v>
      </c>
      <c r="BB477" s="450">
        <v>0.0</v>
      </c>
      <c r="BC477" s="450">
        <v>0.0</v>
      </c>
      <c r="BD477" s="450" t="s">
        <v>2566</v>
      </c>
      <c r="BE477" s="450" t="s">
        <v>2566</v>
      </c>
      <c r="BF477" s="450">
        <v>0.0</v>
      </c>
      <c r="BG477" s="450">
        <v>0.0</v>
      </c>
      <c r="BH477" s="450">
        <v>0.0</v>
      </c>
      <c r="BI477" s="450">
        <v>0.0</v>
      </c>
      <c r="BJ477" s="450">
        <v>0.0</v>
      </c>
      <c r="BK477" s="450">
        <v>0.0</v>
      </c>
      <c r="BL477" s="450">
        <v>0.0</v>
      </c>
      <c r="BM477" s="450">
        <v>0.0</v>
      </c>
      <c r="BN477" s="450">
        <v>0.0</v>
      </c>
      <c r="BO477" s="450">
        <v>0.0</v>
      </c>
      <c r="BP477" s="450">
        <v>0.0</v>
      </c>
      <c r="BQ477" s="450">
        <v>0.0</v>
      </c>
      <c r="BR477" s="450">
        <v>0.0</v>
      </c>
      <c r="BS477" s="615" t="str">
        <f t="array" ref="BS477">XLOOKUP(D477,'PL TOTAL XP'!A:A,'PL TOTAL XP'!C:C,"0")</f>
        <v>0</v>
      </c>
      <c r="BT477" s="616"/>
    </row>
    <row r="478" ht="15.75" customHeight="1">
      <c r="A478" s="183" t="s">
        <v>3820</v>
      </c>
      <c r="B478" s="78" t="s">
        <v>5209</v>
      </c>
      <c r="C478" s="564" t="s">
        <v>5210</v>
      </c>
      <c r="D478" s="566">
        <v>4460007.0</v>
      </c>
      <c r="E478" s="512" t="s">
        <v>18</v>
      </c>
      <c r="F478" s="609" t="s">
        <v>29</v>
      </c>
      <c r="G478" s="609" t="s">
        <v>2931</v>
      </c>
      <c r="H478" s="609" t="str">
        <f>IFERROR(VLOOKUP(G478,'Cadastro de assessores'!A:B,2,FALSE),"Não Cadastrado")</f>
        <v>13444</v>
      </c>
      <c r="I478" s="609"/>
      <c r="J478" s="51" t="s">
        <v>3823</v>
      </c>
      <c r="K478" s="512" t="s">
        <v>107</v>
      </c>
      <c r="L478" s="610">
        <v>44372.0</v>
      </c>
      <c r="M478" s="610">
        <v>44372.0</v>
      </c>
      <c r="N478" s="566"/>
      <c r="O478" s="566" t="s">
        <v>4037</v>
      </c>
      <c r="P478" s="612">
        <v>0.02</v>
      </c>
      <c r="Q478" s="224"/>
      <c r="R478" s="613"/>
      <c r="S478" s="522" t="str">
        <f t="shared" si="51"/>
        <v>Não Qualificado</v>
      </c>
      <c r="T478" s="566" t="s">
        <v>369</v>
      </c>
      <c r="U478" s="566" t="s">
        <v>4038</v>
      </c>
      <c r="V478" s="566" t="s">
        <v>34</v>
      </c>
      <c r="W478" s="468"/>
      <c r="X478" s="468"/>
      <c r="Y478" s="468"/>
      <c r="Z478" s="468"/>
      <c r="AA478" s="468"/>
      <c r="AB478" s="468"/>
      <c r="AC478" s="468"/>
      <c r="AD478" s="468"/>
      <c r="AE478" s="468"/>
      <c r="AF478" s="468"/>
      <c r="AG478" s="468"/>
      <c r="AH478" s="468"/>
      <c r="AI478" s="614"/>
      <c r="AJ478" s="450"/>
      <c r="AK478" s="450"/>
      <c r="AL478" s="450"/>
      <c r="AM478" s="450"/>
      <c r="AN478" s="450"/>
      <c r="AO478" s="450"/>
      <c r="AP478" s="450"/>
      <c r="AQ478" s="450"/>
      <c r="AR478" s="468"/>
      <c r="AS478" s="450">
        <v>143146.69</v>
      </c>
      <c r="AT478" s="450">
        <v>133162.66</v>
      </c>
      <c r="AU478" s="450">
        <v>130657.49</v>
      </c>
      <c r="AV478" s="450">
        <v>121445.81</v>
      </c>
      <c r="AW478" s="450">
        <v>108479.09</v>
      </c>
      <c r="AX478" s="450">
        <v>98580.21</v>
      </c>
      <c r="AY478" s="450">
        <v>102516.1</v>
      </c>
      <c r="AZ478" s="450">
        <v>106373.56</v>
      </c>
      <c r="BA478" s="450">
        <v>109352.98</v>
      </c>
      <c r="BB478" s="450">
        <v>114202.4</v>
      </c>
      <c r="BC478" s="450">
        <v>149117.07</v>
      </c>
      <c r="BD478" s="450">
        <v>108804.74</v>
      </c>
      <c r="BE478" s="450">
        <v>92165.18</v>
      </c>
      <c r="BF478" s="450">
        <v>77295.21</v>
      </c>
      <c r="BG478" s="450">
        <v>82140.04</v>
      </c>
      <c r="BH478" s="450">
        <v>396.17</v>
      </c>
      <c r="BI478" s="450">
        <v>1027.92</v>
      </c>
      <c r="BJ478" s="450">
        <v>1112.42</v>
      </c>
      <c r="BK478" s="450">
        <v>1184.13</v>
      </c>
      <c r="BL478" s="450">
        <v>1108.93</v>
      </c>
      <c r="BM478" s="450">
        <v>1110.78</v>
      </c>
      <c r="BN478" s="450">
        <v>1111.55</v>
      </c>
      <c r="BO478" s="450">
        <v>0.0</v>
      </c>
      <c r="BP478" s="450">
        <v>3.54</v>
      </c>
      <c r="BQ478" s="450">
        <v>3.54</v>
      </c>
      <c r="BR478" s="450">
        <v>3.54</v>
      </c>
      <c r="BS478" s="615">
        <f t="array" ref="BS478">XLOOKUP(D478,'PL TOTAL XP'!A:A,'PL TOTAL XP'!C:C,"0")</f>
        <v>0</v>
      </c>
      <c r="BT478" s="616"/>
    </row>
    <row r="479" ht="15.75" customHeight="1">
      <c r="A479" s="183" t="s">
        <v>3820</v>
      </c>
      <c r="B479" s="78" t="s">
        <v>2261</v>
      </c>
      <c r="C479" s="564" t="s">
        <v>5211</v>
      </c>
      <c r="D479" s="566">
        <v>8419053.0</v>
      </c>
      <c r="E479" s="512" t="s">
        <v>18</v>
      </c>
      <c r="F479" s="512" t="s">
        <v>19</v>
      </c>
      <c r="G479" s="566" t="s">
        <v>213</v>
      </c>
      <c r="H479" s="566" t="str">
        <f>IFERROR(VLOOKUP(G479,'Cadastro de assessores'!A:B,2,FALSE),"Não Cadastrado")</f>
        <v>17831</v>
      </c>
      <c r="I479" s="566"/>
      <c r="J479" s="51" t="s">
        <v>3823</v>
      </c>
      <c r="K479" s="643" t="s">
        <v>147</v>
      </c>
      <c r="L479" s="522" t="s">
        <v>2600</v>
      </c>
      <c r="M479" s="640" t="s">
        <v>4195</v>
      </c>
      <c r="N479" s="566"/>
      <c r="O479" s="566" t="s">
        <v>3836</v>
      </c>
      <c r="P479" s="612">
        <v>0.012</v>
      </c>
      <c r="Q479" s="620"/>
      <c r="R479" s="613"/>
      <c r="S479" s="522"/>
      <c r="T479" s="522" t="s">
        <v>108</v>
      </c>
      <c r="U479" s="522" t="s">
        <v>2652</v>
      </c>
      <c r="V479" s="522" t="s">
        <v>19</v>
      </c>
      <c r="W479" s="614"/>
      <c r="X479" s="614"/>
      <c r="Y479" s="614"/>
      <c r="Z479" s="614"/>
      <c r="AA479" s="614"/>
      <c r="AB479" s="614"/>
      <c r="AC479" s="614"/>
      <c r="AD479" s="614"/>
      <c r="AE479" s="614"/>
      <c r="AF479" s="614"/>
      <c r="AG479" s="614"/>
      <c r="AH479" s="614"/>
      <c r="AI479" s="614"/>
      <c r="AJ479" s="614"/>
      <c r="AK479" s="450"/>
      <c r="AL479" s="450"/>
      <c r="AM479" s="450"/>
      <c r="AN479" s="450"/>
      <c r="AO479" s="450"/>
      <c r="AP479" s="450"/>
      <c r="AQ479" s="450"/>
      <c r="AR479" s="450"/>
      <c r="AS479" s="450"/>
      <c r="AT479" s="450"/>
      <c r="AU479" s="450"/>
      <c r="AV479" s="450"/>
      <c r="AW479" s="450"/>
      <c r="AX479" s="450"/>
      <c r="AY479" s="450"/>
      <c r="AZ479" s="450"/>
      <c r="BA479" s="450"/>
      <c r="BB479" s="450"/>
      <c r="BC479" s="450"/>
      <c r="BD479" s="450" t="s">
        <v>2566</v>
      </c>
      <c r="BE479" s="450" t="s">
        <v>2566</v>
      </c>
      <c r="BF479" s="450">
        <v>0.0</v>
      </c>
      <c r="BG479" s="450">
        <v>0.0</v>
      </c>
      <c r="BH479" s="450">
        <v>0.0</v>
      </c>
      <c r="BI479" s="450">
        <v>0.0</v>
      </c>
      <c r="BJ479" s="450">
        <v>0.0</v>
      </c>
      <c r="BK479" s="450">
        <v>0.0</v>
      </c>
      <c r="BL479" s="450">
        <v>0.0</v>
      </c>
      <c r="BM479" s="450">
        <v>0.0</v>
      </c>
      <c r="BN479" s="450">
        <v>0.0</v>
      </c>
      <c r="BO479" s="450">
        <v>0.0</v>
      </c>
      <c r="BP479" s="450">
        <v>0.0</v>
      </c>
      <c r="BQ479" s="450">
        <v>0.0</v>
      </c>
      <c r="BR479" s="450">
        <v>0.0</v>
      </c>
      <c r="BS479" s="615">
        <f t="array" ref="BS479">XLOOKUP(D479,'PL TOTAL XP'!A:A,'PL TOTAL XP'!C:C,"0")</f>
        <v>0</v>
      </c>
      <c r="BT479" s="616"/>
    </row>
    <row r="480" ht="15.75" customHeight="1">
      <c r="A480" s="183" t="s">
        <v>3820</v>
      </c>
      <c r="B480" s="78" t="s">
        <v>5212</v>
      </c>
      <c r="C480" s="617" t="s">
        <v>5213</v>
      </c>
      <c r="D480" s="566">
        <v>8419053.0</v>
      </c>
      <c r="E480" s="522" t="s">
        <v>18</v>
      </c>
      <c r="F480" s="522" t="s">
        <v>29</v>
      </c>
      <c r="G480" s="522" t="s">
        <v>3827</v>
      </c>
      <c r="H480" s="522" t="str">
        <f>IFERROR(VLOOKUP(G480,'Cadastro de assessores'!A:B,2,FALSE),"Não Cadastrado")</f>
        <v>17679</v>
      </c>
      <c r="I480" s="522"/>
      <c r="J480" s="51" t="s">
        <v>186</v>
      </c>
      <c r="K480" s="522" t="s">
        <v>2563</v>
      </c>
      <c r="L480" s="619">
        <v>44272.0</v>
      </c>
      <c r="M480" s="619">
        <v>44272.0</v>
      </c>
      <c r="N480" s="618">
        <v>44498.0</v>
      </c>
      <c r="O480" s="522" t="s">
        <v>3836</v>
      </c>
      <c r="P480" s="612">
        <v>0.012</v>
      </c>
      <c r="Q480" s="620" t="s">
        <v>5214</v>
      </c>
      <c r="R480" s="613"/>
      <c r="S480" s="522" t="str">
        <f t="shared" ref="S480:S483" si="52">IF(BC480&lt;=0,"",IF(BC480&lt;=1000000,"Não Qualificado",IF(AND(BC480&gt;1000000,BC480&lt;=10000000),"Qualificado","Profissional")))</f>
        <v/>
      </c>
      <c r="T480" s="522" t="s">
        <v>108</v>
      </c>
      <c r="U480" s="522" t="s">
        <v>2565</v>
      </c>
      <c r="V480" s="522" t="s">
        <v>29</v>
      </c>
      <c r="W480" s="614"/>
      <c r="X480" s="614"/>
      <c r="Y480" s="614"/>
      <c r="Z480" s="614"/>
      <c r="AA480" s="614"/>
      <c r="AB480" s="614"/>
      <c r="AC480" s="614"/>
      <c r="AD480" s="614"/>
      <c r="AE480" s="614"/>
      <c r="AF480" s="614"/>
      <c r="AG480" s="614"/>
      <c r="AH480" s="614"/>
      <c r="AI480" s="614"/>
      <c r="AJ480" s="614"/>
      <c r="AK480" s="450"/>
      <c r="AL480" s="450"/>
      <c r="AM480" s="450"/>
      <c r="AN480" s="450"/>
      <c r="AO480" s="450">
        <v>101186.7</v>
      </c>
      <c r="AP480" s="450">
        <v>101656.54</v>
      </c>
      <c r="AQ480" s="450">
        <v>101439.01</v>
      </c>
      <c r="AR480" s="450">
        <v>152776.16</v>
      </c>
      <c r="AS480" s="450">
        <v>152374.35</v>
      </c>
      <c r="AT480" s="450">
        <v>151104.26</v>
      </c>
      <c r="AU480" s="450">
        <v>150868.78</v>
      </c>
      <c r="AV480" s="450">
        <v>150165.8</v>
      </c>
      <c r="AW480" s="450">
        <v>148083.46</v>
      </c>
      <c r="AX480" s="450"/>
      <c r="AY480" s="450"/>
      <c r="AZ480" s="450"/>
      <c r="BA480" s="450">
        <v>0.0</v>
      </c>
      <c r="BB480" s="450">
        <v>0.0</v>
      </c>
      <c r="BC480" s="450">
        <v>0.0</v>
      </c>
      <c r="BD480" s="450" t="s">
        <v>2566</v>
      </c>
      <c r="BE480" s="450" t="s">
        <v>2566</v>
      </c>
      <c r="BF480" s="450">
        <v>0.0</v>
      </c>
      <c r="BG480" s="450">
        <v>0.0</v>
      </c>
      <c r="BH480" s="450">
        <v>0.0</v>
      </c>
      <c r="BI480" s="450">
        <v>0.0</v>
      </c>
      <c r="BJ480" s="450">
        <v>0.0</v>
      </c>
      <c r="BK480" s="450">
        <v>0.0</v>
      </c>
      <c r="BL480" s="450">
        <v>0.0</v>
      </c>
      <c r="BM480" s="450">
        <v>0.0</v>
      </c>
      <c r="BN480" s="450">
        <v>0.0</v>
      </c>
      <c r="BO480" s="450">
        <v>0.0</v>
      </c>
      <c r="BP480" s="450">
        <v>0.0</v>
      </c>
      <c r="BQ480" s="450">
        <v>0.0</v>
      </c>
      <c r="BR480" s="450">
        <v>0.0</v>
      </c>
      <c r="BS480" s="615">
        <f t="array" ref="BS480">XLOOKUP(D480,'PL TOTAL XP'!A:A,'PL TOTAL XP'!C:C,"0")</f>
        <v>0</v>
      </c>
      <c r="BT480" s="616"/>
    </row>
    <row r="481" ht="15.75" customHeight="1">
      <c r="A481" s="183" t="s">
        <v>3820</v>
      </c>
      <c r="B481" s="78" t="s">
        <v>5212</v>
      </c>
      <c r="C481" s="617" t="s">
        <v>5213</v>
      </c>
      <c r="D481" s="522">
        <v>4951699.0</v>
      </c>
      <c r="E481" s="522" t="s">
        <v>18</v>
      </c>
      <c r="F481" s="522" t="s">
        <v>29</v>
      </c>
      <c r="G481" s="522" t="s">
        <v>5215</v>
      </c>
      <c r="H481" s="522" t="str">
        <f>IFERROR(VLOOKUP(G481,'Cadastro de assessores'!A:B,2,FALSE),"Não Cadastrado")</f>
        <v>12305</v>
      </c>
      <c r="I481" s="522"/>
      <c r="J481" s="51" t="s">
        <v>186</v>
      </c>
      <c r="K481" s="522" t="s">
        <v>2563</v>
      </c>
      <c r="L481" s="619">
        <v>44271.0</v>
      </c>
      <c r="M481" s="619">
        <v>44271.0</v>
      </c>
      <c r="N481" s="618">
        <v>44498.0</v>
      </c>
      <c r="O481" s="566" t="s">
        <v>3869</v>
      </c>
      <c r="P481" s="612">
        <v>0.008</v>
      </c>
      <c r="Q481" s="620" t="s">
        <v>5214</v>
      </c>
      <c r="R481" s="613"/>
      <c r="S481" s="522" t="str">
        <f t="shared" si="52"/>
        <v>Qualificado</v>
      </c>
      <c r="T481" s="522" t="s">
        <v>108</v>
      </c>
      <c r="U481" s="522" t="s">
        <v>2565</v>
      </c>
      <c r="V481" s="522" t="s">
        <v>29</v>
      </c>
      <c r="W481" s="614"/>
      <c r="X481" s="614"/>
      <c r="Y481" s="614"/>
      <c r="Z481" s="614"/>
      <c r="AA481" s="614"/>
      <c r="AB481" s="614"/>
      <c r="AC481" s="614"/>
      <c r="AD481" s="614"/>
      <c r="AE481" s="614"/>
      <c r="AF481" s="614"/>
      <c r="AG481" s="614"/>
      <c r="AH481" s="614"/>
      <c r="AI481" s="614"/>
      <c r="AJ481" s="614"/>
      <c r="AK481" s="450"/>
      <c r="AL481" s="450"/>
      <c r="AM481" s="450"/>
      <c r="AN481" s="450"/>
      <c r="AO481" s="450">
        <v>99945.93</v>
      </c>
      <c r="AP481" s="450">
        <v>100041.61</v>
      </c>
      <c r="AQ481" s="450">
        <v>100524.52</v>
      </c>
      <c r="AR481" s="450"/>
      <c r="AS481" s="450">
        <v>146549.27</v>
      </c>
      <c r="AT481" s="450">
        <v>149754.46</v>
      </c>
      <c r="AU481" s="450">
        <v>145202.0</v>
      </c>
      <c r="AV481" s="450">
        <v>143805.9</v>
      </c>
      <c r="AW481" s="450">
        <v>142207.21</v>
      </c>
      <c r="AX481" s="450"/>
      <c r="AY481" s="450"/>
      <c r="AZ481" s="450"/>
      <c r="BA481" s="450">
        <v>0.0</v>
      </c>
      <c r="BB481" s="450">
        <v>0.0</v>
      </c>
      <c r="BC481" s="450">
        <v>1216531.43</v>
      </c>
      <c r="BD481" s="450" t="s">
        <v>2566</v>
      </c>
      <c r="BE481" s="450" t="s">
        <v>2566</v>
      </c>
      <c r="BF481" s="450">
        <v>0.0</v>
      </c>
      <c r="BG481" s="450">
        <v>0.0</v>
      </c>
      <c r="BH481" s="450">
        <v>0.0</v>
      </c>
      <c r="BI481" s="450">
        <v>0.0</v>
      </c>
      <c r="BJ481" s="450">
        <v>0.0</v>
      </c>
      <c r="BK481" s="450">
        <v>0.0</v>
      </c>
      <c r="BL481" s="450">
        <v>0.0</v>
      </c>
      <c r="BM481" s="450">
        <v>0.0</v>
      </c>
      <c r="BN481" s="450">
        <v>0.0</v>
      </c>
      <c r="BO481" s="450">
        <v>0.0</v>
      </c>
      <c r="BP481" s="450">
        <v>0.0</v>
      </c>
      <c r="BQ481" s="450">
        <v>0.0</v>
      </c>
      <c r="BR481" s="450">
        <v>0.0</v>
      </c>
      <c r="BS481" s="615" t="str">
        <f t="array" ref="BS481">XLOOKUP(D481,'PL TOTAL XP'!A:A,'PL TOTAL XP'!C:C,"0")</f>
        <v>0</v>
      </c>
      <c r="BT481" s="616"/>
    </row>
    <row r="482" ht="15.75" customHeight="1">
      <c r="A482" s="183" t="s">
        <v>3820</v>
      </c>
      <c r="B482" s="78" t="s">
        <v>5216</v>
      </c>
      <c r="C482" s="564" t="s">
        <v>5217</v>
      </c>
      <c r="D482" s="566">
        <v>5900712.0</v>
      </c>
      <c r="E482" s="512" t="s">
        <v>18</v>
      </c>
      <c r="F482" s="609" t="s">
        <v>19</v>
      </c>
      <c r="G482" s="512" t="s">
        <v>256</v>
      </c>
      <c r="H482" s="566" t="str">
        <f>IFERROR(VLOOKUP(G482,'Cadastro de assessores'!A:B,2,FALSE),"Não Cadastrado")</f>
        <v>18009</v>
      </c>
      <c r="I482" s="566"/>
      <c r="J482" s="51" t="s">
        <v>186</v>
      </c>
      <c r="K482" s="512" t="s">
        <v>107</v>
      </c>
      <c r="L482" s="610">
        <v>44386.0</v>
      </c>
      <c r="M482" s="610">
        <v>44390.0</v>
      </c>
      <c r="N482" s="654">
        <v>44895.0</v>
      </c>
      <c r="O482" s="566" t="s">
        <v>3840</v>
      </c>
      <c r="P482" s="612">
        <v>0.025</v>
      </c>
      <c r="Q482" s="224" t="s">
        <v>5218</v>
      </c>
      <c r="R482" s="613"/>
      <c r="S482" s="522" t="str">
        <f t="shared" si="52"/>
        <v>Não Qualificado</v>
      </c>
      <c r="T482" s="522" t="s">
        <v>108</v>
      </c>
      <c r="U482" s="566" t="s">
        <v>2591</v>
      </c>
      <c r="V482" s="566" t="s">
        <v>29</v>
      </c>
      <c r="W482" s="468"/>
      <c r="X482" s="468"/>
      <c r="Y482" s="468"/>
      <c r="Z482" s="468"/>
      <c r="AA482" s="468"/>
      <c r="AB482" s="468"/>
      <c r="AC482" s="468"/>
      <c r="AD482" s="468"/>
      <c r="AE482" s="468"/>
      <c r="AF482" s="468"/>
      <c r="AG482" s="468"/>
      <c r="AH482" s="468"/>
      <c r="AI482" s="614"/>
      <c r="AJ482" s="450"/>
      <c r="AK482" s="450"/>
      <c r="AL482" s="450"/>
      <c r="AM482" s="450"/>
      <c r="AN482" s="450"/>
      <c r="AO482" s="450"/>
      <c r="AP482" s="450"/>
      <c r="AQ482" s="450"/>
      <c r="AR482" s="450"/>
      <c r="AS482" s="468"/>
      <c r="AT482" s="449">
        <v>60776.48</v>
      </c>
      <c r="AU482" s="449">
        <v>59410.69</v>
      </c>
      <c r="AV482" s="450">
        <v>56098.71</v>
      </c>
      <c r="AW482" s="450">
        <v>51659.15</v>
      </c>
      <c r="AX482" s="450">
        <v>51157.63</v>
      </c>
      <c r="AY482" s="450">
        <v>52092.37</v>
      </c>
      <c r="AZ482" s="450">
        <v>55233.77</v>
      </c>
      <c r="BA482" s="450">
        <v>56049.04</v>
      </c>
      <c r="BB482" s="450">
        <v>59421.78</v>
      </c>
      <c r="BC482" s="450">
        <v>490574.56</v>
      </c>
      <c r="BD482" s="450">
        <v>56054.47</v>
      </c>
      <c r="BE482" s="450">
        <v>53853.75</v>
      </c>
      <c r="BF482" s="450">
        <v>56633.55</v>
      </c>
      <c r="BG482" s="450">
        <v>57345.26</v>
      </c>
      <c r="BH482" s="450">
        <v>57167.77</v>
      </c>
      <c r="BI482" s="450">
        <v>60810.37</v>
      </c>
      <c r="BJ482" s="450">
        <v>59841.4</v>
      </c>
      <c r="BK482" s="450">
        <v>0.0</v>
      </c>
      <c r="BL482" s="450">
        <v>0.0</v>
      </c>
      <c r="BM482" s="450">
        <v>0.0</v>
      </c>
      <c r="BN482" s="450">
        <v>0.0</v>
      </c>
      <c r="BO482" s="450">
        <v>0.0</v>
      </c>
      <c r="BP482" s="450">
        <v>0.0</v>
      </c>
      <c r="BQ482" s="450">
        <v>0.0</v>
      </c>
      <c r="BR482" s="450">
        <v>0.0</v>
      </c>
      <c r="BS482" s="615" t="str">
        <f t="array" ref="BS482">XLOOKUP(D482,'PL TOTAL XP'!A:A,'PL TOTAL XP'!C:C,"0")</f>
        <v>0</v>
      </c>
      <c r="BT482" s="616"/>
    </row>
    <row r="483" ht="16.5" customHeight="1">
      <c r="A483" s="183" t="s">
        <v>3820</v>
      </c>
      <c r="B483" s="78" t="s">
        <v>2264</v>
      </c>
      <c r="C483" s="617" t="s">
        <v>2262</v>
      </c>
      <c r="D483" s="522">
        <v>3369465.0</v>
      </c>
      <c r="E483" s="512" t="s">
        <v>18</v>
      </c>
      <c r="F483" s="512" t="s">
        <v>29</v>
      </c>
      <c r="G483" s="512" t="s">
        <v>294</v>
      </c>
      <c r="H483" s="566">
        <f>IFERROR(VLOOKUP(G483,'Cadastro de assessores'!A:B,2,FALSE),"Não Cadastrado")</f>
        <v>12359</v>
      </c>
      <c r="I483" s="566"/>
      <c r="J483" s="46" t="s">
        <v>107</v>
      </c>
      <c r="K483" s="512" t="s">
        <v>107</v>
      </c>
      <c r="L483" s="624">
        <v>44618.0</v>
      </c>
      <c r="M483" s="624">
        <v>44618.0</v>
      </c>
      <c r="N483" s="566"/>
      <c r="O483" s="566" t="s">
        <v>3834</v>
      </c>
      <c r="P483" s="612">
        <v>0.007</v>
      </c>
      <c r="Q483" s="653" t="s">
        <v>4410</v>
      </c>
      <c r="R483" s="613"/>
      <c r="S483" s="522" t="str">
        <f t="shared" si="52"/>
        <v>Não Qualificado</v>
      </c>
      <c r="T483" s="522" t="s">
        <v>108</v>
      </c>
      <c r="U483" s="522" t="s">
        <v>2602</v>
      </c>
      <c r="V483" s="522" t="s">
        <v>29</v>
      </c>
      <c r="W483" s="614"/>
      <c r="X483" s="614"/>
      <c r="Y483" s="614"/>
      <c r="Z483" s="614"/>
      <c r="AA483" s="614"/>
      <c r="AB483" s="614"/>
      <c r="AC483" s="614"/>
      <c r="AD483" s="614"/>
      <c r="AE483" s="614"/>
      <c r="AF483" s="614"/>
      <c r="AG483" s="614"/>
      <c r="AH483" s="614"/>
      <c r="AI483" s="614"/>
      <c r="AJ483" s="614"/>
      <c r="AK483" s="450"/>
      <c r="AL483" s="450"/>
      <c r="AM483" s="450"/>
      <c r="AN483" s="450"/>
      <c r="AO483" s="450"/>
      <c r="AP483" s="450"/>
      <c r="AQ483" s="450"/>
      <c r="AR483" s="450"/>
      <c r="AS483" s="450"/>
      <c r="AT483" s="450"/>
      <c r="AU483" s="450"/>
      <c r="AV483" s="450"/>
      <c r="AW483" s="450"/>
      <c r="AX483" s="450"/>
      <c r="AY483" s="450"/>
      <c r="AZ483" s="450"/>
      <c r="BA483" s="450">
        <v>12064.41</v>
      </c>
      <c r="BB483" s="450">
        <v>12194.69</v>
      </c>
      <c r="BC483" s="450">
        <v>194034.53</v>
      </c>
      <c r="BD483" s="702">
        <v>62504.55</v>
      </c>
      <c r="BE483" s="450">
        <v>63151.38</v>
      </c>
      <c r="BF483" s="450">
        <v>63673.9</v>
      </c>
      <c r="BG483" s="450">
        <v>64059.32181</v>
      </c>
      <c r="BH483" s="450">
        <v>64436.12</v>
      </c>
      <c r="BI483" s="450">
        <v>64934.91</v>
      </c>
      <c r="BJ483" s="450">
        <v>65574.49</v>
      </c>
      <c r="BK483" s="450">
        <v>66147.06</v>
      </c>
      <c r="BL483" s="450">
        <v>66925.39</v>
      </c>
      <c r="BM483" s="450">
        <v>67459.37</v>
      </c>
      <c r="BN483" s="450">
        <v>10234.02</v>
      </c>
      <c r="BO483" s="450">
        <v>10327.25</v>
      </c>
      <c r="BP483" s="450">
        <v>10437.7</v>
      </c>
      <c r="BQ483" s="450">
        <v>10523.19</v>
      </c>
      <c r="BR483" s="450">
        <v>10644.85</v>
      </c>
      <c r="BS483" s="615">
        <f t="array" ref="BS483">XLOOKUP(D483,'PL TOTAL XP'!A:A,'PL TOTAL XP'!C:C,"0")</f>
        <v>11690.49</v>
      </c>
      <c r="BT483" s="616"/>
    </row>
    <row r="484" ht="15.75" customHeight="1">
      <c r="A484" s="183" t="s">
        <v>3820</v>
      </c>
      <c r="B484" s="78" t="s">
        <v>5219</v>
      </c>
      <c r="C484" s="617" t="s">
        <v>5220</v>
      </c>
      <c r="D484" s="522">
        <v>3730315.0</v>
      </c>
      <c r="E484" s="512" t="s">
        <v>105</v>
      </c>
      <c r="F484" s="512" t="s">
        <v>29</v>
      </c>
      <c r="G484" s="512" t="s">
        <v>4075</v>
      </c>
      <c r="H484" s="566" t="str">
        <f>IFERROR(VLOOKUP(G484,'Cadastro de assessores'!A:B,2,FALSE),"Não Cadastrado")</f>
        <v>19634</v>
      </c>
      <c r="I484" s="566"/>
      <c r="J484" s="51" t="s">
        <v>3823</v>
      </c>
      <c r="K484" s="512" t="s">
        <v>107</v>
      </c>
      <c r="L484" s="610">
        <v>44714.0</v>
      </c>
      <c r="M484" s="610">
        <v>44714.0</v>
      </c>
      <c r="N484" s="566"/>
      <c r="O484" s="566" t="s">
        <v>3836</v>
      </c>
      <c r="P484" s="612">
        <v>0.012</v>
      </c>
      <c r="Q484" s="620" t="s">
        <v>5221</v>
      </c>
      <c r="R484" s="613"/>
      <c r="S484" s="522"/>
      <c r="T484" s="522" t="s">
        <v>369</v>
      </c>
      <c r="U484" s="522" t="s">
        <v>2565</v>
      </c>
      <c r="V484" s="522" t="s">
        <v>29</v>
      </c>
      <c r="W484" s="614"/>
      <c r="X484" s="614"/>
      <c r="Y484" s="614"/>
      <c r="Z484" s="614"/>
      <c r="AA484" s="614"/>
      <c r="AB484" s="614"/>
      <c r="AC484" s="614"/>
      <c r="AD484" s="614"/>
      <c r="AE484" s="614"/>
      <c r="AF484" s="614"/>
      <c r="AG484" s="614"/>
      <c r="AH484" s="614"/>
      <c r="AI484" s="614"/>
      <c r="AJ484" s="614"/>
      <c r="AK484" s="450"/>
      <c r="AL484" s="450"/>
      <c r="AM484" s="450"/>
      <c r="AN484" s="450"/>
      <c r="AO484" s="450"/>
      <c r="AP484" s="450"/>
      <c r="AQ484" s="450"/>
      <c r="AR484" s="450"/>
      <c r="AS484" s="450"/>
      <c r="AT484" s="450"/>
      <c r="AU484" s="450"/>
      <c r="AV484" s="450"/>
      <c r="AW484" s="450"/>
      <c r="AX484" s="450"/>
      <c r="AY484" s="450"/>
      <c r="AZ484" s="450"/>
      <c r="BA484" s="450"/>
      <c r="BB484" s="450"/>
      <c r="BC484" s="450"/>
      <c r="BD484" s="450" t="s">
        <v>2566</v>
      </c>
      <c r="BE484" s="450">
        <v>427444.19</v>
      </c>
      <c r="BF484" s="450">
        <v>534239.82</v>
      </c>
      <c r="BG484" s="450">
        <v>539877.4275</v>
      </c>
      <c r="BH484" s="450">
        <v>543162.29</v>
      </c>
      <c r="BI484" s="450">
        <v>552516.56</v>
      </c>
      <c r="BJ484" s="450">
        <v>554993.62</v>
      </c>
      <c r="BK484" s="450">
        <v>409182.33</v>
      </c>
      <c r="BL484" s="450">
        <v>413892.98</v>
      </c>
      <c r="BM484" s="450">
        <v>417408.88</v>
      </c>
      <c r="BN484" s="450">
        <v>0.0</v>
      </c>
      <c r="BO484" s="450">
        <v>0.0</v>
      </c>
      <c r="BP484" s="450">
        <v>0.0</v>
      </c>
      <c r="BQ484" s="450">
        <v>0.0</v>
      </c>
      <c r="BR484" s="450">
        <v>0.0</v>
      </c>
      <c r="BS484" s="615" t="str">
        <f t="array" ref="BS484">XLOOKUP(D484,'PL TOTAL XP'!A:A,'PL TOTAL XP'!C:C,"0")</f>
        <v>0</v>
      </c>
      <c r="BT484" s="616"/>
    </row>
    <row r="485" ht="15.75" customHeight="1">
      <c r="A485" s="183" t="s">
        <v>3820</v>
      </c>
      <c r="B485" s="78" t="s">
        <v>5222</v>
      </c>
      <c r="C485" s="617" t="s">
        <v>5223</v>
      </c>
      <c r="D485" s="522">
        <v>5371919.0</v>
      </c>
      <c r="E485" s="512" t="s">
        <v>105</v>
      </c>
      <c r="F485" s="512" t="s">
        <v>29</v>
      </c>
      <c r="G485" s="512" t="s">
        <v>4075</v>
      </c>
      <c r="H485" s="566" t="str">
        <f>IFERROR(VLOOKUP(G485,'Cadastro de assessores'!A:B,2,FALSE),"Não Cadastrado")</f>
        <v>19634</v>
      </c>
      <c r="I485" s="566"/>
      <c r="J485" s="51" t="s">
        <v>3823</v>
      </c>
      <c r="K485" s="512" t="s">
        <v>107</v>
      </c>
      <c r="L485" s="610">
        <v>44711.0</v>
      </c>
      <c r="M485" s="610">
        <v>44714.0</v>
      </c>
      <c r="N485" s="566"/>
      <c r="O485" s="566" t="s">
        <v>3836</v>
      </c>
      <c r="P485" s="612">
        <v>0.012</v>
      </c>
      <c r="Q485" s="620" t="s">
        <v>5224</v>
      </c>
      <c r="R485" s="613"/>
      <c r="S485" s="522"/>
      <c r="T485" s="522" t="s">
        <v>369</v>
      </c>
      <c r="U485" s="522" t="s">
        <v>2565</v>
      </c>
      <c r="V485" s="522" t="s">
        <v>29</v>
      </c>
      <c r="W485" s="614"/>
      <c r="X485" s="614"/>
      <c r="Y485" s="614"/>
      <c r="Z485" s="614"/>
      <c r="AA485" s="614"/>
      <c r="AB485" s="614"/>
      <c r="AC485" s="614"/>
      <c r="AD485" s="614"/>
      <c r="AE485" s="614"/>
      <c r="AF485" s="614"/>
      <c r="AG485" s="614"/>
      <c r="AH485" s="614"/>
      <c r="AI485" s="614"/>
      <c r="AJ485" s="614"/>
      <c r="AK485" s="450"/>
      <c r="AL485" s="450"/>
      <c r="AM485" s="450"/>
      <c r="AN485" s="450"/>
      <c r="AO485" s="450"/>
      <c r="AP485" s="450"/>
      <c r="AQ485" s="450"/>
      <c r="AR485" s="450"/>
      <c r="AS485" s="450"/>
      <c r="AT485" s="450"/>
      <c r="AU485" s="450"/>
      <c r="AV485" s="450"/>
      <c r="AW485" s="450"/>
      <c r="AX485" s="450"/>
      <c r="AY485" s="450"/>
      <c r="AZ485" s="450"/>
      <c r="BA485" s="450"/>
      <c r="BB485" s="450"/>
      <c r="BC485" s="450"/>
      <c r="BD485" s="450" t="s">
        <v>2566</v>
      </c>
      <c r="BE485" s="450">
        <v>711676.98</v>
      </c>
      <c r="BF485" s="450">
        <v>824146.58</v>
      </c>
      <c r="BG485" s="450">
        <v>833229.7957</v>
      </c>
      <c r="BH485" s="450">
        <v>832605.92</v>
      </c>
      <c r="BI485" s="450">
        <v>841822.13</v>
      </c>
      <c r="BJ485" s="450">
        <v>849839.78</v>
      </c>
      <c r="BK485" s="450">
        <v>602310.8</v>
      </c>
      <c r="BL485" s="450">
        <v>612804.18</v>
      </c>
      <c r="BM485" s="450">
        <v>617455.4</v>
      </c>
      <c r="BN485" s="450">
        <v>0.0</v>
      </c>
      <c r="BO485" s="450">
        <v>0.0</v>
      </c>
      <c r="BP485" s="450">
        <v>0.0</v>
      </c>
      <c r="BQ485" s="450">
        <v>0.0</v>
      </c>
      <c r="BR485" s="450">
        <v>0.0</v>
      </c>
      <c r="BS485" s="615" t="str">
        <f t="array" ref="BS485">XLOOKUP(D485,'PL TOTAL XP'!A:A,'PL TOTAL XP'!C:C,"0")</f>
        <v>0</v>
      </c>
      <c r="BT485" s="616"/>
    </row>
    <row r="486" ht="15.75" customHeight="1">
      <c r="A486" s="183" t="s">
        <v>3820</v>
      </c>
      <c r="B486" s="78" t="s">
        <v>5225</v>
      </c>
      <c r="C486" s="617" t="s">
        <v>5226</v>
      </c>
      <c r="D486" s="522">
        <v>3102597.0</v>
      </c>
      <c r="E486" s="512" t="s">
        <v>18</v>
      </c>
      <c r="F486" s="512" t="s">
        <v>29</v>
      </c>
      <c r="G486" s="512" t="s">
        <v>294</v>
      </c>
      <c r="H486" s="512">
        <f>IFERROR(VLOOKUP(G486,'Cadastro de assessores'!A:B,2,FALSE),"Não Cadastrado")</f>
        <v>12359</v>
      </c>
      <c r="I486" s="512"/>
      <c r="J486" s="51" t="s">
        <v>3823</v>
      </c>
      <c r="K486" s="512" t="s">
        <v>107</v>
      </c>
      <c r="L486" s="610">
        <v>44249.0</v>
      </c>
      <c r="M486" s="610">
        <v>44249.0</v>
      </c>
      <c r="N486" s="566"/>
      <c r="O486" s="566" t="s">
        <v>3824</v>
      </c>
      <c r="P486" s="612">
        <v>0.02</v>
      </c>
      <c r="Q486" s="620" t="s">
        <v>3924</v>
      </c>
      <c r="R486" s="613"/>
      <c r="S486" s="522" t="str">
        <f t="shared" ref="S486:S502" si="53">IF(BC486&lt;=0,"",IF(BC486&lt;=1000000,"Não Qualificado",IF(AND(BC486&gt;1000000,BC486&lt;=10000000),"Qualificado","Profissional")))</f>
        <v/>
      </c>
      <c r="T486" s="522" t="s">
        <v>108</v>
      </c>
      <c r="U486" s="522" t="s">
        <v>2623</v>
      </c>
      <c r="V486" s="522" t="s">
        <v>29</v>
      </c>
      <c r="W486" s="614"/>
      <c r="X486" s="614"/>
      <c r="Y486" s="614"/>
      <c r="Z486" s="614"/>
      <c r="AA486" s="614"/>
      <c r="AB486" s="614"/>
      <c r="AC486" s="614"/>
      <c r="AD486" s="614"/>
      <c r="AE486" s="614"/>
      <c r="AF486" s="614"/>
      <c r="AG486" s="614"/>
      <c r="AH486" s="614"/>
      <c r="AI486" s="614"/>
      <c r="AJ486" s="614"/>
      <c r="AK486" s="450"/>
      <c r="AL486" s="450"/>
      <c r="AM486" s="450">
        <v>173944.82</v>
      </c>
      <c r="AN486" s="450">
        <v>173985.29</v>
      </c>
      <c r="AO486" s="450">
        <v>182118.79</v>
      </c>
      <c r="AP486" s="450">
        <v>183460.03</v>
      </c>
      <c r="AQ486" s="450">
        <v>182549.77</v>
      </c>
      <c r="AR486" s="450">
        <v>187859.65</v>
      </c>
      <c r="AS486" s="450">
        <v>185937.93</v>
      </c>
      <c r="AT486" s="450">
        <v>180016.92</v>
      </c>
      <c r="AU486" s="450">
        <v>177951.42</v>
      </c>
      <c r="AV486" s="450">
        <v>172896.95</v>
      </c>
      <c r="AW486" s="450">
        <v>164005.21</v>
      </c>
      <c r="AX486" s="450">
        <v>163353.24</v>
      </c>
      <c r="AY486" s="450">
        <v>165728.45</v>
      </c>
      <c r="AZ486" s="450">
        <v>172080.49</v>
      </c>
      <c r="BA486" s="450">
        <v>0.0</v>
      </c>
      <c r="BB486" s="450">
        <v>-254.74</v>
      </c>
      <c r="BC486" s="450">
        <v>0.0</v>
      </c>
      <c r="BD486" s="450">
        <v>511.53</v>
      </c>
      <c r="BE486" s="450">
        <v>511.53</v>
      </c>
      <c r="BF486" s="450">
        <v>511.54</v>
      </c>
      <c r="BG486" s="450">
        <v>511.54</v>
      </c>
      <c r="BH486" s="450">
        <v>511.54</v>
      </c>
      <c r="BI486" s="450">
        <v>511.54</v>
      </c>
      <c r="BJ486" s="450">
        <v>511.54</v>
      </c>
      <c r="BK486" s="450">
        <v>511.54</v>
      </c>
      <c r="BL486" s="450">
        <v>511.54</v>
      </c>
      <c r="BM486" s="450">
        <v>511.54</v>
      </c>
      <c r="BN486" s="450">
        <v>511.54</v>
      </c>
      <c r="BO486" s="450">
        <v>511.54</v>
      </c>
      <c r="BP486" s="450">
        <v>511.54</v>
      </c>
      <c r="BQ486" s="450">
        <v>511.54</v>
      </c>
      <c r="BR486" s="450">
        <v>511.54</v>
      </c>
      <c r="BS486" s="615">
        <f t="array" ref="BS486">XLOOKUP(D486,'PL TOTAL XP'!A:A,'PL TOTAL XP'!C:C,"0")</f>
        <v>0</v>
      </c>
      <c r="BT486" s="616"/>
    </row>
    <row r="487" ht="15.75" customHeight="1">
      <c r="A487" s="183" t="s">
        <v>3820</v>
      </c>
      <c r="B487" s="78" t="s">
        <v>3747</v>
      </c>
      <c r="C487" s="617" t="s">
        <v>5227</v>
      </c>
      <c r="D487" s="522">
        <v>3457906.0</v>
      </c>
      <c r="E487" s="512" t="s">
        <v>18</v>
      </c>
      <c r="F487" s="512" t="s">
        <v>29</v>
      </c>
      <c r="G487" s="512" t="s">
        <v>373</v>
      </c>
      <c r="H487" s="512" t="str">
        <f>IFERROR(VLOOKUP(G487,'Cadastro de assessores'!A:B,2,FALSE),"Não Cadastrado")</f>
        <v>18993</v>
      </c>
      <c r="I487" s="512"/>
      <c r="J487" s="51" t="s">
        <v>3823</v>
      </c>
      <c r="K487" s="512" t="s">
        <v>107</v>
      </c>
      <c r="L487" s="610">
        <v>43693.0</v>
      </c>
      <c r="M487" s="610">
        <v>43693.0</v>
      </c>
      <c r="N487" s="522"/>
      <c r="O487" s="522" t="s">
        <v>5228</v>
      </c>
      <c r="P487" s="612">
        <v>0.02</v>
      </c>
      <c r="Q487" s="652"/>
      <c r="R487" s="613"/>
      <c r="S487" s="522" t="str">
        <f t="shared" si="53"/>
        <v>Não Qualificado</v>
      </c>
      <c r="T487" s="522" t="s">
        <v>108</v>
      </c>
      <c r="U487" s="522" t="s">
        <v>2591</v>
      </c>
      <c r="V487" s="522" t="s">
        <v>29</v>
      </c>
      <c r="W487" s="614" t="s">
        <v>5229</v>
      </c>
      <c r="X487" s="614"/>
      <c r="Y487" s="614" t="s">
        <v>5230</v>
      </c>
      <c r="Z487" s="614" t="s">
        <v>5231</v>
      </c>
      <c r="AA487" s="614" t="s">
        <v>5232</v>
      </c>
      <c r="AB487" s="614" t="s">
        <v>5233</v>
      </c>
      <c r="AC487" s="614" t="s">
        <v>5234</v>
      </c>
      <c r="AD487" s="614" t="s">
        <v>5235</v>
      </c>
      <c r="AE487" s="614" t="s">
        <v>5236</v>
      </c>
      <c r="AF487" s="614" t="s">
        <v>5237</v>
      </c>
      <c r="AG487" s="614" t="s">
        <v>5238</v>
      </c>
      <c r="AH487" s="614" t="s">
        <v>5239</v>
      </c>
      <c r="AI487" s="614" t="s">
        <v>5240</v>
      </c>
      <c r="AJ487" s="614" t="s">
        <v>5241</v>
      </c>
      <c r="AK487" s="450">
        <v>729499.76</v>
      </c>
      <c r="AL487" s="450">
        <v>710905.59</v>
      </c>
      <c r="AM487" s="450">
        <v>684506.1</v>
      </c>
      <c r="AN487" s="450">
        <v>688945.11</v>
      </c>
      <c r="AO487" s="450">
        <v>705344.9</v>
      </c>
      <c r="AP487" s="450">
        <v>709627.07</v>
      </c>
      <c r="AQ487" s="450">
        <v>707645.94</v>
      </c>
      <c r="AR487" s="450">
        <v>722906.01</v>
      </c>
      <c r="AS487" s="450">
        <v>717414.45</v>
      </c>
      <c r="AT487" s="450">
        <v>702322.79</v>
      </c>
      <c r="AU487" s="450">
        <v>694030.99</v>
      </c>
      <c r="AV487" s="450">
        <v>680876.55</v>
      </c>
      <c r="AW487" s="450">
        <v>655882.41</v>
      </c>
      <c r="AX487" s="450">
        <v>662198.46</v>
      </c>
      <c r="AY487" s="450">
        <v>669704.88</v>
      </c>
      <c r="AZ487" s="450">
        <v>677164.89</v>
      </c>
      <c r="BA487" s="450">
        <v>667639.06</v>
      </c>
      <c r="BB487" s="450">
        <v>668964.44</v>
      </c>
      <c r="BC487" s="450">
        <v>53390.2</v>
      </c>
      <c r="BD487" s="450">
        <v>702472.68</v>
      </c>
      <c r="BE487" s="450">
        <v>694916.02</v>
      </c>
      <c r="BF487" s="450">
        <v>710032.54</v>
      </c>
      <c r="BG487" s="450">
        <v>721159.0538</v>
      </c>
      <c r="BH487" s="450">
        <v>719997.38</v>
      </c>
      <c r="BI487" s="450">
        <v>749867.19</v>
      </c>
      <c r="BJ487" s="450">
        <v>749334.26</v>
      </c>
      <c r="BK487" s="450">
        <v>751038.04</v>
      </c>
      <c r="BL487" s="450">
        <v>754859.8</v>
      </c>
      <c r="BM487" s="450">
        <v>750597.94</v>
      </c>
      <c r="BN487" s="450">
        <v>756539.58</v>
      </c>
      <c r="BO487" s="450">
        <v>662420.91</v>
      </c>
      <c r="BP487" s="450">
        <v>669171.77</v>
      </c>
      <c r="BQ487" s="450">
        <v>681518.91</v>
      </c>
      <c r="BR487" s="450">
        <v>693800.2</v>
      </c>
      <c r="BS487" s="615">
        <f t="array" ref="BS487">XLOOKUP(D487,'PL TOTAL XP'!A:A,'PL TOTAL XP'!C:C,"0")</f>
        <v>0</v>
      </c>
      <c r="BT487" s="616"/>
    </row>
    <row r="488" ht="15.75" customHeight="1">
      <c r="A488" s="183" t="s">
        <v>3820</v>
      </c>
      <c r="B488" s="78" t="s">
        <v>5242</v>
      </c>
      <c r="C488" s="645" t="s">
        <v>5243</v>
      </c>
      <c r="D488" s="566">
        <v>5582661.0</v>
      </c>
      <c r="E488" s="512" t="s">
        <v>18</v>
      </c>
      <c r="F488" s="609" t="s">
        <v>19</v>
      </c>
      <c r="G488" s="512" t="s">
        <v>256</v>
      </c>
      <c r="H488" s="512" t="str">
        <f>IFERROR(VLOOKUP(G488,'Cadastro de assessores'!A:B,2,FALSE),"Não Cadastrado")</f>
        <v>18009</v>
      </c>
      <c r="I488" s="512"/>
      <c r="J488" s="51" t="s">
        <v>186</v>
      </c>
      <c r="K488" s="512" t="s">
        <v>107</v>
      </c>
      <c r="L488" s="610">
        <v>44340.0</v>
      </c>
      <c r="M488" s="610">
        <v>44340.0</v>
      </c>
      <c r="N488" s="619">
        <v>44896.0</v>
      </c>
      <c r="O488" s="522" t="s">
        <v>3840</v>
      </c>
      <c r="P488" s="612">
        <v>0.025</v>
      </c>
      <c r="Q488" s="224" t="s">
        <v>5244</v>
      </c>
      <c r="R488" s="613"/>
      <c r="S488" s="522" t="str">
        <f t="shared" si="53"/>
        <v/>
      </c>
      <c r="T488" s="522" t="s">
        <v>108</v>
      </c>
      <c r="U488" s="522" t="s">
        <v>2602</v>
      </c>
      <c r="V488" s="522" t="s">
        <v>29</v>
      </c>
      <c r="W488" s="468"/>
      <c r="X488" s="468"/>
      <c r="Y488" s="468"/>
      <c r="Z488" s="468"/>
      <c r="AA488" s="468"/>
      <c r="AB488" s="468"/>
      <c r="AC488" s="468"/>
      <c r="AD488" s="468"/>
      <c r="AE488" s="468"/>
      <c r="AF488" s="468"/>
      <c r="AG488" s="468"/>
      <c r="AH488" s="468"/>
      <c r="AI488" s="468"/>
      <c r="AJ488" s="468"/>
      <c r="AK488" s="450"/>
      <c r="AL488" s="450"/>
      <c r="AM488" s="450"/>
      <c r="AN488" s="450"/>
      <c r="AO488" s="450"/>
      <c r="AP488" s="450"/>
      <c r="AQ488" s="468"/>
      <c r="AR488" s="449">
        <v>416760.09</v>
      </c>
      <c r="AS488" s="450">
        <v>406757.62</v>
      </c>
      <c r="AT488" s="450">
        <v>384647.2</v>
      </c>
      <c r="AU488" s="450">
        <v>375826.48</v>
      </c>
      <c r="AV488" s="450">
        <v>354591.27</v>
      </c>
      <c r="AW488" s="450">
        <v>326538.27</v>
      </c>
      <c r="AX488" s="450">
        <v>273036.17</v>
      </c>
      <c r="AY488" s="450">
        <v>278246.88</v>
      </c>
      <c r="AZ488" s="450">
        <v>295864.08</v>
      </c>
      <c r="BA488" s="450">
        <v>300110.04</v>
      </c>
      <c r="BB488" s="450">
        <v>322457.75</v>
      </c>
      <c r="BC488" s="450">
        <v>0.0</v>
      </c>
      <c r="BD488" s="450">
        <v>300235.32</v>
      </c>
      <c r="BE488" s="450">
        <v>287096.14</v>
      </c>
      <c r="BF488" s="450">
        <v>300591.27</v>
      </c>
      <c r="BG488" s="450">
        <v>302109.4358</v>
      </c>
      <c r="BH488" s="450">
        <v>301645.05</v>
      </c>
      <c r="BI488" s="450">
        <v>258273.42</v>
      </c>
      <c r="BJ488" s="450">
        <v>253397.23</v>
      </c>
      <c r="BK488" s="450">
        <v>0.0</v>
      </c>
      <c r="BL488" s="450">
        <v>0.0</v>
      </c>
      <c r="BM488" s="450">
        <v>0.0</v>
      </c>
      <c r="BN488" s="450">
        <v>0.0</v>
      </c>
      <c r="BO488" s="450">
        <v>0.0</v>
      </c>
      <c r="BP488" s="450">
        <v>0.0</v>
      </c>
      <c r="BQ488" s="450">
        <v>0.0</v>
      </c>
      <c r="BR488" s="450">
        <v>0.0</v>
      </c>
      <c r="BS488" s="615" t="str">
        <f t="array" ref="BS488">XLOOKUP(D488,'PL TOTAL XP'!A:A,'PL TOTAL XP'!C:C,"0")</f>
        <v>0</v>
      </c>
      <c r="BT488" s="616"/>
    </row>
    <row r="489" ht="15.75" customHeight="1">
      <c r="A489" s="183" t="s">
        <v>3820</v>
      </c>
      <c r="B489" s="78" t="s">
        <v>5245</v>
      </c>
      <c r="C489" s="617" t="s">
        <v>5246</v>
      </c>
      <c r="D489" s="522">
        <v>4484307.0</v>
      </c>
      <c r="E489" s="522" t="s">
        <v>105</v>
      </c>
      <c r="F489" s="522" t="s">
        <v>29</v>
      </c>
      <c r="G489" s="522" t="s">
        <v>5247</v>
      </c>
      <c r="H489" s="522" t="str">
        <f>IFERROR(VLOOKUP(G489,'Cadastro de assessores'!A:B,2,FALSE),"Não Cadastrado")</f>
        <v>18061</v>
      </c>
      <c r="I489" s="522"/>
      <c r="J489" s="51" t="s">
        <v>186</v>
      </c>
      <c r="K489" s="522" t="s">
        <v>2563</v>
      </c>
      <c r="L489" s="619">
        <v>44105.0</v>
      </c>
      <c r="M489" s="619">
        <v>44105.0</v>
      </c>
      <c r="N489" s="618">
        <v>44482.0</v>
      </c>
      <c r="O489" s="522" t="s">
        <v>3840</v>
      </c>
      <c r="P489" s="612">
        <v>0.025</v>
      </c>
      <c r="Q489" s="620" t="s">
        <v>5248</v>
      </c>
      <c r="R489" s="613"/>
      <c r="S489" s="522" t="str">
        <f t="shared" si="53"/>
        <v>Não Qualificado</v>
      </c>
      <c r="T489" s="522" t="s">
        <v>108</v>
      </c>
      <c r="U489" s="522" t="s">
        <v>5249</v>
      </c>
      <c r="V489" s="522" t="s">
        <v>19</v>
      </c>
      <c r="W489" s="614" t="s">
        <v>3830</v>
      </c>
      <c r="X489" s="614" t="s">
        <v>3830</v>
      </c>
      <c r="Y489" s="614" t="s">
        <v>3830</v>
      </c>
      <c r="Z489" s="614" t="s">
        <v>3830</v>
      </c>
      <c r="AA489" s="614" t="s">
        <v>3830</v>
      </c>
      <c r="AB489" s="614" t="s">
        <v>3830</v>
      </c>
      <c r="AC489" s="614" t="s">
        <v>3830</v>
      </c>
      <c r="AD489" s="614" t="s">
        <v>3830</v>
      </c>
      <c r="AE489" s="614" t="s">
        <v>3830</v>
      </c>
      <c r="AF489" s="614" t="s">
        <v>3830</v>
      </c>
      <c r="AG489" s="614" t="s">
        <v>3830</v>
      </c>
      <c r="AH489" s="614" t="s">
        <v>3830</v>
      </c>
      <c r="AI489" s="614" t="s">
        <v>5250</v>
      </c>
      <c r="AJ489" s="614" t="s">
        <v>5251</v>
      </c>
      <c r="AK489" s="450">
        <v>135611.64</v>
      </c>
      <c r="AL489" s="450">
        <v>128615.77</v>
      </c>
      <c r="AM489" s="450">
        <v>119074.12</v>
      </c>
      <c r="AN489" s="450">
        <v>119259.0</v>
      </c>
      <c r="AO489" s="450">
        <v>112978.13</v>
      </c>
      <c r="AP489" s="450">
        <v>114082.27</v>
      </c>
      <c r="AQ489" s="450">
        <v>112790.36</v>
      </c>
      <c r="AR489" s="450">
        <v>119231.66</v>
      </c>
      <c r="AS489" s="450">
        <v>116471.35</v>
      </c>
      <c r="AT489" s="450">
        <v>124566.1</v>
      </c>
      <c r="AU489" s="450">
        <v>121666.79</v>
      </c>
      <c r="AV489" s="450">
        <v>94818.28</v>
      </c>
      <c r="AW489" s="450"/>
      <c r="AX489" s="450"/>
      <c r="AY489" s="450"/>
      <c r="AZ489" s="450"/>
      <c r="BA489" s="450">
        <v>0.0</v>
      </c>
      <c r="BB489" s="450">
        <v>0.0</v>
      </c>
      <c r="BC489" s="450">
        <v>106529.03</v>
      </c>
      <c r="BD489" s="450" t="s">
        <v>2566</v>
      </c>
      <c r="BE489" s="450" t="s">
        <v>2566</v>
      </c>
      <c r="BF489" s="450">
        <v>0.0</v>
      </c>
      <c r="BG489" s="450">
        <v>0.0</v>
      </c>
      <c r="BH489" s="450">
        <v>0.0</v>
      </c>
      <c r="BI489" s="450">
        <v>0.0</v>
      </c>
      <c r="BJ489" s="450">
        <v>0.0</v>
      </c>
      <c r="BK489" s="450">
        <v>0.0</v>
      </c>
      <c r="BL489" s="450">
        <v>0.0</v>
      </c>
      <c r="BM489" s="450">
        <v>0.0</v>
      </c>
      <c r="BN489" s="450">
        <v>0.0</v>
      </c>
      <c r="BO489" s="450">
        <v>0.0</v>
      </c>
      <c r="BP489" s="450">
        <v>0.0</v>
      </c>
      <c r="BQ489" s="450">
        <v>0.0</v>
      </c>
      <c r="BR489" s="450">
        <v>0.0</v>
      </c>
      <c r="BS489" s="615" t="str">
        <f t="array" ref="BS489">XLOOKUP(D489,'PL TOTAL XP'!A:A,'PL TOTAL XP'!C:C,"0")</f>
        <v>0</v>
      </c>
      <c r="BT489" s="616"/>
    </row>
    <row r="490" ht="15.75" customHeight="1">
      <c r="A490" s="183" t="s">
        <v>3820</v>
      </c>
      <c r="B490" s="78" t="s">
        <v>3751</v>
      </c>
      <c r="C490" s="617" t="s">
        <v>5252</v>
      </c>
      <c r="D490" s="522">
        <v>4598320.0</v>
      </c>
      <c r="E490" s="512" t="s">
        <v>18</v>
      </c>
      <c r="F490" s="512" t="s">
        <v>29</v>
      </c>
      <c r="G490" s="512" t="s">
        <v>373</v>
      </c>
      <c r="H490" s="512" t="str">
        <f>IFERROR(VLOOKUP(G490,'Cadastro de assessores'!A:B,2,FALSE),"Não Cadastrado")</f>
        <v>18993</v>
      </c>
      <c r="I490" s="512"/>
      <c r="J490" s="51" t="s">
        <v>3823</v>
      </c>
      <c r="K490" s="512" t="s">
        <v>107</v>
      </c>
      <c r="L490" s="611">
        <v>44148.0</v>
      </c>
      <c r="M490" s="611">
        <v>44148.0</v>
      </c>
      <c r="N490" s="522"/>
      <c r="O490" s="522" t="s">
        <v>3840</v>
      </c>
      <c r="P490" s="612">
        <v>0.025</v>
      </c>
      <c r="Q490" s="620"/>
      <c r="R490" s="613"/>
      <c r="S490" s="522" t="str">
        <f t="shared" si="53"/>
        <v>Não Qualificado</v>
      </c>
      <c r="T490" s="522" t="s">
        <v>108</v>
      </c>
      <c r="U490" s="522" t="s">
        <v>2664</v>
      </c>
      <c r="V490" s="522" t="s">
        <v>791</v>
      </c>
      <c r="W490" s="614" t="s">
        <v>3830</v>
      </c>
      <c r="X490" s="614" t="s">
        <v>3830</v>
      </c>
      <c r="Y490" s="614" t="s">
        <v>3830</v>
      </c>
      <c r="Z490" s="614" t="s">
        <v>3830</v>
      </c>
      <c r="AA490" s="614" t="s">
        <v>3830</v>
      </c>
      <c r="AB490" s="614" t="s">
        <v>3830</v>
      </c>
      <c r="AC490" s="614" t="s">
        <v>3830</v>
      </c>
      <c r="AD490" s="614" t="s">
        <v>3830</v>
      </c>
      <c r="AE490" s="614" t="s">
        <v>3830</v>
      </c>
      <c r="AF490" s="614" t="s">
        <v>3830</v>
      </c>
      <c r="AG490" s="614" t="s">
        <v>3830</v>
      </c>
      <c r="AH490" s="614" t="s">
        <v>3830</v>
      </c>
      <c r="AI490" s="614" t="s">
        <v>3830</v>
      </c>
      <c r="AJ490" s="614" t="s">
        <v>5253</v>
      </c>
      <c r="AK490" s="450">
        <v>158925.18</v>
      </c>
      <c r="AL490" s="450">
        <v>150451.62</v>
      </c>
      <c r="AM490" s="450">
        <v>141384.11</v>
      </c>
      <c r="AN490" s="450">
        <v>141866.38</v>
      </c>
      <c r="AO490" s="450">
        <v>149925.93</v>
      </c>
      <c r="AP490" s="450">
        <v>151766.16</v>
      </c>
      <c r="AQ490" s="450">
        <v>150179.67</v>
      </c>
      <c r="AR490" s="450">
        <v>158565.7</v>
      </c>
      <c r="AS490" s="450">
        <v>154956.33</v>
      </c>
      <c r="AT490" s="450">
        <v>146878.71</v>
      </c>
      <c r="AU490" s="450">
        <v>143834.46</v>
      </c>
      <c r="AV490" s="450">
        <v>135366.36</v>
      </c>
      <c r="AW490" s="450">
        <v>125645.36</v>
      </c>
      <c r="AX490" s="450">
        <v>124413.12</v>
      </c>
      <c r="AY490" s="450">
        <v>126690.76</v>
      </c>
      <c r="AZ490" s="450">
        <v>134758.57</v>
      </c>
      <c r="BA490" s="450">
        <v>136165.38</v>
      </c>
      <c r="BB490" s="450">
        <v>145750.03</v>
      </c>
      <c r="BC490" s="450">
        <v>503823.84</v>
      </c>
      <c r="BD490" s="450">
        <v>136352.04</v>
      </c>
      <c r="BE490" s="450">
        <v>130307.85</v>
      </c>
      <c r="BF490" s="450">
        <v>136847.85</v>
      </c>
      <c r="BG490" s="450">
        <v>138374.37</v>
      </c>
      <c r="BH490" s="450">
        <v>136274.35</v>
      </c>
      <c r="BI490" s="450">
        <v>148991.91</v>
      </c>
      <c r="BJ490" s="450">
        <v>145017.42</v>
      </c>
      <c r="BK490" s="450">
        <v>144322.37</v>
      </c>
      <c r="BL490" s="450">
        <v>147490.79</v>
      </c>
      <c r="BM490" s="450">
        <v>141118.15</v>
      </c>
      <c r="BN490" s="450">
        <v>139544.71</v>
      </c>
      <c r="BO490" s="450">
        <v>38733.03</v>
      </c>
      <c r="BP490" s="450">
        <v>0.0</v>
      </c>
      <c r="BQ490" s="450">
        <v>0.0</v>
      </c>
      <c r="BR490" s="450">
        <v>0.0</v>
      </c>
      <c r="BS490" s="615">
        <f t="array" ref="BS490">XLOOKUP(D490,'PL TOTAL XP'!A:A,'PL TOTAL XP'!C:C,"0")</f>
        <v>0</v>
      </c>
      <c r="BT490" s="616"/>
    </row>
    <row r="491" ht="15.75" customHeight="1">
      <c r="A491" s="183" t="s">
        <v>3820</v>
      </c>
      <c r="B491" s="78" t="s">
        <v>5254</v>
      </c>
      <c r="C491" s="617" t="s">
        <v>5255</v>
      </c>
      <c r="D491" s="522">
        <v>3412436.0</v>
      </c>
      <c r="E491" s="512" t="s">
        <v>2550</v>
      </c>
      <c r="F491" s="512" t="s">
        <v>29</v>
      </c>
      <c r="G491" s="512" t="s">
        <v>2550</v>
      </c>
      <c r="H491" s="512" t="str">
        <f>IFERROR(VLOOKUP(G491,'Cadastro de assessores'!A:B,2,FALSE),"Não Cadastrado")</f>
        <v>18986</v>
      </c>
      <c r="I491" s="512"/>
      <c r="J491" s="51" t="s">
        <v>3823</v>
      </c>
      <c r="K491" s="643" t="s">
        <v>147</v>
      </c>
      <c r="L491" s="610">
        <v>44067.0</v>
      </c>
      <c r="M491" s="610">
        <v>44075.0</v>
      </c>
      <c r="N491" s="522"/>
      <c r="O491" s="522" t="s">
        <v>3828</v>
      </c>
      <c r="P491" s="612">
        <v>0.015</v>
      </c>
      <c r="Q491" s="620"/>
      <c r="R491" s="613"/>
      <c r="S491" s="522" t="str">
        <f t="shared" si="53"/>
        <v/>
      </c>
      <c r="T491" s="522" t="s">
        <v>108</v>
      </c>
      <c r="U491" s="522" t="s">
        <v>2580</v>
      </c>
      <c r="V491" s="522" t="s">
        <v>29</v>
      </c>
      <c r="W491" s="614" t="s">
        <v>3830</v>
      </c>
      <c r="X491" s="614" t="s">
        <v>3830</v>
      </c>
      <c r="Y491" s="614" t="s">
        <v>3830</v>
      </c>
      <c r="Z491" s="614" t="s">
        <v>3830</v>
      </c>
      <c r="AA491" s="614" t="s">
        <v>3830</v>
      </c>
      <c r="AB491" s="614" t="s">
        <v>3830</v>
      </c>
      <c r="AC491" s="614" t="s">
        <v>3830</v>
      </c>
      <c r="AD491" s="614" t="s">
        <v>3830</v>
      </c>
      <c r="AE491" s="614" t="s">
        <v>3830</v>
      </c>
      <c r="AF491" s="614" t="s">
        <v>3830</v>
      </c>
      <c r="AG491" s="614" t="s">
        <v>5256</v>
      </c>
      <c r="AH491" s="614" t="s">
        <v>5257</v>
      </c>
      <c r="AI491" s="614" t="s">
        <v>5258</v>
      </c>
      <c r="AJ491" s="614" t="s">
        <v>5259</v>
      </c>
      <c r="AK491" s="450">
        <v>54318.27</v>
      </c>
      <c r="AL491" s="450">
        <v>52758.77</v>
      </c>
      <c r="AM491" s="450">
        <v>50844.88</v>
      </c>
      <c r="AN491" s="450">
        <v>51089.25</v>
      </c>
      <c r="AO491" s="450">
        <v>172.29</v>
      </c>
      <c r="AP491" s="450">
        <v>172.01</v>
      </c>
      <c r="AQ491" s="450">
        <v>171.97</v>
      </c>
      <c r="AR491" s="450">
        <v>171.76</v>
      </c>
      <c r="AS491" s="450">
        <v>166.59</v>
      </c>
      <c r="AT491" s="450">
        <v>166.37</v>
      </c>
      <c r="AU491" s="450">
        <v>166.15</v>
      </c>
      <c r="AV491" s="450">
        <v>138.79</v>
      </c>
      <c r="AW491" s="450">
        <v>165.74</v>
      </c>
      <c r="AX491" s="450">
        <v>165.54</v>
      </c>
      <c r="AY491" s="450"/>
      <c r="AZ491" s="450"/>
      <c r="BA491" s="450">
        <v>0.0</v>
      </c>
      <c r="BB491" s="450">
        <v>0.0</v>
      </c>
      <c r="BC491" s="450">
        <v>0.0</v>
      </c>
      <c r="BD491" s="450">
        <v>3.02</v>
      </c>
      <c r="BE491" s="450">
        <v>3.02</v>
      </c>
      <c r="BF491" s="450">
        <v>3.02</v>
      </c>
      <c r="BG491" s="450">
        <v>3.02</v>
      </c>
      <c r="BH491" s="450">
        <v>3.02</v>
      </c>
      <c r="BI491" s="450">
        <v>3.02</v>
      </c>
      <c r="BJ491" s="450">
        <v>3.02</v>
      </c>
      <c r="BK491" s="450">
        <v>3.02</v>
      </c>
      <c r="BL491" s="450">
        <v>3.02</v>
      </c>
      <c r="BM491" s="450">
        <v>3.02</v>
      </c>
      <c r="BN491" s="450">
        <v>3.02</v>
      </c>
      <c r="BO491" s="450">
        <v>3.02</v>
      </c>
      <c r="BP491" s="450">
        <v>3.02</v>
      </c>
      <c r="BQ491" s="450">
        <v>3.02</v>
      </c>
      <c r="BR491" s="450">
        <v>3.02</v>
      </c>
      <c r="BS491" s="615">
        <f t="array" ref="BS491">XLOOKUP(D491,'PL TOTAL XP'!A:A,'PL TOTAL XP'!C:C,"0")</f>
        <v>0</v>
      </c>
      <c r="BT491" s="616"/>
    </row>
    <row r="492" ht="15.75" customHeight="1">
      <c r="A492" s="183" t="s">
        <v>3820</v>
      </c>
      <c r="B492" s="78" t="s">
        <v>2284</v>
      </c>
      <c r="C492" s="645" t="s">
        <v>5260</v>
      </c>
      <c r="D492" s="566">
        <v>5681841.0</v>
      </c>
      <c r="E492" s="512" t="s">
        <v>18</v>
      </c>
      <c r="F492" s="609" t="s">
        <v>19</v>
      </c>
      <c r="G492" s="512" t="s">
        <v>122</v>
      </c>
      <c r="H492" s="609" t="str">
        <f>IFERROR(VLOOKUP(G492,'Cadastro de assessores'!A:B,2,FALSE),"Não Cadastrado")</f>
        <v>18890</v>
      </c>
      <c r="I492" s="609"/>
      <c r="J492" s="51" t="s">
        <v>3823</v>
      </c>
      <c r="K492" s="512" t="s">
        <v>107</v>
      </c>
      <c r="L492" s="610">
        <v>44469.0</v>
      </c>
      <c r="M492" s="610">
        <v>44469.0</v>
      </c>
      <c r="N492" s="522"/>
      <c r="O492" s="522" t="s">
        <v>3836</v>
      </c>
      <c r="P492" s="612">
        <v>0.012</v>
      </c>
      <c r="Q492" s="224" t="s">
        <v>3932</v>
      </c>
      <c r="R492" s="613"/>
      <c r="S492" s="522" t="str">
        <f t="shared" si="53"/>
        <v>Não Qualificado</v>
      </c>
      <c r="T492" s="522" t="s">
        <v>108</v>
      </c>
      <c r="U492" s="566" t="s">
        <v>2842</v>
      </c>
      <c r="V492" s="566" t="s">
        <v>19</v>
      </c>
      <c r="W492" s="468"/>
      <c r="X492" s="468"/>
      <c r="Y492" s="468"/>
      <c r="Z492" s="468"/>
      <c r="AA492" s="468"/>
      <c r="AB492" s="468"/>
      <c r="AC492" s="468"/>
      <c r="AD492" s="468"/>
      <c r="AE492" s="468"/>
      <c r="AF492" s="468"/>
      <c r="AG492" s="468"/>
      <c r="AH492" s="468"/>
      <c r="AI492" s="468"/>
      <c r="AJ492" s="450"/>
      <c r="AK492" s="450"/>
      <c r="AL492" s="450"/>
      <c r="AM492" s="450"/>
      <c r="AN492" s="450"/>
      <c r="AO492" s="450"/>
      <c r="AP492" s="468"/>
      <c r="AQ492" s="449"/>
      <c r="AR492" s="468"/>
      <c r="AS492" s="450"/>
      <c r="AT492" s="450"/>
      <c r="AU492" s="450"/>
      <c r="AV492" s="450">
        <v>200288.86</v>
      </c>
      <c r="AW492" s="450">
        <v>296872.36</v>
      </c>
      <c r="AX492" s="450">
        <v>298213.11</v>
      </c>
      <c r="AY492" s="450">
        <v>301145.54</v>
      </c>
      <c r="AZ492" s="450">
        <v>306121.35</v>
      </c>
      <c r="BA492" s="450">
        <v>308647.51</v>
      </c>
      <c r="BB492" s="450">
        <v>315264.2</v>
      </c>
      <c r="BC492" s="450">
        <v>32385.24</v>
      </c>
      <c r="BD492" s="450">
        <v>266238.41</v>
      </c>
      <c r="BE492" s="450">
        <v>266365.2</v>
      </c>
      <c r="BF492" s="450">
        <v>419720.11</v>
      </c>
      <c r="BG492" s="450">
        <v>422348.3553</v>
      </c>
      <c r="BH492" s="450">
        <v>424891.44</v>
      </c>
      <c r="BI492" s="450">
        <v>380731.19</v>
      </c>
      <c r="BJ492" s="450">
        <v>281442.85</v>
      </c>
      <c r="BK492" s="450">
        <v>248308.32</v>
      </c>
      <c r="BL492" s="450">
        <v>133938.05</v>
      </c>
      <c r="BM492" s="450">
        <v>8006.89</v>
      </c>
      <c r="BN492" s="450">
        <v>5.7</v>
      </c>
      <c r="BO492" s="450">
        <v>5.7</v>
      </c>
      <c r="BP492" s="450">
        <v>5.7</v>
      </c>
      <c r="BQ492" s="450">
        <v>5.7</v>
      </c>
      <c r="BR492" s="450">
        <v>5.7</v>
      </c>
      <c r="BS492" s="615">
        <f t="array" ref="BS492">XLOOKUP(D492,'PL TOTAL XP'!A:A,'PL TOTAL XP'!C:C,"0")</f>
        <v>0</v>
      </c>
      <c r="BT492" s="616"/>
    </row>
    <row r="493" ht="15.75" customHeight="1">
      <c r="A493" s="183" t="s">
        <v>3820</v>
      </c>
      <c r="B493" s="78" t="s">
        <v>5261</v>
      </c>
      <c r="C493" s="564" t="s">
        <v>5262</v>
      </c>
      <c r="D493" s="511">
        <v>5146477.0</v>
      </c>
      <c r="E493" s="522" t="s">
        <v>2550</v>
      </c>
      <c r="F493" s="522" t="s">
        <v>29</v>
      </c>
      <c r="G493" s="522" t="s">
        <v>2550</v>
      </c>
      <c r="H493" s="522" t="str">
        <f>IFERROR(VLOOKUP(G493,'Cadastro de assessores'!A:B,2,FALSE),"Não Cadastrado")</f>
        <v>18986</v>
      </c>
      <c r="I493" s="522"/>
      <c r="J493" s="51" t="s">
        <v>186</v>
      </c>
      <c r="K493" s="522" t="s">
        <v>2563</v>
      </c>
      <c r="L493" s="619">
        <v>44355.0</v>
      </c>
      <c r="M493" s="619">
        <v>44355.0</v>
      </c>
      <c r="N493" s="619">
        <v>44776.0</v>
      </c>
      <c r="O493" s="522" t="s">
        <v>3836</v>
      </c>
      <c r="P493" s="612">
        <v>0.012</v>
      </c>
      <c r="Q493" s="224" t="s">
        <v>5263</v>
      </c>
      <c r="R493" s="613"/>
      <c r="S493" s="522" t="str">
        <f t="shared" si="53"/>
        <v/>
      </c>
      <c r="T493" s="522" t="s">
        <v>108</v>
      </c>
      <c r="U493" s="566" t="s">
        <v>3398</v>
      </c>
      <c r="V493" s="566" t="s">
        <v>152</v>
      </c>
      <c r="W493" s="468"/>
      <c r="X493" s="468"/>
      <c r="Y493" s="468"/>
      <c r="Z493" s="468"/>
      <c r="AA493" s="468"/>
      <c r="AB493" s="468"/>
      <c r="AC493" s="468"/>
      <c r="AD493" s="468"/>
      <c r="AE493" s="468"/>
      <c r="AF493" s="468"/>
      <c r="AG493" s="468"/>
      <c r="AH493" s="468"/>
      <c r="AI493" s="468"/>
      <c r="AJ493" s="468"/>
      <c r="AK493" s="450"/>
      <c r="AL493" s="450"/>
      <c r="AM493" s="450"/>
      <c r="AN493" s="450"/>
      <c r="AO493" s="450"/>
      <c r="AP493" s="450"/>
      <c r="AQ493" s="468"/>
      <c r="AR493" s="449"/>
      <c r="AS493" s="450">
        <v>109428.08</v>
      </c>
      <c r="AT493" s="450">
        <v>108750.41</v>
      </c>
      <c r="AU493" s="450">
        <v>108656.85</v>
      </c>
      <c r="AV493" s="450">
        <v>71682.32</v>
      </c>
      <c r="AW493" s="450">
        <v>70498.31</v>
      </c>
      <c r="AX493" s="450">
        <v>74390.31</v>
      </c>
      <c r="AY493" s="450">
        <v>75034.44</v>
      </c>
      <c r="AZ493" s="450">
        <v>76353.01</v>
      </c>
      <c r="BA493" s="450">
        <v>77022.72</v>
      </c>
      <c r="BB493" s="450">
        <v>78726.23</v>
      </c>
      <c r="BC493" s="450">
        <v>0.0</v>
      </c>
      <c r="BD493" s="450">
        <v>104540.39</v>
      </c>
      <c r="BE493" s="450">
        <v>125020.57</v>
      </c>
      <c r="BF493" s="450">
        <v>92785.44</v>
      </c>
      <c r="BG493" s="450">
        <v>80755.0267</v>
      </c>
      <c r="BH493" s="450">
        <v>19821.16</v>
      </c>
      <c r="BI493" s="450">
        <v>21230.97</v>
      </c>
      <c r="BJ493" s="450">
        <v>20769.33</v>
      </c>
      <c r="BK493" s="450">
        <v>20958.23</v>
      </c>
      <c r="BL493" s="450">
        <v>21265.64</v>
      </c>
      <c r="BM493" s="450">
        <v>21451.03</v>
      </c>
      <c r="BN493" s="450">
        <v>21694.63</v>
      </c>
      <c r="BO493" s="450">
        <v>21906.47</v>
      </c>
      <c r="BP493" s="450">
        <v>22007.46</v>
      </c>
      <c r="BQ493" s="450">
        <v>22178.43</v>
      </c>
      <c r="BR493" s="450">
        <v>22434.35</v>
      </c>
      <c r="BS493" s="615">
        <f t="array" ref="BS493">XLOOKUP(D493,'PL TOTAL XP'!A:A,'PL TOTAL XP'!C:C,"0")</f>
        <v>23483.57</v>
      </c>
      <c r="BT493" s="616"/>
    </row>
    <row r="494" ht="15.75" customHeight="1">
      <c r="A494" s="183" t="s">
        <v>3820</v>
      </c>
      <c r="B494" s="78" t="s">
        <v>5264</v>
      </c>
      <c r="C494" s="645" t="s">
        <v>5265</v>
      </c>
      <c r="D494" s="566">
        <v>5620188.0</v>
      </c>
      <c r="E494" s="512" t="s">
        <v>18</v>
      </c>
      <c r="F494" s="609" t="s">
        <v>19</v>
      </c>
      <c r="G494" s="566" t="s">
        <v>5266</v>
      </c>
      <c r="H494" s="566" t="str">
        <f>IFERROR(VLOOKUP(G494,'Cadastro de assessores'!A:B,2,FALSE),"Não Cadastrado")</f>
        <v>18530</v>
      </c>
      <c r="I494" s="566"/>
      <c r="J494" s="51" t="s">
        <v>3823</v>
      </c>
      <c r="K494" s="643" t="s">
        <v>147</v>
      </c>
      <c r="L494" s="610">
        <v>44355.0</v>
      </c>
      <c r="M494" s="610">
        <v>44356.0</v>
      </c>
      <c r="N494" s="522"/>
      <c r="O494" s="522" t="s">
        <v>3840</v>
      </c>
      <c r="P494" s="612">
        <v>0.025</v>
      </c>
      <c r="Q494" s="224"/>
      <c r="R494" s="613"/>
      <c r="S494" s="522" t="str">
        <f t="shared" si="53"/>
        <v/>
      </c>
      <c r="T494" s="522" t="s">
        <v>108</v>
      </c>
      <c r="U494" s="522" t="s">
        <v>2602</v>
      </c>
      <c r="V494" s="522" t="s">
        <v>29</v>
      </c>
      <c r="W494" s="468"/>
      <c r="X494" s="468"/>
      <c r="Y494" s="468"/>
      <c r="Z494" s="468"/>
      <c r="AA494" s="468"/>
      <c r="AB494" s="468"/>
      <c r="AC494" s="468"/>
      <c r="AD494" s="468"/>
      <c r="AE494" s="468"/>
      <c r="AF494" s="468"/>
      <c r="AG494" s="468"/>
      <c r="AH494" s="468"/>
      <c r="AI494" s="468"/>
      <c r="AJ494" s="468"/>
      <c r="AK494" s="450"/>
      <c r="AL494" s="450"/>
      <c r="AM494" s="450"/>
      <c r="AN494" s="450"/>
      <c r="AO494" s="450"/>
      <c r="AP494" s="450"/>
      <c r="AQ494" s="450"/>
      <c r="AR494" s="468"/>
      <c r="AS494" s="450">
        <v>320935.59</v>
      </c>
      <c r="AT494" s="450">
        <v>303669.71</v>
      </c>
      <c r="AU494" s="450">
        <v>295583.99</v>
      </c>
      <c r="AV494" s="450">
        <v>278316.08</v>
      </c>
      <c r="AW494" s="450">
        <v>133.12</v>
      </c>
      <c r="AX494" s="450">
        <v>132.92</v>
      </c>
      <c r="AY494" s="450">
        <v>132.69</v>
      </c>
      <c r="AZ494" s="450">
        <v>132.48</v>
      </c>
      <c r="BA494" s="450">
        <v>132.29</v>
      </c>
      <c r="BB494" s="450">
        <v>132.07</v>
      </c>
      <c r="BC494" s="450">
        <v>0.0</v>
      </c>
      <c r="BD494" s="450">
        <v>406.21</v>
      </c>
      <c r="BE494" s="450">
        <v>406.21</v>
      </c>
      <c r="BF494" s="450">
        <v>406.21</v>
      </c>
      <c r="BG494" s="450">
        <v>406.21</v>
      </c>
      <c r="BH494" s="450">
        <v>406.21</v>
      </c>
      <c r="BI494" s="450">
        <v>406.21</v>
      </c>
      <c r="BJ494" s="450">
        <v>406.21</v>
      </c>
      <c r="BK494" s="450">
        <v>406.21</v>
      </c>
      <c r="BL494" s="450">
        <v>406.21</v>
      </c>
      <c r="BM494" s="450">
        <v>406.21</v>
      </c>
      <c r="BN494" s="450">
        <v>406.21</v>
      </c>
      <c r="BO494" s="450">
        <v>406.21</v>
      </c>
      <c r="BP494" s="450">
        <v>406.21</v>
      </c>
      <c r="BQ494" s="450">
        <v>406.21</v>
      </c>
      <c r="BR494" s="450">
        <v>406.21</v>
      </c>
      <c r="BS494" s="615">
        <f t="array" ref="BS494">XLOOKUP(D494,'PL TOTAL XP'!A:A,'PL TOTAL XP'!C:C,"0")</f>
        <v>0</v>
      </c>
      <c r="BT494" s="616"/>
    </row>
    <row r="495" ht="15.75" customHeight="1">
      <c r="A495" s="183" t="s">
        <v>3820</v>
      </c>
      <c r="B495" s="78" t="s">
        <v>5267</v>
      </c>
      <c r="C495" s="617" t="s">
        <v>5268</v>
      </c>
      <c r="D495" s="703">
        <v>7738705.0</v>
      </c>
      <c r="E495" s="512" t="s">
        <v>18</v>
      </c>
      <c r="F495" s="609" t="s">
        <v>19</v>
      </c>
      <c r="G495" s="512" t="s">
        <v>213</v>
      </c>
      <c r="H495" s="566" t="str">
        <f>IFERROR(VLOOKUP(G495,'Cadastro de assessores'!A:B,2,FALSE),"Não Cadastrado")</f>
        <v>17831</v>
      </c>
      <c r="I495" s="566"/>
      <c r="J495" s="51" t="s">
        <v>3823</v>
      </c>
      <c r="K495" s="512" t="s">
        <v>107</v>
      </c>
      <c r="L495" s="610">
        <v>44585.0</v>
      </c>
      <c r="M495" s="610">
        <v>44589.0</v>
      </c>
      <c r="N495" s="522"/>
      <c r="O495" s="522" t="s">
        <v>3834</v>
      </c>
      <c r="P495" s="612">
        <v>0.007</v>
      </c>
      <c r="Q495" s="620"/>
      <c r="R495" s="613"/>
      <c r="S495" s="522" t="str">
        <f t="shared" si="53"/>
        <v>Não Qualificado</v>
      </c>
      <c r="T495" s="522" t="s">
        <v>108</v>
      </c>
      <c r="U495" s="522" t="s">
        <v>2652</v>
      </c>
      <c r="V495" s="522" t="s">
        <v>19</v>
      </c>
      <c r="W495" s="614"/>
      <c r="X495" s="614"/>
      <c r="Y495" s="614"/>
      <c r="Z495" s="614"/>
      <c r="AA495" s="614"/>
      <c r="AB495" s="614"/>
      <c r="AC495" s="614"/>
      <c r="AD495" s="614"/>
      <c r="AE495" s="614"/>
      <c r="AF495" s="614"/>
      <c r="AG495" s="614"/>
      <c r="AH495" s="614"/>
      <c r="AI495" s="614"/>
      <c r="AJ495" s="614"/>
      <c r="AK495" s="450"/>
      <c r="AL495" s="450"/>
      <c r="AM495" s="450"/>
      <c r="AN495" s="450"/>
      <c r="AO495" s="450"/>
      <c r="AP495" s="450"/>
      <c r="AQ495" s="450"/>
      <c r="AR495" s="450"/>
      <c r="AS495" s="450"/>
      <c r="AT495" s="450"/>
      <c r="AU495" s="450"/>
      <c r="AV495" s="450"/>
      <c r="AW495" s="450"/>
      <c r="AX495" s="450"/>
      <c r="AY495" s="450"/>
      <c r="AZ495" s="450"/>
      <c r="BA495" s="450"/>
      <c r="BB495" s="450"/>
      <c r="BC495" s="450">
        <v>92965.24</v>
      </c>
      <c r="BD495" s="450">
        <v>545169.46</v>
      </c>
      <c r="BE495" s="450">
        <v>549869.79</v>
      </c>
      <c r="BF495" s="450">
        <v>551256.58</v>
      </c>
      <c r="BG495" s="450">
        <v>556899.1048</v>
      </c>
      <c r="BH495" s="450">
        <v>560246.84</v>
      </c>
      <c r="BI495" s="450">
        <v>564587.98</v>
      </c>
      <c r="BJ495" s="450">
        <v>565785.89</v>
      </c>
      <c r="BK495" s="450">
        <v>571306.01</v>
      </c>
      <c r="BL495" s="450">
        <v>730716.62</v>
      </c>
      <c r="BM495" s="450">
        <v>585409.24</v>
      </c>
      <c r="BN495" s="450">
        <v>515386.43</v>
      </c>
      <c r="BO495" s="450">
        <v>42.9</v>
      </c>
      <c r="BP495" s="450">
        <v>43.43</v>
      </c>
      <c r="BQ495" s="450">
        <v>43.7</v>
      </c>
      <c r="BR495" s="450">
        <v>44.26</v>
      </c>
      <c r="BS495" s="615">
        <f t="array" ref="BS495">XLOOKUP(D495,'PL TOTAL XP'!A:A,'PL TOTAL XP'!C:C,"0")</f>
        <v>0</v>
      </c>
      <c r="BT495" s="616"/>
    </row>
    <row r="496" ht="15.75" customHeight="1">
      <c r="A496" s="183" t="s">
        <v>3820</v>
      </c>
      <c r="B496" s="78" t="s">
        <v>2297</v>
      </c>
      <c r="C496" s="617" t="s">
        <v>2294</v>
      </c>
      <c r="D496" s="522">
        <v>4634231.0</v>
      </c>
      <c r="E496" s="512" t="s">
        <v>105</v>
      </c>
      <c r="F496" s="512" t="s">
        <v>29</v>
      </c>
      <c r="G496" s="512" t="s">
        <v>3873</v>
      </c>
      <c r="H496" s="512" t="str">
        <f>IFERROR(VLOOKUP(G496,'Cadastro de assessores'!A:B,2,FALSE),"Não Cadastrado")</f>
        <v>12624</v>
      </c>
      <c r="I496" s="512"/>
      <c r="J496" s="51" t="s">
        <v>3823</v>
      </c>
      <c r="K496" s="512" t="s">
        <v>107</v>
      </c>
      <c r="L496" s="610">
        <v>44166.0</v>
      </c>
      <c r="M496" s="610">
        <v>44173.0</v>
      </c>
      <c r="N496" s="522"/>
      <c r="O496" s="522" t="s">
        <v>3834</v>
      </c>
      <c r="P496" s="612">
        <v>0.007</v>
      </c>
      <c r="Q496" s="704" t="s">
        <v>5269</v>
      </c>
      <c r="R496" s="613"/>
      <c r="S496" s="522" t="str">
        <f t="shared" si="53"/>
        <v>Não Qualificado</v>
      </c>
      <c r="T496" s="522" t="s">
        <v>108</v>
      </c>
      <c r="U496" s="522" t="s">
        <v>2602</v>
      </c>
      <c r="V496" s="522" t="s">
        <v>29</v>
      </c>
      <c r="W496" s="614" t="s">
        <v>3830</v>
      </c>
      <c r="X496" s="614" t="s">
        <v>3830</v>
      </c>
      <c r="Y496" s="614" t="s">
        <v>3830</v>
      </c>
      <c r="Z496" s="614" t="s">
        <v>3830</v>
      </c>
      <c r="AA496" s="614" t="s">
        <v>3830</v>
      </c>
      <c r="AB496" s="614" t="s">
        <v>3830</v>
      </c>
      <c r="AC496" s="614" t="s">
        <v>3830</v>
      </c>
      <c r="AD496" s="614" t="s">
        <v>3830</v>
      </c>
      <c r="AE496" s="614" t="s">
        <v>3830</v>
      </c>
      <c r="AF496" s="614" t="s">
        <v>3830</v>
      </c>
      <c r="AG496" s="614" t="s">
        <v>3830</v>
      </c>
      <c r="AH496" s="614" t="s">
        <v>3830</v>
      </c>
      <c r="AI496" s="614" t="s">
        <v>3830</v>
      </c>
      <c r="AJ496" s="614" t="s">
        <v>3830</v>
      </c>
      <c r="AK496" s="450">
        <v>374479.58</v>
      </c>
      <c r="AL496" s="450">
        <v>368492.93</v>
      </c>
      <c r="AM496" s="450">
        <v>357126.43</v>
      </c>
      <c r="AN496" s="450">
        <v>356792.57</v>
      </c>
      <c r="AO496" s="450">
        <v>367286.21</v>
      </c>
      <c r="AP496" s="450">
        <v>368973.82</v>
      </c>
      <c r="AQ496" s="450">
        <v>367283.66</v>
      </c>
      <c r="AR496" s="450">
        <v>404527.96</v>
      </c>
      <c r="AS496" s="450">
        <v>426152.36</v>
      </c>
      <c r="AT496" s="450">
        <v>436834.57</v>
      </c>
      <c r="AU496" s="450">
        <v>434307.12</v>
      </c>
      <c r="AV496" s="450">
        <v>425660.38</v>
      </c>
      <c r="AW496" s="450">
        <v>410732.68</v>
      </c>
      <c r="AX496" s="450">
        <v>411211.15</v>
      </c>
      <c r="AY496" s="450">
        <v>417430.97</v>
      </c>
      <c r="AZ496" s="450">
        <v>424720.76</v>
      </c>
      <c r="BA496" s="450">
        <v>429437.82</v>
      </c>
      <c r="BB496" s="450">
        <v>440640.17</v>
      </c>
      <c r="BC496" s="450">
        <v>49352.11</v>
      </c>
      <c r="BD496" s="450">
        <v>442424.47</v>
      </c>
      <c r="BE496" s="450">
        <v>443481.14</v>
      </c>
      <c r="BF496" s="450">
        <v>446934.42</v>
      </c>
      <c r="BG496" s="450">
        <v>449042.483</v>
      </c>
      <c r="BH496" s="450">
        <v>451286.37</v>
      </c>
      <c r="BI496" s="450">
        <v>454381.38</v>
      </c>
      <c r="BJ496" s="450">
        <v>507340.35</v>
      </c>
      <c r="BK496" s="450">
        <v>551419.18</v>
      </c>
      <c r="BL496" s="450">
        <v>834.49</v>
      </c>
      <c r="BM496" s="450">
        <v>381.59</v>
      </c>
      <c r="BN496" s="450">
        <v>0.0</v>
      </c>
      <c r="BO496" s="450">
        <v>0.0</v>
      </c>
      <c r="BP496" s="450">
        <v>0.0</v>
      </c>
      <c r="BQ496" s="450">
        <v>0.0</v>
      </c>
      <c r="BR496" s="450">
        <v>0.0</v>
      </c>
      <c r="BS496" s="615" t="str">
        <f t="array" ref="BS496">XLOOKUP(D496,'PL TOTAL XP'!A:A,'PL TOTAL XP'!C:C,"0")</f>
        <v>0</v>
      </c>
      <c r="BT496" s="616"/>
    </row>
    <row r="497" ht="15.75" customHeight="1">
      <c r="A497" s="183" t="s">
        <v>3820</v>
      </c>
      <c r="B497" s="78" t="s">
        <v>5270</v>
      </c>
      <c r="C497" s="564" t="s">
        <v>5271</v>
      </c>
      <c r="D497" s="566">
        <v>4304013.0</v>
      </c>
      <c r="E497" s="512" t="s">
        <v>18</v>
      </c>
      <c r="F497" s="609" t="s">
        <v>19</v>
      </c>
      <c r="G497" s="512" t="s">
        <v>256</v>
      </c>
      <c r="H497" s="609" t="str">
        <f>IFERROR(VLOOKUP(G497,'Cadastro de assessores'!A:B,2,FALSE),"Não Cadastrado")</f>
        <v>18009</v>
      </c>
      <c r="I497" s="609"/>
      <c r="J497" s="51" t="s">
        <v>3823</v>
      </c>
      <c r="K497" s="643" t="s">
        <v>107</v>
      </c>
      <c r="L497" s="610">
        <v>44292.0</v>
      </c>
      <c r="M497" s="610">
        <v>44291.0</v>
      </c>
      <c r="N497" s="522"/>
      <c r="O497" s="522" t="s">
        <v>3840</v>
      </c>
      <c r="P497" s="612">
        <v>0.025</v>
      </c>
      <c r="Q497" s="224"/>
      <c r="R497" s="613"/>
      <c r="S497" s="522" t="str">
        <f t="shared" si="53"/>
        <v/>
      </c>
      <c r="T497" s="522" t="s">
        <v>108</v>
      </c>
      <c r="U497" s="566" t="s">
        <v>2596</v>
      </c>
      <c r="V497" s="522" t="s">
        <v>3908</v>
      </c>
      <c r="W497" s="468"/>
      <c r="X497" s="468"/>
      <c r="Y497" s="468"/>
      <c r="Z497" s="468"/>
      <c r="AA497" s="468"/>
      <c r="AB497" s="468"/>
      <c r="AC497" s="468"/>
      <c r="AD497" s="468"/>
      <c r="AE497" s="468"/>
      <c r="AF497" s="468"/>
      <c r="AG497" s="468"/>
      <c r="AH497" s="468"/>
      <c r="AI497" s="468"/>
      <c r="AJ497" s="468"/>
      <c r="AK497" s="450"/>
      <c r="AL497" s="450"/>
      <c r="AM497" s="450"/>
      <c r="AN497" s="450"/>
      <c r="AO497" s="450"/>
      <c r="AP497" s="450">
        <v>281544.63</v>
      </c>
      <c r="AQ497" s="450">
        <v>278530.58</v>
      </c>
      <c r="AR497" s="450">
        <v>90303.36</v>
      </c>
      <c r="AS497" s="450">
        <v>88247.12</v>
      </c>
      <c r="AT497" s="450">
        <v>83704.06</v>
      </c>
      <c r="AU497" s="450">
        <v>4867.33</v>
      </c>
      <c r="AV497" s="450">
        <v>3746.51</v>
      </c>
      <c r="AW497" s="450">
        <v>4875.27</v>
      </c>
      <c r="AX497" s="450">
        <v>4870.91</v>
      </c>
      <c r="AY497" s="450">
        <v>3800.12</v>
      </c>
      <c r="AZ497" s="450">
        <v>3792.14</v>
      </c>
      <c r="BA497" s="450">
        <v>3784.92</v>
      </c>
      <c r="BB497" s="450">
        <v>3801.52</v>
      </c>
      <c r="BC497" s="450">
        <v>0.0</v>
      </c>
      <c r="BD497" s="450">
        <v>3902.52</v>
      </c>
      <c r="BE497" s="450">
        <v>3941.98</v>
      </c>
      <c r="BF497" s="450">
        <v>3981.97</v>
      </c>
      <c r="BG497" s="450">
        <v>4027.82</v>
      </c>
      <c r="BH497" s="450">
        <v>4066.2</v>
      </c>
      <c r="BI497" s="450">
        <v>4122.55</v>
      </c>
      <c r="BJ497" s="450">
        <v>4146.4</v>
      </c>
      <c r="BK497" s="450">
        <v>4181.83</v>
      </c>
      <c r="BL497" s="450">
        <v>4242.79</v>
      </c>
      <c r="BM497" s="450">
        <v>4288.23</v>
      </c>
      <c r="BN497" s="450">
        <v>4331.31</v>
      </c>
      <c r="BO497" s="450">
        <v>4372.48</v>
      </c>
      <c r="BP497" s="450">
        <v>4420.75</v>
      </c>
      <c r="BQ497" s="450">
        <v>4470.85</v>
      </c>
      <c r="BR497" s="450">
        <v>4513.11</v>
      </c>
      <c r="BS497" s="615">
        <f t="array" ref="BS497">XLOOKUP(D497,'PL TOTAL XP'!A:A,'PL TOTAL XP'!C:C,"0")</f>
        <v>4949.88</v>
      </c>
      <c r="BT497" s="616"/>
    </row>
    <row r="498" ht="15.75" customHeight="1">
      <c r="A498" s="183" t="s">
        <v>3820</v>
      </c>
      <c r="B498" s="78" t="s">
        <v>2304</v>
      </c>
      <c r="C498" s="617" t="s">
        <v>2301</v>
      </c>
      <c r="D498" s="522">
        <v>4695301.0</v>
      </c>
      <c r="E498" s="512" t="s">
        <v>105</v>
      </c>
      <c r="F498" s="512" t="s">
        <v>29</v>
      </c>
      <c r="G498" s="512" t="s">
        <v>4075</v>
      </c>
      <c r="H498" s="512" t="str">
        <f>IFERROR(VLOOKUP(G498,'Cadastro de assessores'!A:B,2,FALSE),"Não Cadastrado")</f>
        <v>19634</v>
      </c>
      <c r="I498" s="512"/>
      <c r="J498" s="51" t="s">
        <v>3823</v>
      </c>
      <c r="K498" s="512" t="s">
        <v>107</v>
      </c>
      <c r="L498" s="610">
        <v>44217.0</v>
      </c>
      <c r="M498" s="610">
        <v>44218.0</v>
      </c>
      <c r="N498" s="522"/>
      <c r="O498" s="522" t="s">
        <v>3824</v>
      </c>
      <c r="P498" s="612">
        <v>0.02</v>
      </c>
      <c r="Q498" s="620"/>
      <c r="R498" s="613"/>
      <c r="S498" s="522" t="str">
        <f t="shared" si="53"/>
        <v/>
      </c>
      <c r="T498" s="522" t="s">
        <v>108</v>
      </c>
      <c r="U498" s="522" t="s">
        <v>3407</v>
      </c>
      <c r="V498" s="522" t="s">
        <v>29</v>
      </c>
      <c r="W498" s="614"/>
      <c r="X498" s="614"/>
      <c r="Y498" s="614"/>
      <c r="Z498" s="614"/>
      <c r="AA498" s="614"/>
      <c r="AB498" s="614"/>
      <c r="AC498" s="614"/>
      <c r="AD498" s="614"/>
      <c r="AE498" s="614"/>
      <c r="AF498" s="614"/>
      <c r="AG498" s="614"/>
      <c r="AH498" s="614"/>
      <c r="AI498" s="614"/>
      <c r="AJ498" s="614"/>
      <c r="AK498" s="450" t="s">
        <v>2600</v>
      </c>
      <c r="AL498" s="450">
        <v>259477.81</v>
      </c>
      <c r="AM498" s="450">
        <v>249284.55</v>
      </c>
      <c r="AN498" s="450">
        <v>249872.18</v>
      </c>
      <c r="AO498" s="450">
        <v>258124.39</v>
      </c>
      <c r="AP498" s="450">
        <v>262130.43</v>
      </c>
      <c r="AQ498" s="450">
        <v>260667.34</v>
      </c>
      <c r="AR498" s="450">
        <v>268374.09</v>
      </c>
      <c r="AS498" s="450">
        <v>265606.07</v>
      </c>
      <c r="AT498" s="450">
        <v>257212.44</v>
      </c>
      <c r="AU498" s="450">
        <v>254376.8</v>
      </c>
      <c r="AV498" s="450">
        <v>246902.58</v>
      </c>
      <c r="AW498" s="450">
        <v>232996.56</v>
      </c>
      <c r="AX498" s="450">
        <v>232289.61</v>
      </c>
      <c r="AY498" s="450">
        <v>235908.56</v>
      </c>
      <c r="AZ498" s="450">
        <v>244649.72</v>
      </c>
      <c r="BA498" s="450">
        <v>246781.72</v>
      </c>
      <c r="BB498" s="450">
        <v>772216.52</v>
      </c>
      <c r="BC498" s="450">
        <v>0.0</v>
      </c>
      <c r="BD498" s="450">
        <v>814490.07</v>
      </c>
      <c r="BE498" s="450">
        <v>811879.15</v>
      </c>
      <c r="BF498" s="450">
        <v>825868.48</v>
      </c>
      <c r="BG498" s="450">
        <v>833808.7859</v>
      </c>
      <c r="BH498" s="450">
        <v>831782.15</v>
      </c>
      <c r="BI498" s="450">
        <v>860119.86</v>
      </c>
      <c r="BJ498" s="450">
        <v>863574.82</v>
      </c>
      <c r="BK498" s="450">
        <v>866608.17</v>
      </c>
      <c r="BL498" s="450">
        <v>310966.91</v>
      </c>
      <c r="BM498" s="450">
        <v>8.65</v>
      </c>
      <c r="BN498" s="450">
        <v>8.66</v>
      </c>
      <c r="BO498" s="450">
        <v>8.66</v>
      </c>
      <c r="BP498" s="450">
        <v>8.66</v>
      </c>
      <c r="BQ498" s="450">
        <v>8.66</v>
      </c>
      <c r="BR498" s="450">
        <v>8.66</v>
      </c>
      <c r="BS498" s="615">
        <f t="array" ref="BS498">XLOOKUP(D498,'PL TOTAL XP'!A:A,'PL TOTAL XP'!C:C,"0")</f>
        <v>0</v>
      </c>
      <c r="BT498" s="616"/>
    </row>
    <row r="499" ht="15.75" customHeight="1">
      <c r="A499" s="183" t="s">
        <v>3820</v>
      </c>
      <c r="B499" s="78" t="s">
        <v>5272</v>
      </c>
      <c r="C499" s="617" t="s">
        <v>5273</v>
      </c>
      <c r="D499" s="522">
        <v>4537910.0</v>
      </c>
      <c r="E499" s="512" t="s">
        <v>105</v>
      </c>
      <c r="F499" s="512" t="s">
        <v>29</v>
      </c>
      <c r="G499" s="512" t="s">
        <v>4087</v>
      </c>
      <c r="H499" s="512" t="str">
        <f>IFERROR(VLOOKUP(G499,'Cadastro de assessores'!A:B,2,FALSE),"Não Cadastrado")</f>
        <v>17243</v>
      </c>
      <c r="I499" s="512"/>
      <c r="J499" s="51" t="s">
        <v>3823</v>
      </c>
      <c r="K499" s="643" t="s">
        <v>147</v>
      </c>
      <c r="L499" s="522" t="s">
        <v>2600</v>
      </c>
      <c r="M499" s="640" t="s">
        <v>4195</v>
      </c>
      <c r="N499" s="522"/>
      <c r="O499" s="522" t="s">
        <v>3828</v>
      </c>
      <c r="P499" s="612">
        <v>0.015</v>
      </c>
      <c r="Q499" s="620"/>
      <c r="R499" s="613"/>
      <c r="S499" s="522" t="str">
        <f t="shared" si="53"/>
        <v/>
      </c>
      <c r="T499" s="522" t="s">
        <v>369</v>
      </c>
      <c r="U499" s="522" t="s">
        <v>4089</v>
      </c>
      <c r="V499" s="522" t="s">
        <v>29</v>
      </c>
      <c r="W499" s="614" t="s">
        <v>3830</v>
      </c>
      <c r="X499" s="614" t="s">
        <v>3830</v>
      </c>
      <c r="Y499" s="614" t="s">
        <v>3830</v>
      </c>
      <c r="Z499" s="614" t="s">
        <v>3830</v>
      </c>
      <c r="AA499" s="614" t="s">
        <v>3830</v>
      </c>
      <c r="AB499" s="614" t="s">
        <v>3830</v>
      </c>
      <c r="AC499" s="614" t="s">
        <v>3830</v>
      </c>
      <c r="AD499" s="614" t="s">
        <v>3830</v>
      </c>
      <c r="AE499" s="614" t="s">
        <v>3830</v>
      </c>
      <c r="AF499" s="614" t="s">
        <v>3830</v>
      </c>
      <c r="AG499" s="614" t="s">
        <v>3830</v>
      </c>
      <c r="AH499" s="614" t="s">
        <v>3830</v>
      </c>
      <c r="AI499" s="614" t="s">
        <v>3830</v>
      </c>
      <c r="AJ499" s="614" t="s">
        <v>3830</v>
      </c>
      <c r="AK499" s="450" t="s">
        <v>2600</v>
      </c>
      <c r="AL499" s="450"/>
      <c r="AM499" s="450" t="s">
        <v>2600</v>
      </c>
      <c r="AN499" s="450"/>
      <c r="AO499" s="450"/>
      <c r="AP499" s="450"/>
      <c r="AQ499" s="450"/>
      <c r="AR499" s="450"/>
      <c r="AS499" s="450"/>
      <c r="AT499" s="450"/>
      <c r="AU499" s="450"/>
      <c r="AV499" s="450"/>
      <c r="AW499" s="450"/>
      <c r="AX499" s="450"/>
      <c r="AY499" s="450"/>
      <c r="AZ499" s="450"/>
      <c r="BA499" s="450">
        <v>0.0</v>
      </c>
      <c r="BB499" s="450">
        <v>0.0</v>
      </c>
      <c r="BC499" s="450">
        <v>0.0</v>
      </c>
      <c r="BD499" s="450" t="s">
        <v>2566</v>
      </c>
      <c r="BE499" s="450" t="s">
        <v>2566</v>
      </c>
      <c r="BF499" s="450">
        <v>0.0</v>
      </c>
      <c r="BG499" s="450">
        <v>0.0</v>
      </c>
      <c r="BH499" s="450">
        <v>0.0</v>
      </c>
      <c r="BI499" s="450">
        <v>0.0</v>
      </c>
      <c r="BJ499" s="450">
        <v>0.0</v>
      </c>
      <c r="BK499" s="450">
        <v>0.0</v>
      </c>
      <c r="BL499" s="450">
        <v>0.0</v>
      </c>
      <c r="BM499" s="450">
        <v>0.0</v>
      </c>
      <c r="BN499" s="450">
        <v>0.0</v>
      </c>
      <c r="BO499" s="450">
        <v>0.0</v>
      </c>
      <c r="BP499" s="450">
        <v>0.0</v>
      </c>
      <c r="BQ499" s="450">
        <v>0.0</v>
      </c>
      <c r="BR499" s="450">
        <v>0.0</v>
      </c>
      <c r="BS499" s="615">
        <f t="array" ref="BS499">XLOOKUP(D499,'PL TOTAL XP'!A:A,'PL TOTAL XP'!C:C,"0")</f>
        <v>0</v>
      </c>
      <c r="BT499" s="616"/>
    </row>
    <row r="500" ht="15.75" customHeight="1">
      <c r="A500" s="183" t="s">
        <v>3820</v>
      </c>
      <c r="B500" s="78" t="s">
        <v>2307</v>
      </c>
      <c r="C500" s="132" t="s">
        <v>2305</v>
      </c>
      <c r="D500" s="566">
        <v>7012555.0</v>
      </c>
      <c r="E500" s="512" t="s">
        <v>18</v>
      </c>
      <c r="F500" s="609" t="s">
        <v>29</v>
      </c>
      <c r="G500" s="627" t="s">
        <v>836</v>
      </c>
      <c r="H500" s="512">
        <f>IFERROR(VLOOKUP(G500,'Cadastro de assessores'!A:B,2,FALSE),"Não Cadastrado")</f>
        <v>12342</v>
      </c>
      <c r="I500" s="512"/>
      <c r="J500" s="51" t="s">
        <v>3823</v>
      </c>
      <c r="K500" s="512" t="s">
        <v>107</v>
      </c>
      <c r="L500" s="611">
        <v>44553.0</v>
      </c>
      <c r="M500" s="611">
        <v>44558.0</v>
      </c>
      <c r="N500" s="627"/>
      <c r="O500" s="627" t="s">
        <v>3834</v>
      </c>
      <c r="P500" s="612">
        <v>0.007</v>
      </c>
      <c r="Q500" s="482"/>
      <c r="R500" s="613"/>
      <c r="S500" s="522" t="str">
        <f t="shared" si="53"/>
        <v>Não Qualificado</v>
      </c>
      <c r="T500" s="522" t="s">
        <v>108</v>
      </c>
      <c r="U500" s="478" t="s">
        <v>2656</v>
      </c>
      <c r="V500" s="478" t="s">
        <v>29</v>
      </c>
      <c r="W500" s="468"/>
      <c r="X500" s="468"/>
      <c r="Y500" s="468"/>
      <c r="Z500" s="468"/>
      <c r="AA500" s="468"/>
      <c r="AB500" s="468"/>
      <c r="AC500" s="468"/>
      <c r="AD500" s="468"/>
      <c r="AE500" s="468"/>
      <c r="AF500" s="468"/>
      <c r="AG500" s="614"/>
      <c r="AH500" s="614"/>
      <c r="AI500" s="614"/>
      <c r="AJ500" s="450"/>
      <c r="AK500" s="450"/>
      <c r="AL500" s="450"/>
      <c r="AM500" s="450"/>
      <c r="AN500" s="450"/>
      <c r="AO500" s="450"/>
      <c r="AP500" s="450"/>
      <c r="AQ500" s="450"/>
      <c r="AR500" s="450"/>
      <c r="AS500" s="450"/>
      <c r="AT500" s="450"/>
      <c r="AU500" s="450"/>
      <c r="AV500" s="450"/>
      <c r="AW500" s="450"/>
      <c r="AX500" s="468"/>
      <c r="AY500" s="468"/>
      <c r="AZ500" s="614"/>
      <c r="BA500" s="614">
        <v>0.0</v>
      </c>
      <c r="BB500" s="614">
        <v>97971.76</v>
      </c>
      <c r="BC500" s="614">
        <v>68.07</v>
      </c>
      <c r="BD500" s="450">
        <v>125783.16</v>
      </c>
      <c r="BE500" s="450">
        <v>126984.4</v>
      </c>
      <c r="BF500" s="450">
        <v>128005.57</v>
      </c>
      <c r="BG500" s="450">
        <v>128602.329</v>
      </c>
      <c r="BH500" s="450">
        <v>129351.89</v>
      </c>
      <c r="BI500" s="450">
        <v>130329.42</v>
      </c>
      <c r="BJ500" s="450">
        <v>131582.92</v>
      </c>
      <c r="BK500" s="450">
        <v>132269.07</v>
      </c>
      <c r="BL500" s="450">
        <v>128675.04</v>
      </c>
      <c r="BM500" s="450">
        <v>129539.33</v>
      </c>
      <c r="BN500" s="450">
        <v>130208.28</v>
      </c>
      <c r="BO500" s="450">
        <v>130664.63</v>
      </c>
      <c r="BP500" s="450">
        <v>132069.02</v>
      </c>
      <c r="BQ500" s="450">
        <v>132553.15</v>
      </c>
      <c r="BR500" s="450">
        <v>133064.13</v>
      </c>
      <c r="BS500" s="615">
        <f t="array" ref="BS500">XLOOKUP(D500,'PL TOTAL XP'!A:A,'PL TOTAL XP'!C:C,"0")</f>
        <v>0</v>
      </c>
      <c r="BT500" s="616"/>
    </row>
    <row r="501" ht="15.75" customHeight="1">
      <c r="A501" s="183" t="s">
        <v>3820</v>
      </c>
      <c r="B501" s="78" t="s">
        <v>2311</v>
      </c>
      <c r="C501" s="617" t="s">
        <v>3534</v>
      </c>
      <c r="D501" s="522">
        <v>4848036.0</v>
      </c>
      <c r="E501" s="512" t="s">
        <v>2550</v>
      </c>
      <c r="F501" s="512" t="s">
        <v>29</v>
      </c>
      <c r="G501" s="512" t="s">
        <v>2550</v>
      </c>
      <c r="H501" s="512" t="str">
        <f>IFERROR(VLOOKUP(G501,'Cadastro de assessores'!A:B,2,FALSE),"Não Cadastrado")</f>
        <v>18986</v>
      </c>
      <c r="I501" s="512"/>
      <c r="J501" s="51" t="s">
        <v>3823</v>
      </c>
      <c r="K501" s="512" t="s">
        <v>107</v>
      </c>
      <c r="L501" s="610">
        <v>44249.0</v>
      </c>
      <c r="M501" s="610">
        <v>44249.0</v>
      </c>
      <c r="N501" s="522"/>
      <c r="O501" s="522" t="s">
        <v>3836</v>
      </c>
      <c r="P501" s="612">
        <v>0.012</v>
      </c>
      <c r="Q501" s="620"/>
      <c r="R501" s="613"/>
      <c r="S501" s="522" t="str">
        <f t="shared" si="53"/>
        <v/>
      </c>
      <c r="T501" s="522" t="s">
        <v>108</v>
      </c>
      <c r="U501" s="522" t="s">
        <v>2614</v>
      </c>
      <c r="V501" s="522" t="s">
        <v>29</v>
      </c>
      <c r="W501" s="614"/>
      <c r="X501" s="614"/>
      <c r="Y501" s="614"/>
      <c r="Z501" s="614"/>
      <c r="AA501" s="614"/>
      <c r="AB501" s="614"/>
      <c r="AC501" s="614"/>
      <c r="AD501" s="614"/>
      <c r="AE501" s="614"/>
      <c r="AF501" s="614"/>
      <c r="AG501" s="614"/>
      <c r="AH501" s="614"/>
      <c r="AI501" s="614"/>
      <c r="AJ501" s="614"/>
      <c r="AK501" s="450"/>
      <c r="AL501" s="450"/>
      <c r="AM501" s="450">
        <v>35259.38</v>
      </c>
      <c r="AN501" s="450">
        <v>88676.66</v>
      </c>
      <c r="AO501" s="450">
        <v>118743.57</v>
      </c>
      <c r="AP501" s="450">
        <v>119179.66</v>
      </c>
      <c r="AQ501" s="450">
        <v>118615.99</v>
      </c>
      <c r="AR501" s="450">
        <v>160788.02</v>
      </c>
      <c r="AS501" s="450">
        <v>160329.46</v>
      </c>
      <c r="AT501" s="450">
        <v>158823.85</v>
      </c>
      <c r="AU501" s="450">
        <v>158533.19</v>
      </c>
      <c r="AV501" s="450">
        <v>197973.84</v>
      </c>
      <c r="AW501" s="450">
        <v>195536.85</v>
      </c>
      <c r="AX501" s="450">
        <v>196086.38</v>
      </c>
      <c r="AY501" s="450">
        <v>197943.96</v>
      </c>
      <c r="AZ501" s="450">
        <v>201178.19</v>
      </c>
      <c r="BA501" s="450">
        <v>202539.54</v>
      </c>
      <c r="BB501" s="450">
        <v>207342.43</v>
      </c>
      <c r="BC501" s="450">
        <v>0.0</v>
      </c>
      <c r="BD501" s="450">
        <v>207959.66</v>
      </c>
      <c r="BE501" s="450">
        <v>208421.94</v>
      </c>
      <c r="BF501" s="450">
        <v>211238.82</v>
      </c>
      <c r="BG501" s="450">
        <v>212716.2274</v>
      </c>
      <c r="BH501" s="450">
        <v>213723.96</v>
      </c>
      <c r="BI501" s="450">
        <v>217377.67</v>
      </c>
      <c r="BJ501" s="450">
        <v>217417.18</v>
      </c>
      <c r="BK501" s="450">
        <v>219083.35</v>
      </c>
      <c r="BL501" s="450">
        <v>221500.73</v>
      </c>
      <c r="BM501" s="450">
        <v>222695.35</v>
      </c>
      <c r="BN501" s="450">
        <v>225191.45</v>
      </c>
      <c r="BO501" s="450">
        <v>0.0</v>
      </c>
      <c r="BP501" s="450">
        <v>0.0</v>
      </c>
      <c r="BQ501" s="450">
        <v>0.0</v>
      </c>
      <c r="BR501" s="450">
        <v>0.0</v>
      </c>
      <c r="BS501" s="615">
        <f t="array" ref="BS501">XLOOKUP(D501,'PL TOTAL XP'!A:A,'PL TOTAL XP'!C:C,"0")</f>
        <v>0</v>
      </c>
      <c r="BT501" s="616"/>
    </row>
    <row r="502" ht="15.75" customHeight="1">
      <c r="A502" s="183" t="s">
        <v>3820</v>
      </c>
      <c r="B502" s="78" t="s">
        <v>5274</v>
      </c>
      <c r="C502" s="564" t="s">
        <v>5275</v>
      </c>
      <c r="D502" s="635">
        <v>7975278.0</v>
      </c>
      <c r="E502" s="511" t="s">
        <v>18</v>
      </c>
      <c r="F502" s="511" t="s">
        <v>29</v>
      </c>
      <c r="G502" s="522" t="s">
        <v>4358</v>
      </c>
      <c r="H502" s="511" t="str">
        <f>IFERROR(VLOOKUP(G502,'Cadastro de assessores'!A:B,2,FALSE),"Não Cadastrado")</f>
        <v>16130</v>
      </c>
      <c r="I502" s="511"/>
      <c r="J502" s="51" t="s">
        <v>186</v>
      </c>
      <c r="K502" s="522" t="s">
        <v>2563</v>
      </c>
      <c r="L502" s="619">
        <v>44623.0</v>
      </c>
      <c r="M502" s="619">
        <v>44623.0</v>
      </c>
      <c r="N502" s="619">
        <v>44774.0</v>
      </c>
      <c r="O502" s="522" t="s">
        <v>3834</v>
      </c>
      <c r="P502" s="612">
        <v>0.007</v>
      </c>
      <c r="Q502" s="224" t="s">
        <v>5276</v>
      </c>
      <c r="R502" s="613"/>
      <c r="S502" s="522" t="str">
        <f t="shared" si="53"/>
        <v>Não Qualificado</v>
      </c>
      <c r="T502" s="522" t="s">
        <v>108</v>
      </c>
      <c r="U502" s="566" t="s">
        <v>2614</v>
      </c>
      <c r="V502" s="566" t="s">
        <v>29</v>
      </c>
      <c r="W502" s="468"/>
      <c r="X502" s="468"/>
      <c r="Y502" s="468"/>
      <c r="Z502" s="468"/>
      <c r="AA502" s="468"/>
      <c r="AB502" s="468"/>
      <c r="AC502" s="468"/>
      <c r="AD502" s="468"/>
      <c r="AE502" s="468"/>
      <c r="AF502" s="468"/>
      <c r="AG502" s="468"/>
      <c r="AH502" s="614"/>
      <c r="AI502" s="614"/>
      <c r="AJ502" s="450"/>
      <c r="AK502" s="450"/>
      <c r="AL502" s="450"/>
      <c r="AM502" s="450"/>
      <c r="AN502" s="450"/>
      <c r="AO502" s="450"/>
      <c r="AP502" s="450"/>
      <c r="AQ502" s="450"/>
      <c r="AR502" s="450"/>
      <c r="AS502" s="450"/>
      <c r="AT502" s="449"/>
      <c r="AU502" s="449"/>
      <c r="AV502" s="450"/>
      <c r="AW502" s="450"/>
      <c r="AX502" s="450"/>
      <c r="AY502" s="450"/>
      <c r="AZ502" s="450"/>
      <c r="BA502" s="450"/>
      <c r="BB502" s="450">
        <v>56715.62</v>
      </c>
      <c r="BC502" s="450">
        <v>219997.52</v>
      </c>
      <c r="BD502" s="450">
        <v>118550.25</v>
      </c>
      <c r="BE502" s="450">
        <v>119575.47</v>
      </c>
      <c r="BF502" s="450">
        <v>120368.45</v>
      </c>
      <c r="BG502" s="450">
        <v>0.0</v>
      </c>
      <c r="BH502" s="450">
        <v>0.0</v>
      </c>
      <c r="BI502" s="450">
        <v>0.0</v>
      </c>
      <c r="BJ502" s="450">
        <v>0.0</v>
      </c>
      <c r="BK502" s="450">
        <v>0.0</v>
      </c>
      <c r="BL502" s="450">
        <v>0.0</v>
      </c>
      <c r="BM502" s="450">
        <v>0.0</v>
      </c>
      <c r="BN502" s="450">
        <v>0.0</v>
      </c>
      <c r="BO502" s="450">
        <v>0.0</v>
      </c>
      <c r="BP502" s="450">
        <v>0.0</v>
      </c>
      <c r="BQ502" s="450">
        <v>0.0</v>
      </c>
      <c r="BR502" s="450">
        <v>0.0</v>
      </c>
      <c r="BS502" s="615" t="str">
        <f t="array" ref="BS502">XLOOKUP(D502,'PL TOTAL XP'!A:A,'PL TOTAL XP'!C:C,"0")</f>
        <v>0</v>
      </c>
      <c r="BT502" s="616"/>
    </row>
    <row r="503" ht="15.75" customHeight="1">
      <c r="A503" s="183" t="s">
        <v>3820</v>
      </c>
      <c r="B503" s="78" t="s">
        <v>2331</v>
      </c>
      <c r="C503" s="637" t="s">
        <v>5277</v>
      </c>
      <c r="D503" s="638">
        <v>3924234.0</v>
      </c>
      <c r="E503" s="512" t="s">
        <v>18</v>
      </c>
      <c r="F503" s="512" t="s">
        <v>29</v>
      </c>
      <c r="G503" s="512" t="s">
        <v>60</v>
      </c>
      <c r="H503" s="512"/>
      <c r="I503" s="512"/>
      <c r="J503" s="51" t="s">
        <v>3823</v>
      </c>
      <c r="K503" s="512"/>
      <c r="L503" s="610"/>
      <c r="M503" s="610">
        <v>44918.0</v>
      </c>
      <c r="N503" s="522"/>
      <c r="O503" s="522" t="s">
        <v>3836</v>
      </c>
      <c r="P503" s="612">
        <v>0.008</v>
      </c>
      <c r="Q503" s="700" t="s">
        <v>5278</v>
      </c>
      <c r="R503" s="613"/>
      <c r="S503" s="522"/>
      <c r="T503" s="522"/>
      <c r="U503" s="522"/>
      <c r="V503" s="522" t="s">
        <v>19</v>
      </c>
      <c r="W503" s="614"/>
      <c r="X503" s="614"/>
      <c r="Y503" s="614"/>
      <c r="Z503" s="614"/>
      <c r="AA503" s="614"/>
      <c r="AB503" s="614"/>
      <c r="AC503" s="614"/>
      <c r="AD503" s="614"/>
      <c r="AE503" s="614"/>
      <c r="AF503" s="614"/>
      <c r="AG503" s="614"/>
      <c r="AH503" s="614"/>
      <c r="AI503" s="614"/>
      <c r="AJ503" s="614"/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>
        <v>0.0</v>
      </c>
      <c r="BK503" s="450">
        <v>1211794.31</v>
      </c>
      <c r="BL503" s="450">
        <v>1232482.01</v>
      </c>
      <c r="BM503" s="450">
        <v>1324247.73</v>
      </c>
      <c r="BN503" s="450">
        <v>130985.82</v>
      </c>
      <c r="BO503" s="450">
        <v>0.0</v>
      </c>
      <c r="BP503" s="450">
        <v>0.0</v>
      </c>
      <c r="BQ503" s="450">
        <v>0.0</v>
      </c>
      <c r="BR503" s="450">
        <v>0.0</v>
      </c>
      <c r="BS503" s="615">
        <f t="array" ref="BS503">XLOOKUP(D503,'PL TOTAL XP'!A:A,'PL TOTAL XP'!C:C,"0")</f>
        <v>0</v>
      </c>
      <c r="BT503" s="616"/>
    </row>
    <row r="504" ht="15.75" customHeight="1">
      <c r="A504" s="183" t="s">
        <v>3820</v>
      </c>
      <c r="B504" s="78" t="s">
        <v>5279</v>
      </c>
      <c r="C504" s="617" t="s">
        <v>5280</v>
      </c>
      <c r="D504" s="522">
        <v>4431395.0</v>
      </c>
      <c r="E504" s="512" t="s">
        <v>18</v>
      </c>
      <c r="F504" s="512" t="s">
        <v>29</v>
      </c>
      <c r="G504" s="512" t="s">
        <v>168</v>
      </c>
      <c r="H504" s="512">
        <f>IFERROR(VLOOKUP(G504,'Cadastro de assessores'!A:B,2,FALSE),"Não Cadastrado")</f>
        <v>12344</v>
      </c>
      <c r="I504" s="512"/>
      <c r="J504" s="51" t="s">
        <v>186</v>
      </c>
      <c r="K504" s="512" t="s">
        <v>107</v>
      </c>
      <c r="L504" s="610">
        <v>44076.0</v>
      </c>
      <c r="M504" s="610">
        <v>44076.0</v>
      </c>
      <c r="N504" s="619">
        <v>44930.0</v>
      </c>
      <c r="O504" s="522" t="s">
        <v>3836</v>
      </c>
      <c r="P504" s="612">
        <v>0.012</v>
      </c>
      <c r="Q504" s="620" t="s">
        <v>5193</v>
      </c>
      <c r="R504" s="613"/>
      <c r="S504" s="522" t="str">
        <f t="shared" ref="S504:S505" si="54">IF(BC504&lt;=0,"",IF(BC504&lt;=1000000,"Não Qualificado",IF(AND(BC504&gt;1000000,BC504&lt;=10000000),"Qualificado","Profissional")))</f>
        <v/>
      </c>
      <c r="T504" s="522" t="s">
        <v>108</v>
      </c>
      <c r="U504" s="522" t="s">
        <v>2580</v>
      </c>
      <c r="V504" s="522" t="s">
        <v>29</v>
      </c>
      <c r="W504" s="614" t="s">
        <v>3830</v>
      </c>
      <c r="X504" s="614" t="s">
        <v>3830</v>
      </c>
      <c r="Y504" s="614" t="s">
        <v>3830</v>
      </c>
      <c r="Z504" s="614" t="s">
        <v>3830</v>
      </c>
      <c r="AA504" s="614" t="s">
        <v>3830</v>
      </c>
      <c r="AB504" s="614" t="s">
        <v>3830</v>
      </c>
      <c r="AC504" s="614" t="s">
        <v>3830</v>
      </c>
      <c r="AD504" s="614" t="s">
        <v>3830</v>
      </c>
      <c r="AE504" s="614" t="s">
        <v>3830</v>
      </c>
      <c r="AF504" s="614" t="s">
        <v>3830</v>
      </c>
      <c r="AG504" s="614" t="s">
        <v>3830</v>
      </c>
      <c r="AH504" s="614" t="s">
        <v>5281</v>
      </c>
      <c r="AI504" s="614" t="s">
        <v>5282</v>
      </c>
      <c r="AJ504" s="614" t="s">
        <v>5283</v>
      </c>
      <c r="AK504" s="450">
        <v>254891.09</v>
      </c>
      <c r="AL504" s="450">
        <v>252447.04</v>
      </c>
      <c r="AM504" s="450">
        <v>248774.28</v>
      </c>
      <c r="AN504" s="450">
        <v>248903.87</v>
      </c>
      <c r="AO504" s="450">
        <v>251098.21</v>
      </c>
      <c r="AP504" s="450">
        <v>251755.04</v>
      </c>
      <c r="AQ504" s="450">
        <v>251238.53</v>
      </c>
      <c r="AR504" s="450">
        <v>254734.63</v>
      </c>
      <c r="AS504" s="450">
        <v>254144.57</v>
      </c>
      <c r="AT504" s="450">
        <v>252208.93</v>
      </c>
      <c r="AU504" s="450">
        <v>251983.21</v>
      </c>
      <c r="AV504" s="450">
        <v>249840.75</v>
      </c>
      <c r="AW504" s="450">
        <v>244615.83</v>
      </c>
      <c r="AX504" s="450">
        <v>246874.9</v>
      </c>
      <c r="AY504" s="450">
        <v>249828.63</v>
      </c>
      <c r="AZ504" s="450">
        <v>233114.61</v>
      </c>
      <c r="BA504" s="450">
        <v>234582.07</v>
      </c>
      <c r="BB504" s="450">
        <v>240766.21</v>
      </c>
      <c r="BC504" s="450">
        <v>0.0</v>
      </c>
      <c r="BD504" s="450">
        <v>243385.41</v>
      </c>
      <c r="BE504" s="450">
        <v>243486.84</v>
      </c>
      <c r="BF504" s="450">
        <v>246955.05</v>
      </c>
      <c r="BG504" s="450">
        <v>248476.2153</v>
      </c>
      <c r="BH504" s="450">
        <v>249384.22</v>
      </c>
      <c r="BI504" s="450">
        <v>253894.2</v>
      </c>
      <c r="BJ504" s="450">
        <v>254415.69</v>
      </c>
      <c r="BK504" s="450">
        <v>296552.93</v>
      </c>
      <c r="BL504" s="450">
        <v>0.0</v>
      </c>
      <c r="BM504" s="450">
        <v>0.0</v>
      </c>
      <c r="BN504" s="450">
        <v>0.0</v>
      </c>
      <c r="BO504" s="450">
        <v>0.0</v>
      </c>
      <c r="BP504" s="450">
        <v>0.0</v>
      </c>
      <c r="BQ504" s="450">
        <v>0.0</v>
      </c>
      <c r="BR504" s="450">
        <v>0.0</v>
      </c>
      <c r="BS504" s="615" t="str">
        <f t="array" ref="BS504">XLOOKUP(D504,'PL TOTAL XP'!A:A,'PL TOTAL XP'!C:C,"0")</f>
        <v>0</v>
      </c>
      <c r="BT504" s="616"/>
    </row>
    <row r="505" ht="15.75" customHeight="1">
      <c r="A505" s="183" t="s">
        <v>3820</v>
      </c>
      <c r="B505" s="78" t="s">
        <v>5284</v>
      </c>
      <c r="C505" s="564" t="s">
        <v>5285</v>
      </c>
      <c r="D505" s="566">
        <v>5577058.0</v>
      </c>
      <c r="E505" s="522" t="s">
        <v>18</v>
      </c>
      <c r="F505" s="511" t="s">
        <v>19</v>
      </c>
      <c r="G505" s="522" t="s">
        <v>256</v>
      </c>
      <c r="H505" s="511" t="str">
        <f>IFERROR(VLOOKUP(G505,'Cadastro de assessores'!A:B,2,FALSE),"Não Cadastrado")</f>
        <v>18009</v>
      </c>
      <c r="I505" s="511"/>
      <c r="J505" s="51" t="s">
        <v>186</v>
      </c>
      <c r="K505" s="522" t="s">
        <v>2563</v>
      </c>
      <c r="L505" s="619">
        <v>44355.0</v>
      </c>
      <c r="M505" s="619">
        <v>44355.0</v>
      </c>
      <c r="N505" s="619">
        <v>44683.0</v>
      </c>
      <c r="O505" s="522" t="s">
        <v>3834</v>
      </c>
      <c r="P505" s="612">
        <v>0.007</v>
      </c>
      <c r="Q505" s="224" t="s">
        <v>5286</v>
      </c>
      <c r="R505" s="613"/>
      <c r="S505" s="522" t="str">
        <f t="shared" si="54"/>
        <v/>
      </c>
      <c r="T505" s="522" t="s">
        <v>108</v>
      </c>
      <c r="U505" s="566" t="s">
        <v>2619</v>
      </c>
      <c r="V505" s="566" t="s">
        <v>152</v>
      </c>
      <c r="W505" s="468"/>
      <c r="X505" s="468"/>
      <c r="Y505" s="468"/>
      <c r="Z505" s="468"/>
      <c r="AA505" s="468"/>
      <c r="AB505" s="468"/>
      <c r="AC505" s="468"/>
      <c r="AD505" s="468"/>
      <c r="AE505" s="468"/>
      <c r="AF505" s="468"/>
      <c r="AG505" s="468"/>
      <c r="AH505" s="468"/>
      <c r="AI505" s="468"/>
      <c r="AJ505" s="468"/>
      <c r="AK505" s="450"/>
      <c r="AL505" s="450"/>
      <c r="AM505" s="450"/>
      <c r="AN505" s="450"/>
      <c r="AO505" s="450"/>
      <c r="AP505" s="450"/>
      <c r="AQ505" s="468"/>
      <c r="AR505" s="449"/>
      <c r="AS505" s="450">
        <v>158753.22</v>
      </c>
      <c r="AT505" s="450">
        <v>157697.27</v>
      </c>
      <c r="AU505" s="450">
        <v>157535.73</v>
      </c>
      <c r="AV505" s="450">
        <v>156713.77</v>
      </c>
      <c r="AW505" s="450">
        <v>121192.17</v>
      </c>
      <c r="AX505" s="450">
        <v>121485.79</v>
      </c>
      <c r="AY505" s="450">
        <v>122567.78</v>
      </c>
      <c r="AZ505" s="450">
        <v>124795.34</v>
      </c>
      <c r="BA505" s="450">
        <v>125828.55</v>
      </c>
      <c r="BB505" s="450">
        <v>127223.35</v>
      </c>
      <c r="BC505" s="450">
        <v>0.0</v>
      </c>
      <c r="BD505" s="450" t="s">
        <v>2566</v>
      </c>
      <c r="BE505" s="450" t="s">
        <v>2566</v>
      </c>
      <c r="BF505" s="450">
        <v>0.0</v>
      </c>
      <c r="BG505" s="450">
        <v>0.0</v>
      </c>
      <c r="BH505" s="450">
        <v>0.0</v>
      </c>
      <c r="BI505" s="450">
        <v>0.0</v>
      </c>
      <c r="BJ505" s="450">
        <v>0.0</v>
      </c>
      <c r="BK505" s="450">
        <v>0.0</v>
      </c>
      <c r="BL505" s="450">
        <v>0.0</v>
      </c>
      <c r="BM505" s="450">
        <v>0.0</v>
      </c>
      <c r="BN505" s="450">
        <v>0.0</v>
      </c>
      <c r="BO505" s="450">
        <v>0.0</v>
      </c>
      <c r="BP505" s="450">
        <v>0.0</v>
      </c>
      <c r="BQ505" s="450">
        <v>0.0</v>
      </c>
      <c r="BR505" s="450">
        <v>0.0</v>
      </c>
      <c r="BS505" s="615" t="str">
        <f t="array" ref="BS505">XLOOKUP(D505,'PL TOTAL XP'!A:A,'PL TOTAL XP'!C:C,"0")</f>
        <v>0</v>
      </c>
      <c r="BT505" s="616"/>
    </row>
    <row r="506" ht="15.75" customHeight="1">
      <c r="A506" s="183" t="s">
        <v>3820</v>
      </c>
      <c r="B506" s="78" t="s">
        <v>2334</v>
      </c>
      <c r="C506" s="645" t="s">
        <v>2332</v>
      </c>
      <c r="D506" s="566">
        <v>9145079.0</v>
      </c>
      <c r="E506" s="512" t="s">
        <v>18</v>
      </c>
      <c r="F506" s="609" t="s">
        <v>29</v>
      </c>
      <c r="G506" s="512" t="s">
        <v>168</v>
      </c>
      <c r="H506" s="511">
        <f>IFERROR(VLOOKUP(G506,'Cadastro de assessores'!A:B,2,FALSE),"Não Cadastrado")</f>
        <v>12344</v>
      </c>
      <c r="I506" s="511"/>
      <c r="J506" s="46" t="s">
        <v>107</v>
      </c>
      <c r="K506" s="512" t="s">
        <v>107</v>
      </c>
      <c r="L506" s="610">
        <v>44802.0</v>
      </c>
      <c r="M506" s="610">
        <v>44802.0</v>
      </c>
      <c r="N506" s="522"/>
      <c r="O506" s="522" t="s">
        <v>3834</v>
      </c>
      <c r="P506" s="612">
        <v>0.007</v>
      </c>
      <c r="Q506" s="224"/>
      <c r="R506" s="613"/>
      <c r="S506" s="522"/>
      <c r="T506" s="522"/>
      <c r="U506" s="566"/>
      <c r="V506" s="566" t="s">
        <v>19</v>
      </c>
      <c r="W506" s="468"/>
      <c r="X506" s="468"/>
      <c r="Y506" s="468"/>
      <c r="Z506" s="468"/>
      <c r="AA506" s="468"/>
      <c r="AB506" s="468"/>
      <c r="AC506" s="468"/>
      <c r="AD506" s="468"/>
      <c r="AE506" s="468"/>
      <c r="AF506" s="468"/>
      <c r="AG506" s="468"/>
      <c r="AH506" s="614"/>
      <c r="AI506" s="614"/>
      <c r="AJ506" s="450"/>
      <c r="AK506" s="450"/>
      <c r="AL506" s="450"/>
      <c r="AM506" s="450"/>
      <c r="AN506" s="450"/>
      <c r="AO506" s="450"/>
      <c r="AP506" s="450"/>
      <c r="AQ506" s="450"/>
      <c r="AR506" s="450"/>
      <c r="AS506" s="450"/>
      <c r="AT506" s="449"/>
      <c r="AU506" s="449"/>
      <c r="AV506" s="450"/>
      <c r="AW506" s="450"/>
      <c r="AX506" s="450"/>
      <c r="AY506" s="450"/>
      <c r="AZ506" s="450"/>
      <c r="BA506" s="450"/>
      <c r="BB506" s="450"/>
      <c r="BC506" s="450"/>
      <c r="BD506" s="450"/>
      <c r="BE506" s="450"/>
      <c r="BF506" s="450"/>
      <c r="BG506" s="450">
        <v>499781.75</v>
      </c>
      <c r="BH506" s="450">
        <v>806245.86</v>
      </c>
      <c r="BI506" s="450">
        <v>815019.66</v>
      </c>
      <c r="BJ506" s="450">
        <v>409674.23</v>
      </c>
      <c r="BK506" s="450">
        <v>331960.89</v>
      </c>
      <c r="BL506" s="450">
        <v>294934.84</v>
      </c>
      <c r="BM506" s="450">
        <v>2651.74</v>
      </c>
      <c r="BN506" s="450">
        <v>2612.11</v>
      </c>
      <c r="BO506" s="450">
        <v>2632.41</v>
      </c>
      <c r="BP506" s="450">
        <v>2631.65</v>
      </c>
      <c r="BQ506" s="450">
        <v>2645.16</v>
      </c>
      <c r="BR506" s="450">
        <v>2669.29</v>
      </c>
      <c r="BS506" s="615">
        <f t="array" ref="BS506">XLOOKUP(D506,'PL TOTAL XP'!A:A,'PL TOTAL XP'!C:C,"0")</f>
        <v>2696.17</v>
      </c>
      <c r="BT506" s="616"/>
    </row>
    <row r="507" ht="15.75" customHeight="1">
      <c r="A507" s="183" t="s">
        <v>3820</v>
      </c>
      <c r="B507" s="78" t="s">
        <v>5287</v>
      </c>
      <c r="C507" s="564" t="s">
        <v>5288</v>
      </c>
      <c r="D507" s="566">
        <v>6065361.0</v>
      </c>
      <c r="E507" s="522" t="s">
        <v>18</v>
      </c>
      <c r="F507" s="511" t="s">
        <v>19</v>
      </c>
      <c r="G507" s="522" t="s">
        <v>4152</v>
      </c>
      <c r="H507" s="522" t="str">
        <f>IFERROR(VLOOKUP(G507,'Cadastro de assessores'!A:B,2,FALSE),"Não Cadastrado")</f>
        <v>14294</v>
      </c>
      <c r="I507" s="522"/>
      <c r="J507" s="51" t="s">
        <v>186</v>
      </c>
      <c r="K507" s="522" t="s">
        <v>2563</v>
      </c>
      <c r="L507" s="619">
        <v>44414.0</v>
      </c>
      <c r="M507" s="619">
        <v>44414.0</v>
      </c>
      <c r="N507" s="619">
        <v>44818.0</v>
      </c>
      <c r="O507" s="522" t="s">
        <v>3836</v>
      </c>
      <c r="P507" s="612">
        <v>0.012</v>
      </c>
      <c r="Q507" s="224" t="s">
        <v>5289</v>
      </c>
      <c r="R507" s="613"/>
      <c r="S507" s="522" t="str">
        <f t="shared" ref="S507:S514" si="55">IF(BC507&lt;=0,"",IF(BC507&lt;=1000000,"Não Qualificado",IF(AND(BC507&gt;1000000,BC507&lt;=10000000),"Qualificado","Profissional")))</f>
        <v/>
      </c>
      <c r="T507" s="522" t="s">
        <v>108</v>
      </c>
      <c r="U507" s="566" t="s">
        <v>4512</v>
      </c>
      <c r="V507" s="566" t="s">
        <v>34</v>
      </c>
      <c r="W507" s="468"/>
      <c r="X507" s="468"/>
      <c r="Y507" s="468"/>
      <c r="Z507" s="468"/>
      <c r="AA507" s="468"/>
      <c r="AB507" s="468"/>
      <c r="AC507" s="468"/>
      <c r="AD507" s="468"/>
      <c r="AE507" s="468"/>
      <c r="AF507" s="468"/>
      <c r="AG507" s="468"/>
      <c r="AH507" s="614"/>
      <c r="AI507" s="614"/>
      <c r="AJ507" s="450"/>
      <c r="AK507" s="450"/>
      <c r="AL507" s="450"/>
      <c r="AM507" s="450"/>
      <c r="AN507" s="450"/>
      <c r="AO507" s="450"/>
      <c r="AP507" s="450"/>
      <c r="AQ507" s="450"/>
      <c r="AR507" s="450"/>
      <c r="AS507" s="450"/>
      <c r="AT507" s="449"/>
      <c r="AU507" s="449">
        <v>375017.47</v>
      </c>
      <c r="AV507" s="450">
        <v>363420.34</v>
      </c>
      <c r="AW507" s="450">
        <v>346450.61</v>
      </c>
      <c r="AX507" s="450">
        <v>344599.12</v>
      </c>
      <c r="AY507" s="450">
        <v>355174.49</v>
      </c>
      <c r="AZ507" s="450">
        <v>361957.55</v>
      </c>
      <c r="BA507" s="450">
        <v>365015.41</v>
      </c>
      <c r="BB507" s="450">
        <v>373610.75</v>
      </c>
      <c r="BC507" s="450">
        <v>0.0</v>
      </c>
      <c r="BD507" s="450">
        <v>376054.38</v>
      </c>
      <c r="BE507" s="450">
        <v>376744.29</v>
      </c>
      <c r="BF507" s="450">
        <v>381309.36</v>
      </c>
      <c r="BG507" s="450">
        <v>382932.9156</v>
      </c>
      <c r="BH507" s="450">
        <v>384206.35</v>
      </c>
      <c r="BI507" s="450">
        <v>0.0</v>
      </c>
      <c r="BJ507" s="450">
        <v>0.0</v>
      </c>
      <c r="BK507" s="450">
        <v>0.0</v>
      </c>
      <c r="BL507" s="450">
        <v>0.0</v>
      </c>
      <c r="BM507" s="450">
        <v>0.0</v>
      </c>
      <c r="BN507" s="450">
        <v>0.0</v>
      </c>
      <c r="BO507" s="450">
        <v>0.0</v>
      </c>
      <c r="BP507" s="450">
        <v>0.0</v>
      </c>
      <c r="BQ507" s="450">
        <v>0.0</v>
      </c>
      <c r="BR507" s="450">
        <v>0.0</v>
      </c>
      <c r="BS507" s="615" t="str">
        <f t="array" ref="BS507">XLOOKUP(D507,'PL TOTAL XP'!A:A,'PL TOTAL XP'!C:C,"0")</f>
        <v>0</v>
      </c>
      <c r="BT507" s="616"/>
    </row>
    <row r="508" ht="15.75" customHeight="1">
      <c r="A508" s="183" t="s">
        <v>3820</v>
      </c>
      <c r="B508" s="78" t="s">
        <v>2350</v>
      </c>
      <c r="C508" s="617" t="s">
        <v>5290</v>
      </c>
      <c r="D508" s="522">
        <v>4459682.0</v>
      </c>
      <c r="E508" s="512" t="s">
        <v>105</v>
      </c>
      <c r="F508" s="512" t="s">
        <v>29</v>
      </c>
      <c r="G508" s="512" t="s">
        <v>60</v>
      </c>
      <c r="H508" s="512">
        <f>IFERROR(VLOOKUP(G508,'Cadastro de assessores'!A:B,2,FALSE),"Não Cadastrado")</f>
        <v>12332</v>
      </c>
      <c r="I508" s="512"/>
      <c r="J508" s="46" t="s">
        <v>107</v>
      </c>
      <c r="K508" s="512" t="s">
        <v>107</v>
      </c>
      <c r="L508" s="610">
        <v>44090.0</v>
      </c>
      <c r="M508" s="610">
        <v>44105.0</v>
      </c>
      <c r="N508" s="522"/>
      <c r="O508" s="522" t="s">
        <v>3828</v>
      </c>
      <c r="P508" s="612">
        <v>0.015</v>
      </c>
      <c r="Q508" s="705" t="s">
        <v>5291</v>
      </c>
      <c r="R508" s="613"/>
      <c r="S508" s="522" t="str">
        <f t="shared" si="55"/>
        <v/>
      </c>
      <c r="T508" s="522" t="s">
        <v>108</v>
      </c>
      <c r="U508" s="522" t="s">
        <v>2623</v>
      </c>
      <c r="V508" s="522" t="s">
        <v>29</v>
      </c>
      <c r="W508" s="614" t="s">
        <v>3830</v>
      </c>
      <c r="X508" s="614" t="s">
        <v>3830</v>
      </c>
      <c r="Y508" s="614" t="s">
        <v>3830</v>
      </c>
      <c r="Z508" s="614" t="s">
        <v>3830</v>
      </c>
      <c r="AA508" s="614" t="s">
        <v>3830</v>
      </c>
      <c r="AB508" s="614" t="s">
        <v>3830</v>
      </c>
      <c r="AC508" s="614" t="s">
        <v>3830</v>
      </c>
      <c r="AD508" s="614" t="s">
        <v>3830</v>
      </c>
      <c r="AE508" s="614" t="s">
        <v>3830</v>
      </c>
      <c r="AF508" s="614" t="s">
        <v>3830</v>
      </c>
      <c r="AG508" s="614" t="s">
        <v>3830</v>
      </c>
      <c r="AH508" s="614" t="s">
        <v>3830</v>
      </c>
      <c r="AI508" s="614" t="s">
        <v>5292</v>
      </c>
      <c r="AJ508" s="614" t="s">
        <v>5293</v>
      </c>
      <c r="AK508" s="450">
        <v>241753.3</v>
      </c>
      <c r="AL508" s="450">
        <v>227647.14</v>
      </c>
      <c r="AM508" s="450">
        <v>202240.69</v>
      </c>
      <c r="AN508" s="450">
        <v>201786.11</v>
      </c>
      <c r="AO508" s="450">
        <v>210580.23</v>
      </c>
      <c r="AP508" s="450">
        <v>212376.37</v>
      </c>
      <c r="AQ508" s="450">
        <v>211078.01</v>
      </c>
      <c r="AR508" s="450">
        <v>218486.98</v>
      </c>
      <c r="AS508" s="450">
        <v>213186.86</v>
      </c>
      <c r="AT508" s="450">
        <v>206540.03</v>
      </c>
      <c r="AU508" s="450">
        <v>206671.86</v>
      </c>
      <c r="AV508" s="450">
        <v>201021.6</v>
      </c>
      <c r="AW508" s="450">
        <v>188499.11</v>
      </c>
      <c r="AX508" s="450">
        <v>187945.62</v>
      </c>
      <c r="AY508" s="450">
        <v>185683.1</v>
      </c>
      <c r="AZ508" s="450">
        <v>188346.13</v>
      </c>
      <c r="BA508" s="450">
        <v>188459.28</v>
      </c>
      <c r="BB508" s="450">
        <v>194037.39</v>
      </c>
      <c r="BC508" s="450">
        <v>0.0</v>
      </c>
      <c r="BD508" s="450">
        <v>194866.19</v>
      </c>
      <c r="BE508" s="450">
        <v>194187.75</v>
      </c>
      <c r="BF508" s="450">
        <v>200999.13</v>
      </c>
      <c r="BG508" s="450">
        <v>202981.4865</v>
      </c>
      <c r="BH508" s="450">
        <v>201349.44</v>
      </c>
      <c r="BI508" s="450">
        <v>211031.35</v>
      </c>
      <c r="BJ508" s="450">
        <v>211182.72</v>
      </c>
      <c r="BK508" s="450">
        <v>212309.28</v>
      </c>
      <c r="BL508" s="450">
        <v>201560.76</v>
      </c>
      <c r="BM508" s="450">
        <v>39164.24</v>
      </c>
      <c r="BN508" s="450">
        <v>32150.55</v>
      </c>
      <c r="BO508" s="450">
        <v>31932.87</v>
      </c>
      <c r="BP508" s="450">
        <v>24933.0</v>
      </c>
      <c r="BQ508" s="450">
        <v>22056.75</v>
      </c>
      <c r="BR508" s="450">
        <v>9659.51</v>
      </c>
      <c r="BS508" s="615">
        <f t="array" ref="BS508">XLOOKUP(D508,'PL TOTAL XP'!A:A,'PL TOTAL XP'!C:C,"0")</f>
        <v>239.21</v>
      </c>
      <c r="BT508" s="616"/>
    </row>
    <row r="509" ht="15.75" customHeight="1">
      <c r="A509" s="183" t="s">
        <v>3820</v>
      </c>
      <c r="B509" s="78" t="s">
        <v>2356</v>
      </c>
      <c r="C509" s="617" t="s">
        <v>2354</v>
      </c>
      <c r="D509" s="522">
        <v>2331277.0</v>
      </c>
      <c r="E509" s="512" t="s">
        <v>18</v>
      </c>
      <c r="F509" s="512" t="s">
        <v>29</v>
      </c>
      <c r="G509" s="512" t="s">
        <v>2803</v>
      </c>
      <c r="H509" s="512" t="str">
        <f>IFERROR(VLOOKUP(G509,'Cadastro de assessores'!A:B,2,FALSE),"Não Cadastrado")</f>
        <v>18236</v>
      </c>
      <c r="I509" s="512"/>
      <c r="J509" s="51" t="s">
        <v>3823</v>
      </c>
      <c r="K509" s="512" t="s">
        <v>107</v>
      </c>
      <c r="L509" s="610">
        <v>44279.0</v>
      </c>
      <c r="M509" s="610">
        <v>44279.0</v>
      </c>
      <c r="N509" s="522"/>
      <c r="O509" s="522" t="s">
        <v>3840</v>
      </c>
      <c r="P509" s="612">
        <v>0.025</v>
      </c>
      <c r="Q509" s="620"/>
      <c r="R509" s="613"/>
      <c r="S509" s="522" t="str">
        <f t="shared" si="55"/>
        <v>Não Qualificado</v>
      </c>
      <c r="T509" s="522" t="s">
        <v>108</v>
      </c>
      <c r="U509" s="522" t="s">
        <v>5148</v>
      </c>
      <c r="V509" s="522" t="s">
        <v>29</v>
      </c>
      <c r="W509" s="614"/>
      <c r="X509" s="614"/>
      <c r="Y509" s="614"/>
      <c r="Z509" s="614"/>
      <c r="AA509" s="614"/>
      <c r="AB509" s="614"/>
      <c r="AC509" s="614"/>
      <c r="AD509" s="614"/>
      <c r="AE509" s="614"/>
      <c r="AF509" s="614"/>
      <c r="AG509" s="614"/>
      <c r="AH509" s="614"/>
      <c r="AI509" s="614"/>
      <c r="AJ509" s="614"/>
      <c r="AK509" s="450"/>
      <c r="AL509" s="450"/>
      <c r="AM509" s="450"/>
      <c r="AN509" s="450"/>
      <c r="AO509" s="450">
        <v>6941.27</v>
      </c>
      <c r="AP509" s="450">
        <v>7027.51</v>
      </c>
      <c r="AQ509" s="450">
        <v>6953.22</v>
      </c>
      <c r="AR509" s="450">
        <v>7267.88</v>
      </c>
      <c r="AS509" s="450">
        <v>7089.06</v>
      </c>
      <c r="AT509" s="450">
        <v>6711.83</v>
      </c>
      <c r="AU509" s="450">
        <v>6535.86</v>
      </c>
      <c r="AV509" s="450">
        <v>6135.71</v>
      </c>
      <c r="AW509" s="450">
        <v>5663.66</v>
      </c>
      <c r="AX509" s="450">
        <v>5569.25</v>
      </c>
      <c r="AY509" s="450">
        <v>5641.16</v>
      </c>
      <c r="AZ509" s="450">
        <v>5964.62</v>
      </c>
      <c r="BA509" s="450">
        <v>6084.29</v>
      </c>
      <c r="BB509" s="450">
        <v>6447.68</v>
      </c>
      <c r="BC509" s="450">
        <v>207.74</v>
      </c>
      <c r="BD509" s="450">
        <v>6077.57</v>
      </c>
      <c r="BE509" s="450">
        <v>5907.46</v>
      </c>
      <c r="BF509" s="450">
        <v>6196.09</v>
      </c>
      <c r="BG509" s="450">
        <v>6202.57</v>
      </c>
      <c r="BH509" s="450">
        <v>6178.98</v>
      </c>
      <c r="BI509" s="450">
        <v>6602.03</v>
      </c>
      <c r="BJ509" s="450">
        <v>6379.48</v>
      </c>
      <c r="BK509" s="450">
        <v>6362.38</v>
      </c>
      <c r="BL509" s="450">
        <v>6469.86</v>
      </c>
      <c r="BM509" s="450">
        <v>6319.6</v>
      </c>
      <c r="BN509" s="450">
        <v>6318.03</v>
      </c>
      <c r="BO509" s="450">
        <v>6336.13</v>
      </c>
      <c r="BP509" s="450">
        <v>10.15</v>
      </c>
      <c r="BQ509" s="450">
        <v>0.63</v>
      </c>
      <c r="BR509" s="450">
        <v>0.0</v>
      </c>
      <c r="BS509" s="615" t="str">
        <f t="array" ref="BS509">XLOOKUP(D509,'PL TOTAL XP'!A:A,'PL TOTAL XP'!C:C,"0")</f>
        <v>0</v>
      </c>
      <c r="BT509" s="616"/>
    </row>
    <row r="510" ht="15.75" customHeight="1">
      <c r="A510" s="183" t="s">
        <v>3820</v>
      </c>
      <c r="B510" s="78" t="s">
        <v>5294</v>
      </c>
      <c r="C510" s="564" t="s">
        <v>5295</v>
      </c>
      <c r="D510" s="511">
        <v>3600186.0</v>
      </c>
      <c r="E510" s="522" t="s">
        <v>18</v>
      </c>
      <c r="F510" s="511" t="s">
        <v>19</v>
      </c>
      <c r="G510" s="522" t="s">
        <v>4152</v>
      </c>
      <c r="H510" s="522" t="str">
        <f>IFERROR(VLOOKUP(G510,'Cadastro de assessores'!A:B,2,FALSE),"Não Cadastrado")</f>
        <v>14294</v>
      </c>
      <c r="I510" s="522"/>
      <c r="J510" s="51" t="s">
        <v>186</v>
      </c>
      <c r="K510" s="522" t="s">
        <v>2563</v>
      </c>
      <c r="L510" s="619">
        <v>44454.0</v>
      </c>
      <c r="M510" s="619">
        <v>44454.0</v>
      </c>
      <c r="N510" s="567">
        <v>44684.0</v>
      </c>
      <c r="O510" s="566" t="s">
        <v>3834</v>
      </c>
      <c r="P510" s="612">
        <v>0.007</v>
      </c>
      <c r="Q510" s="224" t="s">
        <v>5296</v>
      </c>
      <c r="R510" s="613"/>
      <c r="S510" s="522" t="str">
        <f t="shared" si="55"/>
        <v>Não Qualificado</v>
      </c>
      <c r="T510" s="522" t="s">
        <v>108</v>
      </c>
      <c r="U510" s="566" t="s">
        <v>5297</v>
      </c>
      <c r="V510" s="566" t="s">
        <v>34</v>
      </c>
      <c r="W510" s="468"/>
      <c r="X510" s="468"/>
      <c r="Y510" s="468"/>
      <c r="Z510" s="468"/>
      <c r="AA510" s="468"/>
      <c r="AB510" s="468"/>
      <c r="AC510" s="468"/>
      <c r="AD510" s="468"/>
      <c r="AE510" s="468"/>
      <c r="AF510" s="468"/>
      <c r="AG510" s="468"/>
      <c r="AH510" s="468"/>
      <c r="AI510" s="614"/>
      <c r="AJ510" s="450"/>
      <c r="AK510" s="450"/>
      <c r="AL510" s="450"/>
      <c r="AM510" s="450"/>
      <c r="AN510" s="450"/>
      <c r="AO510" s="450"/>
      <c r="AP510" s="450"/>
      <c r="AQ510" s="450"/>
      <c r="AR510" s="450"/>
      <c r="AS510" s="450"/>
      <c r="AT510" s="450"/>
      <c r="AU510" s="468"/>
      <c r="AV510" s="450"/>
      <c r="AW510" s="450">
        <v>1051969.17</v>
      </c>
      <c r="AX510" s="450">
        <v>1054204.18</v>
      </c>
      <c r="AY510" s="450">
        <v>1064200.6</v>
      </c>
      <c r="AZ510" s="450">
        <v>1081227.78</v>
      </c>
      <c r="BA510" s="450">
        <v>1090122.59</v>
      </c>
      <c r="BB510" s="450">
        <v>1111161.11</v>
      </c>
      <c r="BC510" s="450">
        <v>157031.17</v>
      </c>
      <c r="BD510" s="450" t="s">
        <v>2566</v>
      </c>
      <c r="BE510" s="450" t="s">
        <v>2566</v>
      </c>
      <c r="BF510" s="450">
        <v>0.0</v>
      </c>
      <c r="BG510" s="450">
        <v>0.0</v>
      </c>
      <c r="BH510" s="450">
        <v>0.0</v>
      </c>
      <c r="BI510" s="450">
        <v>0.0</v>
      </c>
      <c r="BJ510" s="450">
        <v>0.0</v>
      </c>
      <c r="BK510" s="450">
        <v>0.0</v>
      </c>
      <c r="BL510" s="450">
        <v>0.0</v>
      </c>
      <c r="BM510" s="450">
        <v>0.0</v>
      </c>
      <c r="BN510" s="450">
        <v>0.0</v>
      </c>
      <c r="BO510" s="450">
        <v>0.0</v>
      </c>
      <c r="BP510" s="450">
        <v>0.0</v>
      </c>
      <c r="BQ510" s="450">
        <v>0.0</v>
      </c>
      <c r="BR510" s="450">
        <v>0.0</v>
      </c>
      <c r="BS510" s="615" t="str">
        <f t="array" ref="BS510">XLOOKUP(D510,'PL TOTAL XP'!A:A,'PL TOTAL XP'!C:C,"0")</f>
        <v>0</v>
      </c>
      <c r="BT510" s="616"/>
    </row>
    <row r="511" ht="15.75" customHeight="1">
      <c r="A511" s="183" t="s">
        <v>3820</v>
      </c>
      <c r="B511" s="78" t="s">
        <v>2371</v>
      </c>
      <c r="C511" s="617" t="s">
        <v>5298</v>
      </c>
      <c r="D511" s="522">
        <v>8521711.0</v>
      </c>
      <c r="E511" s="512" t="s">
        <v>18</v>
      </c>
      <c r="F511" s="512" t="s">
        <v>29</v>
      </c>
      <c r="G511" s="512" t="s">
        <v>168</v>
      </c>
      <c r="H511" s="512">
        <f>IFERROR(VLOOKUP(G511,'Cadastro de assessores'!A:B,2,FALSE),"Não Cadastrado")</f>
        <v>12344</v>
      </c>
      <c r="I511" s="512"/>
      <c r="J511" s="51" t="s">
        <v>3823</v>
      </c>
      <c r="K511" s="512" t="s">
        <v>107</v>
      </c>
      <c r="L511" s="624">
        <v>44715.0</v>
      </c>
      <c r="M511" s="624">
        <v>44718.0</v>
      </c>
      <c r="N511" s="522"/>
      <c r="O511" s="522" t="s">
        <v>3834</v>
      </c>
      <c r="P511" s="612">
        <v>0.007</v>
      </c>
      <c r="Q511" s="620"/>
      <c r="R511" s="613"/>
      <c r="S511" s="522" t="str">
        <f t="shared" si="55"/>
        <v>Qualificado</v>
      </c>
      <c r="T511" s="522" t="s">
        <v>108</v>
      </c>
      <c r="U511" s="522" t="s">
        <v>2652</v>
      </c>
      <c r="V511" s="522" t="s">
        <v>19</v>
      </c>
      <c r="W511" s="614"/>
      <c r="X511" s="614"/>
      <c r="Y511" s="614"/>
      <c r="Z511" s="614"/>
      <c r="AA511" s="614"/>
      <c r="AB511" s="614"/>
      <c r="AC511" s="614"/>
      <c r="AD511" s="614"/>
      <c r="AE511" s="614"/>
      <c r="AF511" s="614"/>
      <c r="AG511" s="614"/>
      <c r="AH511" s="614"/>
      <c r="AI511" s="614"/>
      <c r="AJ511" s="614"/>
      <c r="AK511" s="450"/>
      <c r="AL511" s="450"/>
      <c r="AM511" s="450"/>
      <c r="AN511" s="450"/>
      <c r="AO511" s="450"/>
      <c r="AP511" s="450"/>
      <c r="AQ511" s="450"/>
      <c r="AR511" s="450"/>
      <c r="AS511" s="450"/>
      <c r="AT511" s="450"/>
      <c r="AU511" s="450"/>
      <c r="AV511" s="450"/>
      <c r="AW511" s="450"/>
      <c r="AX511" s="450"/>
      <c r="AY511" s="450"/>
      <c r="AZ511" s="450"/>
      <c r="BA511" s="450"/>
      <c r="BB511" s="450"/>
      <c r="BC511" s="450">
        <v>4058103.77</v>
      </c>
      <c r="BD511" s="450" t="s">
        <v>2566</v>
      </c>
      <c r="BE511" s="450">
        <v>20191.39</v>
      </c>
      <c r="BF511" s="450">
        <v>118539.68</v>
      </c>
      <c r="BG511" s="450">
        <v>120010.0304</v>
      </c>
      <c r="BH511" s="450">
        <v>129364.66</v>
      </c>
      <c r="BI511" s="450">
        <v>133204.64</v>
      </c>
      <c r="BJ511" s="450">
        <v>138142.2</v>
      </c>
      <c r="BK511" s="450">
        <v>146581.68</v>
      </c>
      <c r="BL511" s="450">
        <v>146819.07</v>
      </c>
      <c r="BM511" s="450">
        <v>147159.39</v>
      </c>
      <c r="BN511" s="450">
        <v>6871.68</v>
      </c>
      <c r="BO511" s="450">
        <v>0.0</v>
      </c>
      <c r="BP511" s="450">
        <v>0.0</v>
      </c>
      <c r="BQ511" s="450">
        <v>0.0</v>
      </c>
      <c r="BR511" s="450">
        <v>0.0</v>
      </c>
      <c r="BS511" s="615">
        <f t="array" ref="BS511">XLOOKUP(D511,'PL TOTAL XP'!A:A,'PL TOTAL XP'!C:C,"0")</f>
        <v>0</v>
      </c>
      <c r="BT511" s="616"/>
    </row>
    <row r="512" ht="15.75" customHeight="1">
      <c r="A512" s="183" t="s">
        <v>3820</v>
      </c>
      <c r="B512" s="78" t="s">
        <v>2377</v>
      </c>
      <c r="C512" s="617" t="s">
        <v>2378</v>
      </c>
      <c r="D512" s="522">
        <v>4437315.0</v>
      </c>
      <c r="E512" s="512" t="s">
        <v>105</v>
      </c>
      <c r="F512" s="512" t="s">
        <v>29</v>
      </c>
      <c r="G512" s="512" t="s">
        <v>3878</v>
      </c>
      <c r="H512" s="512" t="str">
        <f>IFERROR(VLOOKUP(G512,'Cadastro de assessores'!A:B,2,FALSE),"Não Cadastrado")</f>
        <v>1441</v>
      </c>
      <c r="I512" s="512"/>
      <c r="J512" s="51" t="s">
        <v>3823</v>
      </c>
      <c r="K512" s="512" t="s">
        <v>107</v>
      </c>
      <c r="L512" s="610">
        <v>44082.0</v>
      </c>
      <c r="M512" s="610">
        <v>44082.0</v>
      </c>
      <c r="N512" s="522"/>
      <c r="O512" s="522" t="s">
        <v>3824</v>
      </c>
      <c r="P512" s="612">
        <v>0.02</v>
      </c>
      <c r="Q512" s="620" t="s">
        <v>5299</v>
      </c>
      <c r="R512" s="613"/>
      <c r="S512" s="522" t="str">
        <f t="shared" si="55"/>
        <v/>
      </c>
      <c r="T512" s="522" t="s">
        <v>108</v>
      </c>
      <c r="U512" s="522" t="s">
        <v>2602</v>
      </c>
      <c r="V512" s="522" t="s">
        <v>29</v>
      </c>
      <c r="W512" s="614" t="s">
        <v>3830</v>
      </c>
      <c r="X512" s="614" t="s">
        <v>3830</v>
      </c>
      <c r="Y512" s="614" t="s">
        <v>3830</v>
      </c>
      <c r="Z512" s="614" t="s">
        <v>3830</v>
      </c>
      <c r="AA512" s="614" t="s">
        <v>3830</v>
      </c>
      <c r="AB512" s="614" t="s">
        <v>3830</v>
      </c>
      <c r="AC512" s="614" t="s">
        <v>3830</v>
      </c>
      <c r="AD512" s="614" t="s">
        <v>3830</v>
      </c>
      <c r="AE512" s="614" t="s">
        <v>3830</v>
      </c>
      <c r="AF512" s="614" t="s">
        <v>3830</v>
      </c>
      <c r="AG512" s="614" t="s">
        <v>3830</v>
      </c>
      <c r="AH512" s="614" t="s">
        <v>5300</v>
      </c>
      <c r="AI512" s="614" t="s">
        <v>5301</v>
      </c>
      <c r="AJ512" s="614" t="s">
        <v>5302</v>
      </c>
      <c r="AK512" s="450">
        <v>657257.82</v>
      </c>
      <c r="AL512" s="450">
        <v>632565.21</v>
      </c>
      <c r="AM512" s="450">
        <v>594937.73</v>
      </c>
      <c r="AN512" s="450">
        <v>598701.11</v>
      </c>
      <c r="AO512" s="450">
        <v>619386.11</v>
      </c>
      <c r="AP512" s="450">
        <v>623972.97</v>
      </c>
      <c r="AQ512" s="450">
        <v>620639.6</v>
      </c>
      <c r="AR512" s="450">
        <v>637110.27</v>
      </c>
      <c r="AS512" s="450">
        <v>630484.63</v>
      </c>
      <c r="AT512" s="450">
        <v>610265.25</v>
      </c>
      <c r="AU512" s="450">
        <v>600817.15</v>
      </c>
      <c r="AV512" s="450">
        <v>590502.78</v>
      </c>
      <c r="AW512" s="450">
        <v>550992.67</v>
      </c>
      <c r="AX512" s="450">
        <v>548845.87</v>
      </c>
      <c r="AY512" s="450">
        <v>553071.6</v>
      </c>
      <c r="AZ512" s="450">
        <v>574805.24</v>
      </c>
      <c r="BA512" s="450">
        <v>555439.39</v>
      </c>
      <c r="BB512" s="450">
        <v>581362.97</v>
      </c>
      <c r="BC512" s="450">
        <v>0.0</v>
      </c>
      <c r="BD512" s="450">
        <v>572573.07</v>
      </c>
      <c r="BE512" s="450">
        <v>558618.55</v>
      </c>
      <c r="BF512" s="450">
        <v>577536.22</v>
      </c>
      <c r="BG512" s="450">
        <v>588305.1171</v>
      </c>
      <c r="BH512" s="450">
        <v>584039.64</v>
      </c>
      <c r="BI512" s="450">
        <v>618215.58</v>
      </c>
      <c r="BJ512" s="450">
        <v>612819.23</v>
      </c>
      <c r="BK512" s="450">
        <v>615044.11</v>
      </c>
      <c r="BL512" s="450">
        <v>616549.0</v>
      </c>
      <c r="BM512" s="450">
        <v>122722.11</v>
      </c>
      <c r="BN512" s="450">
        <v>144.38</v>
      </c>
      <c r="BO512" s="450">
        <v>144.38</v>
      </c>
      <c r="BP512" s="450">
        <v>144.38</v>
      </c>
      <c r="BQ512" s="450">
        <v>144.38</v>
      </c>
      <c r="BR512" s="450">
        <v>144.38</v>
      </c>
      <c r="BS512" s="615">
        <f t="array" ref="BS512">XLOOKUP(D512,'PL TOTAL XP'!A:A,'PL TOTAL XP'!C:C,"0")</f>
        <v>0</v>
      </c>
      <c r="BT512" s="616"/>
    </row>
    <row r="513" ht="15.75" customHeight="1">
      <c r="A513" s="183" t="s">
        <v>3820</v>
      </c>
      <c r="B513" s="78" t="s">
        <v>5303</v>
      </c>
      <c r="C513" s="564" t="s">
        <v>5304</v>
      </c>
      <c r="D513" s="566">
        <v>5917601.0</v>
      </c>
      <c r="E513" s="522" t="s">
        <v>18</v>
      </c>
      <c r="F513" s="511" t="s">
        <v>29</v>
      </c>
      <c r="G513" s="511" t="s">
        <v>3708</v>
      </c>
      <c r="H513" s="511" t="str">
        <f>IFERROR(VLOOKUP(G513,'Cadastro de assessores'!A:B,2,FALSE),"Não Cadastrado")</f>
        <v>18266</v>
      </c>
      <c r="I513" s="511"/>
      <c r="J513" s="51" t="s">
        <v>186</v>
      </c>
      <c r="K513" s="522" t="s">
        <v>2563</v>
      </c>
      <c r="L513" s="619">
        <v>44397.0</v>
      </c>
      <c r="M513" s="619">
        <v>44397.0</v>
      </c>
      <c r="N513" s="567">
        <v>44622.0</v>
      </c>
      <c r="O513" s="566" t="s">
        <v>3840</v>
      </c>
      <c r="P513" s="612">
        <v>0.025</v>
      </c>
      <c r="Q513" s="224" t="s">
        <v>5305</v>
      </c>
      <c r="R513" s="613"/>
      <c r="S513" s="522" t="str">
        <f t="shared" si="55"/>
        <v>Não Qualificado</v>
      </c>
      <c r="T513" s="522" t="s">
        <v>108</v>
      </c>
      <c r="U513" s="522" t="s">
        <v>2623</v>
      </c>
      <c r="V513" s="522" t="s">
        <v>29</v>
      </c>
      <c r="W513" s="468"/>
      <c r="X513" s="468"/>
      <c r="Y513" s="468"/>
      <c r="Z513" s="468"/>
      <c r="AA513" s="468"/>
      <c r="AB513" s="468"/>
      <c r="AC513" s="468"/>
      <c r="AD513" s="468"/>
      <c r="AE513" s="468"/>
      <c r="AF513" s="468"/>
      <c r="AG513" s="468"/>
      <c r="AH513" s="614"/>
      <c r="AI513" s="614"/>
      <c r="AJ513" s="450"/>
      <c r="AK513" s="450"/>
      <c r="AL513" s="450"/>
      <c r="AM513" s="450"/>
      <c r="AN513" s="450"/>
      <c r="AO513" s="450"/>
      <c r="AP513" s="450"/>
      <c r="AQ513" s="450"/>
      <c r="AR513" s="450"/>
      <c r="AS513" s="468"/>
      <c r="AT513" s="449">
        <v>96476.73</v>
      </c>
      <c r="AU513" s="449">
        <v>94262.73</v>
      </c>
      <c r="AV513" s="450">
        <v>89008.83</v>
      </c>
      <c r="AW513" s="450">
        <v>81910.05</v>
      </c>
      <c r="AX513" s="450">
        <v>81057.42</v>
      </c>
      <c r="AY513" s="450">
        <v>82574.41</v>
      </c>
      <c r="AZ513" s="450">
        <v>87558.47</v>
      </c>
      <c r="BA513" s="450">
        <v>88881.68</v>
      </c>
      <c r="BB513" s="450">
        <v>0.0</v>
      </c>
      <c r="BC513" s="450">
        <v>106906.51</v>
      </c>
      <c r="BD513" s="450" t="s">
        <v>2566</v>
      </c>
      <c r="BE513" s="450" t="s">
        <v>2566</v>
      </c>
      <c r="BF513" s="450">
        <v>0.0</v>
      </c>
      <c r="BG513" s="450">
        <v>0.0</v>
      </c>
      <c r="BH513" s="450">
        <v>0.0</v>
      </c>
      <c r="BI513" s="450">
        <v>0.0</v>
      </c>
      <c r="BJ513" s="450">
        <v>0.0</v>
      </c>
      <c r="BK513" s="450">
        <v>0.0</v>
      </c>
      <c r="BL513" s="450">
        <v>0.0</v>
      </c>
      <c r="BM513" s="450">
        <v>0.0</v>
      </c>
      <c r="BN513" s="450">
        <v>0.0</v>
      </c>
      <c r="BO513" s="450">
        <v>0.0</v>
      </c>
      <c r="BP513" s="450">
        <v>0.0</v>
      </c>
      <c r="BQ513" s="450">
        <v>0.0</v>
      </c>
      <c r="BR513" s="450">
        <v>0.0</v>
      </c>
      <c r="BS513" s="615" t="str">
        <f t="array" ref="BS513">XLOOKUP(D513,'PL TOTAL XP'!A:A,'PL TOTAL XP'!C:C,"0")</f>
        <v>0</v>
      </c>
      <c r="BT513" s="616"/>
    </row>
    <row r="514" ht="15.75" customHeight="1">
      <c r="A514" s="183" t="s">
        <v>3820</v>
      </c>
      <c r="B514" s="78" t="s">
        <v>2394</v>
      </c>
      <c r="C514" s="617" t="s">
        <v>5306</v>
      </c>
      <c r="D514" s="522">
        <v>4367434.0</v>
      </c>
      <c r="E514" s="512" t="s">
        <v>105</v>
      </c>
      <c r="F514" s="512" t="s">
        <v>29</v>
      </c>
      <c r="G514" s="512" t="s">
        <v>4087</v>
      </c>
      <c r="H514" s="512" t="str">
        <f>IFERROR(VLOOKUP(G514,'Cadastro de assessores'!A:B,2,FALSE),"Não Cadastrado")</f>
        <v>17243</v>
      </c>
      <c r="I514" s="512"/>
      <c r="J514" s="51" t="s">
        <v>3823</v>
      </c>
      <c r="K514" s="512" t="s">
        <v>107</v>
      </c>
      <c r="L514" s="611">
        <v>44147.0</v>
      </c>
      <c r="M514" s="611">
        <v>44147.0</v>
      </c>
      <c r="N514" s="522"/>
      <c r="O514" s="522" t="s">
        <v>3840</v>
      </c>
      <c r="P514" s="612">
        <v>0.025</v>
      </c>
      <c r="Q514" s="620" t="s">
        <v>5307</v>
      </c>
      <c r="R514" s="613"/>
      <c r="S514" s="522" t="str">
        <f t="shared" si="55"/>
        <v>Não Qualificado</v>
      </c>
      <c r="T514" s="522" t="s">
        <v>108</v>
      </c>
      <c r="U514" s="522" t="s">
        <v>2602</v>
      </c>
      <c r="V514" s="522" t="s">
        <v>29</v>
      </c>
      <c r="W514" s="614" t="s">
        <v>3830</v>
      </c>
      <c r="X514" s="614" t="s">
        <v>3830</v>
      </c>
      <c r="Y514" s="614" t="s">
        <v>3830</v>
      </c>
      <c r="Z514" s="614" t="s">
        <v>3830</v>
      </c>
      <c r="AA514" s="614" t="s">
        <v>3830</v>
      </c>
      <c r="AB514" s="614" t="s">
        <v>3830</v>
      </c>
      <c r="AC514" s="614" t="s">
        <v>3830</v>
      </c>
      <c r="AD514" s="614" t="s">
        <v>3830</v>
      </c>
      <c r="AE514" s="614" t="s">
        <v>3830</v>
      </c>
      <c r="AF514" s="614" t="s">
        <v>3830</v>
      </c>
      <c r="AG514" s="614" t="s">
        <v>3830</v>
      </c>
      <c r="AH514" s="614" t="s">
        <v>3830</v>
      </c>
      <c r="AI514" s="614" t="s">
        <v>3830</v>
      </c>
      <c r="AJ514" s="614" t="s">
        <v>5308</v>
      </c>
      <c r="AK514" s="450">
        <v>738550.54</v>
      </c>
      <c r="AL514" s="450">
        <v>727862.32</v>
      </c>
      <c r="AM514" s="450">
        <v>667132.25</v>
      </c>
      <c r="AN514" s="450">
        <v>674370.64</v>
      </c>
      <c r="AO514" s="450">
        <v>722776.02</v>
      </c>
      <c r="AP514" s="450">
        <v>732622.0</v>
      </c>
      <c r="AQ514" s="450">
        <v>725186.69</v>
      </c>
      <c r="AR514" s="450">
        <v>766121.4</v>
      </c>
      <c r="AS514" s="450">
        <v>601369.97</v>
      </c>
      <c r="AT514" s="450">
        <v>568501.29</v>
      </c>
      <c r="AU514" s="450">
        <v>555519.34</v>
      </c>
      <c r="AV514" s="450">
        <v>857404.87</v>
      </c>
      <c r="AW514" s="450">
        <v>785114.48</v>
      </c>
      <c r="AX514" s="450">
        <v>775267.08</v>
      </c>
      <c r="AY514" s="450">
        <v>792264.33</v>
      </c>
      <c r="AZ514" s="450">
        <v>849226.65</v>
      </c>
      <c r="BA514" s="450">
        <v>858109.48</v>
      </c>
      <c r="BB514" s="450">
        <v>919304.93</v>
      </c>
      <c r="BC514" s="450">
        <v>74883.5</v>
      </c>
      <c r="BD514" s="450">
        <v>605301.66</v>
      </c>
      <c r="BE514" s="450">
        <v>618663.17</v>
      </c>
      <c r="BF514" s="450">
        <v>583958.74</v>
      </c>
      <c r="BG514" s="450">
        <v>523462.14</v>
      </c>
      <c r="BH514" s="450">
        <v>488864.6</v>
      </c>
      <c r="BI514" s="450">
        <v>266497.83</v>
      </c>
      <c r="BJ514" s="450">
        <v>260755.66</v>
      </c>
      <c r="BK514" s="450">
        <v>259824.74</v>
      </c>
      <c r="BL514" s="450">
        <v>264138.86</v>
      </c>
      <c r="BM514" s="450">
        <v>252724.83</v>
      </c>
      <c r="BN514" s="450">
        <v>5561.18</v>
      </c>
      <c r="BO514" s="450">
        <v>5637.62</v>
      </c>
      <c r="BP514" s="450">
        <v>55.37</v>
      </c>
      <c r="BQ514" s="450">
        <v>55.77</v>
      </c>
      <c r="BR514" s="450">
        <v>56.3</v>
      </c>
      <c r="BS514" s="615">
        <f t="array" ref="BS514">XLOOKUP(D514,'PL TOTAL XP'!A:A,'PL TOTAL XP'!C:C,"0")</f>
        <v>0</v>
      </c>
      <c r="BT514" s="616"/>
    </row>
    <row r="515" ht="15.75" customHeight="1">
      <c r="A515" s="183" t="s">
        <v>3820</v>
      </c>
      <c r="B515" s="78" t="s">
        <v>2398</v>
      </c>
      <c r="C515" s="617" t="s">
        <v>5309</v>
      </c>
      <c r="D515" s="522">
        <v>6163576.0</v>
      </c>
      <c r="E515" s="512" t="s">
        <v>18</v>
      </c>
      <c r="F515" s="512" t="s">
        <v>19</v>
      </c>
      <c r="G515" s="512" t="s">
        <v>122</v>
      </c>
      <c r="H515" s="512" t="str">
        <f>IFERROR(VLOOKUP(G515,'Cadastro de assessores'!A:B,2,FALSE),"Não Cadastrado")</f>
        <v>18890</v>
      </c>
      <c r="I515" s="512"/>
      <c r="J515" s="51" t="s">
        <v>3823</v>
      </c>
      <c r="K515" s="512"/>
      <c r="L515" s="610"/>
      <c r="M515" s="610">
        <v>44847.0</v>
      </c>
      <c r="N515" s="522"/>
      <c r="O515" s="522" t="s">
        <v>3834</v>
      </c>
      <c r="P515" s="612">
        <v>0.01</v>
      </c>
      <c r="Q515" s="620" t="s">
        <v>5310</v>
      </c>
      <c r="R515" s="613"/>
      <c r="S515" s="522"/>
      <c r="T515" s="522"/>
      <c r="U515" s="522"/>
      <c r="V515" s="522" t="s">
        <v>152</v>
      </c>
      <c r="W515" s="614"/>
      <c r="X515" s="614"/>
      <c r="Y515" s="614"/>
      <c r="Z515" s="614"/>
      <c r="AA515" s="614"/>
      <c r="AB515" s="614"/>
      <c r="AC515" s="614"/>
      <c r="AD515" s="614"/>
      <c r="AE515" s="614"/>
      <c r="AF515" s="614"/>
      <c r="AG515" s="614"/>
      <c r="AH515" s="614"/>
      <c r="AI515" s="614"/>
      <c r="AJ515" s="614"/>
      <c r="AK515" s="450"/>
      <c r="AL515" s="450"/>
      <c r="AM515" s="450"/>
      <c r="AN515" s="450"/>
      <c r="AO515" s="450"/>
      <c r="AP515" s="450"/>
      <c r="AQ515" s="450"/>
      <c r="AR515" s="450"/>
      <c r="AS515" s="450"/>
      <c r="AT515" s="450"/>
      <c r="AU515" s="450"/>
      <c r="AV515" s="450"/>
      <c r="AW515" s="450"/>
      <c r="AX515" s="450"/>
      <c r="AY515" s="450"/>
      <c r="AZ515" s="450"/>
      <c r="BA515" s="450"/>
      <c r="BB515" s="450"/>
      <c r="BC515" s="450"/>
      <c r="BD515" s="450"/>
      <c r="BE515" s="450"/>
      <c r="BF515" s="450"/>
      <c r="BG515" s="450"/>
      <c r="BH515" s="450"/>
      <c r="BI515" s="450">
        <v>69376.87</v>
      </c>
      <c r="BJ515" s="450">
        <v>79083.41</v>
      </c>
      <c r="BK515" s="450">
        <v>88942.48</v>
      </c>
      <c r="BL515" s="450">
        <v>81839.09</v>
      </c>
      <c r="BM515" s="450">
        <v>82561.69</v>
      </c>
      <c r="BN515" s="450">
        <v>422.5</v>
      </c>
      <c r="BO515" s="450">
        <v>201.53</v>
      </c>
      <c r="BP515" s="450">
        <v>73.85</v>
      </c>
      <c r="BQ515" s="450">
        <v>0.09</v>
      </c>
      <c r="BR515" s="450">
        <v>0.09</v>
      </c>
      <c r="BS515" s="615" t="str">
        <f t="array" ref="BS515">XLOOKUP(D515,'PL TOTAL XP'!A:A,'PL TOTAL XP'!C:C,"0")</f>
        <v>0</v>
      </c>
      <c r="BT515" s="616"/>
    </row>
    <row r="516" ht="15.75" customHeight="1">
      <c r="A516" s="183" t="s">
        <v>3820</v>
      </c>
      <c r="B516" s="78" t="s">
        <v>5311</v>
      </c>
      <c r="C516" s="617" t="s">
        <v>5312</v>
      </c>
      <c r="D516" s="522">
        <v>4418396.0</v>
      </c>
      <c r="E516" s="512" t="s">
        <v>105</v>
      </c>
      <c r="F516" s="512" t="s">
        <v>29</v>
      </c>
      <c r="G516" s="512" t="s">
        <v>5313</v>
      </c>
      <c r="H516" s="512" t="str">
        <f>IFERROR(VLOOKUP(G516,'Cadastro de assessores'!A:B,2,FALSE),"Não Cadastrado")</f>
        <v>16072</v>
      </c>
      <c r="I516" s="512"/>
      <c r="J516" s="51" t="s">
        <v>3823</v>
      </c>
      <c r="K516" s="512" t="s">
        <v>107</v>
      </c>
      <c r="L516" s="610">
        <v>44075.0</v>
      </c>
      <c r="M516" s="610">
        <v>44082.0</v>
      </c>
      <c r="N516" s="522"/>
      <c r="O516" s="522" t="s">
        <v>3824</v>
      </c>
      <c r="P516" s="612">
        <v>0.02</v>
      </c>
      <c r="Q516" s="620"/>
      <c r="R516" s="613"/>
      <c r="S516" s="522" t="str">
        <f t="shared" ref="S516:S533" si="56">IF(BC516&lt;=0,"",IF(BC516&lt;=1000000,"Não Qualificado",IF(AND(BC516&gt;1000000,BC516&lt;=10000000),"Qualificado","Profissional")))</f>
        <v>Não Qualificado</v>
      </c>
      <c r="T516" s="522" t="s">
        <v>108</v>
      </c>
      <c r="U516" s="522" t="s">
        <v>2623</v>
      </c>
      <c r="V516" s="522" t="s">
        <v>29</v>
      </c>
      <c r="W516" s="614" t="s">
        <v>3830</v>
      </c>
      <c r="X516" s="614" t="s">
        <v>3830</v>
      </c>
      <c r="Y516" s="614" t="s">
        <v>3830</v>
      </c>
      <c r="Z516" s="614" t="s">
        <v>3830</v>
      </c>
      <c r="AA516" s="614" t="s">
        <v>3830</v>
      </c>
      <c r="AB516" s="614" t="s">
        <v>3830</v>
      </c>
      <c r="AC516" s="614" t="s">
        <v>3830</v>
      </c>
      <c r="AD516" s="614" t="s">
        <v>3830</v>
      </c>
      <c r="AE516" s="614" t="s">
        <v>3830</v>
      </c>
      <c r="AF516" s="614" t="s">
        <v>3830</v>
      </c>
      <c r="AG516" s="614" t="s">
        <v>3830</v>
      </c>
      <c r="AH516" s="614" t="s">
        <v>5314</v>
      </c>
      <c r="AI516" s="614" t="s">
        <v>5315</v>
      </c>
      <c r="AJ516" s="614" t="s">
        <v>5316</v>
      </c>
      <c r="AK516" s="450">
        <v>315704.55</v>
      </c>
      <c r="AL516" s="450">
        <v>306755.9</v>
      </c>
      <c r="AM516" s="450">
        <v>292002.43</v>
      </c>
      <c r="AN516" s="450">
        <v>291494.69</v>
      </c>
      <c r="AO516" s="450">
        <v>303055.38</v>
      </c>
      <c r="AP516" s="450">
        <v>181882.68</v>
      </c>
      <c r="AQ516" s="450">
        <v>180621.13</v>
      </c>
      <c r="AR516" s="450">
        <v>2046.59</v>
      </c>
      <c r="AS516" s="450">
        <v>2057.22</v>
      </c>
      <c r="AT516" s="450">
        <v>2053.7</v>
      </c>
      <c r="AU516" s="450">
        <v>2057.7</v>
      </c>
      <c r="AV516" s="450">
        <v>345.53</v>
      </c>
      <c r="AW516" s="450">
        <v>544.87</v>
      </c>
      <c r="AX516" s="450">
        <v>544.07</v>
      </c>
      <c r="AY516" s="450">
        <v>500.92</v>
      </c>
      <c r="AZ516" s="450">
        <v>173.8</v>
      </c>
      <c r="BA516" s="450">
        <v>173.61</v>
      </c>
      <c r="BB516" s="450">
        <v>99.37</v>
      </c>
      <c r="BC516" s="450">
        <v>124.19</v>
      </c>
      <c r="BD516" s="450">
        <v>104.69</v>
      </c>
      <c r="BE516" s="450">
        <v>104.69</v>
      </c>
      <c r="BF516" s="450">
        <v>104.7</v>
      </c>
      <c r="BG516" s="450">
        <v>0.0</v>
      </c>
      <c r="BH516" s="450">
        <v>0.0</v>
      </c>
      <c r="BI516" s="450">
        <v>0.0</v>
      </c>
      <c r="BJ516" s="450">
        <v>0.0</v>
      </c>
      <c r="BK516" s="450">
        <v>0.0</v>
      </c>
      <c r="BL516" s="450">
        <v>0.0</v>
      </c>
      <c r="BM516" s="450">
        <v>0.0</v>
      </c>
      <c r="BN516" s="450">
        <v>0.0</v>
      </c>
      <c r="BO516" s="450">
        <v>0.0</v>
      </c>
      <c r="BP516" s="450">
        <v>0.0</v>
      </c>
      <c r="BQ516" s="450">
        <v>0.0</v>
      </c>
      <c r="BR516" s="450">
        <v>0.0</v>
      </c>
      <c r="BS516" s="615">
        <f t="array" ref="BS516">XLOOKUP(D516,'PL TOTAL XP'!A:A,'PL TOTAL XP'!C:C,"0")</f>
        <v>0</v>
      </c>
      <c r="BT516" s="616"/>
    </row>
    <row r="517" ht="15.75" customHeight="1">
      <c r="A517" s="183" t="s">
        <v>3820</v>
      </c>
      <c r="B517" s="78" t="s">
        <v>5317</v>
      </c>
      <c r="C517" s="617" t="s">
        <v>5318</v>
      </c>
      <c r="D517" s="522">
        <v>2847489.0</v>
      </c>
      <c r="E517" s="522" t="s">
        <v>2550</v>
      </c>
      <c r="F517" s="522" t="s">
        <v>29</v>
      </c>
      <c r="G517" s="522" t="s">
        <v>2550</v>
      </c>
      <c r="H517" s="522" t="str">
        <f>IFERROR(VLOOKUP(G517,'Cadastro de assessores'!A:B,2,FALSE),"Não Cadastrado")</f>
        <v>18986</v>
      </c>
      <c r="I517" s="522"/>
      <c r="J517" s="51" t="s">
        <v>186</v>
      </c>
      <c r="K517" s="522" t="s">
        <v>2563</v>
      </c>
      <c r="L517" s="619">
        <v>43850.0</v>
      </c>
      <c r="M517" s="619">
        <v>43850.0</v>
      </c>
      <c r="N517" s="619">
        <v>44011.0</v>
      </c>
      <c r="O517" s="522" t="s">
        <v>3828</v>
      </c>
      <c r="P517" s="612">
        <v>0.015</v>
      </c>
      <c r="Q517" s="620" t="s">
        <v>5319</v>
      </c>
      <c r="R517" s="613"/>
      <c r="S517" s="522" t="str">
        <f t="shared" si="56"/>
        <v/>
      </c>
      <c r="T517" s="522" t="s">
        <v>108</v>
      </c>
      <c r="U517" s="522" t="s">
        <v>3487</v>
      </c>
      <c r="V517" s="522" t="s">
        <v>29</v>
      </c>
      <c r="W517" s="614" t="s">
        <v>3830</v>
      </c>
      <c r="X517" s="614" t="s">
        <v>3830</v>
      </c>
      <c r="Y517" s="614" t="s">
        <v>3830</v>
      </c>
      <c r="Z517" s="614" t="s">
        <v>5320</v>
      </c>
      <c r="AA517" s="614" t="s">
        <v>5321</v>
      </c>
      <c r="AB517" s="614" t="s">
        <v>5322</v>
      </c>
      <c r="AC517" s="614" t="s">
        <v>5323</v>
      </c>
      <c r="AD517" s="614" t="s">
        <v>5324</v>
      </c>
      <c r="AE517" s="614" t="s">
        <v>3830</v>
      </c>
      <c r="AF517" s="614" t="s">
        <v>3830</v>
      </c>
      <c r="AG517" s="614" t="s">
        <v>3830</v>
      </c>
      <c r="AH517" s="614"/>
      <c r="AI517" s="614" t="s">
        <v>3830</v>
      </c>
      <c r="AJ517" s="614"/>
      <c r="AK517" s="450"/>
      <c r="AL517" s="450"/>
      <c r="AM517" s="450" t="s">
        <v>2600</v>
      </c>
      <c r="AN517" s="450"/>
      <c r="AO517" s="450"/>
      <c r="AP517" s="450"/>
      <c r="AQ517" s="450"/>
      <c r="AR517" s="450"/>
      <c r="AS517" s="450"/>
      <c r="AT517" s="450"/>
      <c r="AU517" s="450"/>
      <c r="AV517" s="450"/>
      <c r="AW517" s="450"/>
      <c r="AX517" s="450"/>
      <c r="AY517" s="450"/>
      <c r="AZ517" s="450"/>
      <c r="BA517" s="450">
        <v>0.0</v>
      </c>
      <c r="BB517" s="450">
        <v>0.0</v>
      </c>
      <c r="BC517" s="450">
        <v>0.0</v>
      </c>
      <c r="BD517" s="450" t="s">
        <v>2566</v>
      </c>
      <c r="BE517" s="450" t="s">
        <v>2566</v>
      </c>
      <c r="BF517" s="450">
        <v>0.0</v>
      </c>
      <c r="BG517" s="450">
        <v>0.0</v>
      </c>
      <c r="BH517" s="450">
        <v>0.0</v>
      </c>
      <c r="BI517" s="450">
        <v>0.0</v>
      </c>
      <c r="BJ517" s="450">
        <v>0.0</v>
      </c>
      <c r="BK517" s="450">
        <v>0.0</v>
      </c>
      <c r="BL517" s="450">
        <v>0.0</v>
      </c>
      <c r="BM517" s="450">
        <v>0.0</v>
      </c>
      <c r="BN517" s="450">
        <v>0.0</v>
      </c>
      <c r="BO517" s="450">
        <v>0.0</v>
      </c>
      <c r="BP517" s="450">
        <v>0.0</v>
      </c>
      <c r="BQ517" s="450">
        <v>0.0</v>
      </c>
      <c r="BR517" s="450">
        <v>0.0</v>
      </c>
      <c r="BS517" s="615" t="str">
        <f t="array" ref="BS517">XLOOKUP(D517,'PL TOTAL XP'!A:A,'PL TOTAL XP'!C:C,"0")</f>
        <v>0</v>
      </c>
      <c r="BT517" s="616"/>
    </row>
    <row r="518" ht="15.75" customHeight="1">
      <c r="A518" s="183" t="s">
        <v>3820</v>
      </c>
      <c r="B518" s="78" t="s">
        <v>2401</v>
      </c>
      <c r="C518" s="617" t="s">
        <v>2399</v>
      </c>
      <c r="D518" s="522">
        <v>4879786.0</v>
      </c>
      <c r="E518" s="512" t="s">
        <v>105</v>
      </c>
      <c r="F518" s="512" t="s">
        <v>29</v>
      </c>
      <c r="G518" s="512" t="s">
        <v>4084</v>
      </c>
      <c r="H518" s="512" t="str">
        <f>IFERROR(VLOOKUP(G518,'Cadastro de assessores'!A:B,2,FALSE),"Não Cadastrado")</f>
        <v>15049</v>
      </c>
      <c r="I518" s="512"/>
      <c r="J518" s="51" t="s">
        <v>3823</v>
      </c>
      <c r="K518" s="512" t="s">
        <v>107</v>
      </c>
      <c r="L518" s="610">
        <v>44251.0</v>
      </c>
      <c r="M518" s="610">
        <v>44251.0</v>
      </c>
      <c r="N518" s="566"/>
      <c r="O518" s="566" t="s">
        <v>3869</v>
      </c>
      <c r="P518" s="612">
        <v>0.008</v>
      </c>
      <c r="Q518" s="620"/>
      <c r="R518" s="613"/>
      <c r="S518" s="522" t="str">
        <f t="shared" si="56"/>
        <v>Não Qualificado</v>
      </c>
      <c r="T518" s="522" t="s">
        <v>108</v>
      </c>
      <c r="U518" s="522" t="s">
        <v>2602</v>
      </c>
      <c r="V518" s="522" t="s">
        <v>29</v>
      </c>
      <c r="W518" s="614"/>
      <c r="X518" s="614"/>
      <c r="Y518" s="614"/>
      <c r="Z518" s="614"/>
      <c r="AA518" s="614"/>
      <c r="AB518" s="614"/>
      <c r="AC518" s="614"/>
      <c r="AD518" s="614"/>
      <c r="AE518" s="614"/>
      <c r="AF518" s="614"/>
      <c r="AG518" s="614"/>
      <c r="AH518" s="614"/>
      <c r="AI518" s="614"/>
      <c r="AJ518" s="614"/>
      <c r="AK518" s="450"/>
      <c r="AL518" s="450"/>
      <c r="AM518" s="450">
        <v>94623.52</v>
      </c>
      <c r="AN518" s="450">
        <v>116687.27</v>
      </c>
      <c r="AO518" s="450">
        <v>133167.05</v>
      </c>
      <c r="AP518" s="450">
        <v>154673.42</v>
      </c>
      <c r="AQ518" s="450">
        <v>155491.1</v>
      </c>
      <c r="AR518" s="450">
        <v>173225.72</v>
      </c>
      <c r="AS518" s="450">
        <v>171164.19</v>
      </c>
      <c r="AT518" s="450">
        <v>180995.81</v>
      </c>
      <c r="AU518" s="450">
        <v>175719.55</v>
      </c>
      <c r="AV518" s="450">
        <v>174503.62</v>
      </c>
      <c r="AW518" s="450">
        <v>191835.75</v>
      </c>
      <c r="AX518" s="450">
        <v>185005.34</v>
      </c>
      <c r="AY518" s="450">
        <v>201078.61</v>
      </c>
      <c r="AZ518" s="450">
        <v>206768.66</v>
      </c>
      <c r="BA518" s="450">
        <v>207387.42</v>
      </c>
      <c r="BB518" s="450">
        <v>213305.06</v>
      </c>
      <c r="BC518" s="450">
        <v>111427.63</v>
      </c>
      <c r="BD518" s="450">
        <v>226045.99</v>
      </c>
      <c r="BE518" s="450">
        <v>235638.66</v>
      </c>
      <c r="BF518" s="450">
        <v>240928.9</v>
      </c>
      <c r="BG518" s="450">
        <v>269167.61</v>
      </c>
      <c r="BH518" s="450">
        <v>273795.03</v>
      </c>
      <c r="BI518" s="450">
        <v>276573.92</v>
      </c>
      <c r="BJ518" s="450">
        <v>278732.21</v>
      </c>
      <c r="BK518" s="450">
        <v>277930.93</v>
      </c>
      <c r="BL518" s="450">
        <v>15789.86</v>
      </c>
      <c r="BM518" s="450">
        <v>120.67</v>
      </c>
      <c r="BN518" s="450">
        <v>0.0</v>
      </c>
      <c r="BO518" s="450">
        <v>0.0</v>
      </c>
      <c r="BP518" s="450">
        <v>0.0</v>
      </c>
      <c r="BQ518" s="450">
        <v>0.0</v>
      </c>
      <c r="BR518" s="450">
        <v>0.0</v>
      </c>
      <c r="BS518" s="615">
        <f t="array" ref="BS518">XLOOKUP(D518,'PL TOTAL XP'!A:A,'PL TOTAL XP'!C:C,"0")</f>
        <v>0</v>
      </c>
      <c r="BT518" s="616"/>
    </row>
    <row r="519" ht="15.75" customHeight="1">
      <c r="A519" s="183" t="s">
        <v>3820</v>
      </c>
      <c r="B519" s="78" t="s">
        <v>2407</v>
      </c>
      <c r="C519" s="564" t="s">
        <v>5325</v>
      </c>
      <c r="D519" s="623">
        <v>2536076.0</v>
      </c>
      <c r="E519" s="512" t="s">
        <v>18</v>
      </c>
      <c r="F519" s="512" t="s">
        <v>19</v>
      </c>
      <c r="G519" s="512" t="s">
        <v>20</v>
      </c>
      <c r="H519" s="512">
        <f>IFERROR(VLOOKUP(G519,'Cadastro de assessores'!A:B,2,FALSE),"Não Cadastrado")</f>
        <v>12331</v>
      </c>
      <c r="I519" s="512"/>
      <c r="J519" s="51" t="s">
        <v>3823</v>
      </c>
      <c r="K519" s="512" t="s">
        <v>107</v>
      </c>
      <c r="L519" s="624">
        <v>44665.0</v>
      </c>
      <c r="M519" s="624">
        <v>44665.0</v>
      </c>
      <c r="N519" s="566"/>
      <c r="O519" s="566" t="s">
        <v>3836</v>
      </c>
      <c r="P519" s="612">
        <v>0.012</v>
      </c>
      <c r="Q519" s="620" t="s">
        <v>5326</v>
      </c>
      <c r="R519" s="613"/>
      <c r="S519" s="522" t="str">
        <f t="shared" si="56"/>
        <v/>
      </c>
      <c r="T519" s="522" t="s">
        <v>108</v>
      </c>
      <c r="U519" s="522" t="s">
        <v>2652</v>
      </c>
      <c r="V519" s="522" t="s">
        <v>19</v>
      </c>
      <c r="W519" s="614"/>
      <c r="X519" s="614"/>
      <c r="Y519" s="614"/>
      <c r="Z519" s="614"/>
      <c r="AA519" s="614"/>
      <c r="AB519" s="614"/>
      <c r="AC519" s="614"/>
      <c r="AD519" s="614"/>
      <c r="AE519" s="614"/>
      <c r="AF519" s="614"/>
      <c r="AG519" s="614"/>
      <c r="AH519" s="614"/>
      <c r="AI519" s="614"/>
      <c r="AJ519" s="614"/>
      <c r="AK519" s="450"/>
      <c r="AL519" s="450"/>
      <c r="AM519" s="450"/>
      <c r="AN519" s="450"/>
      <c r="AO519" s="450"/>
      <c r="AP519" s="450"/>
      <c r="AQ519" s="450"/>
      <c r="AR519" s="450"/>
      <c r="AS519" s="450"/>
      <c r="AT519" s="450"/>
      <c r="AU519" s="450"/>
      <c r="AV519" s="450"/>
      <c r="AW519" s="450"/>
      <c r="AX519" s="450"/>
      <c r="AY519" s="450"/>
      <c r="AZ519" s="450"/>
      <c r="BA519" s="450"/>
      <c r="BB519" s="450"/>
      <c r="BC519" s="450"/>
      <c r="BD519" s="450">
        <v>451324.81</v>
      </c>
      <c r="BE519" s="450">
        <v>454361.13</v>
      </c>
      <c r="BF519" s="450">
        <v>455298.68</v>
      </c>
      <c r="BG519" s="450">
        <v>460344.2383</v>
      </c>
      <c r="BH519" s="450">
        <v>463600.11</v>
      </c>
      <c r="BI519" s="450">
        <v>466315.06</v>
      </c>
      <c r="BJ519" s="450">
        <v>468663.84</v>
      </c>
      <c r="BK519" s="450">
        <v>471964.89</v>
      </c>
      <c r="BL519" s="450">
        <v>475987.18</v>
      </c>
      <c r="BM519" s="450">
        <v>665.27</v>
      </c>
      <c r="BN519" s="450">
        <v>0.0</v>
      </c>
      <c r="BO519" s="450">
        <v>0.0</v>
      </c>
      <c r="BP519" s="450">
        <v>0.0</v>
      </c>
      <c r="BQ519" s="450">
        <v>0.0</v>
      </c>
      <c r="BR519" s="450">
        <v>0.0</v>
      </c>
      <c r="BS519" s="615">
        <f t="array" ref="BS519">XLOOKUP(D519,'PL TOTAL XP'!A:A,'PL TOTAL XP'!C:C,"0")</f>
        <v>0</v>
      </c>
      <c r="BT519" s="616"/>
    </row>
    <row r="520" ht="15.75" customHeight="1">
      <c r="A520" s="183" t="s">
        <v>3820</v>
      </c>
      <c r="B520" s="78" t="s">
        <v>5327</v>
      </c>
      <c r="C520" s="617" t="s">
        <v>5328</v>
      </c>
      <c r="D520" s="522">
        <v>4548330.0</v>
      </c>
      <c r="E520" s="512" t="s">
        <v>105</v>
      </c>
      <c r="F520" s="512" t="s">
        <v>29</v>
      </c>
      <c r="G520" s="512" t="s">
        <v>4087</v>
      </c>
      <c r="H520" s="512" t="str">
        <f>IFERROR(VLOOKUP(G520,'Cadastro de assessores'!A:B,2,FALSE),"Não Cadastrado")</f>
        <v>17243</v>
      </c>
      <c r="I520" s="512"/>
      <c r="J520" s="51" t="s">
        <v>3823</v>
      </c>
      <c r="K520" s="522" t="s">
        <v>107</v>
      </c>
      <c r="L520" s="611">
        <v>44130.0</v>
      </c>
      <c r="M520" s="611">
        <v>44130.0</v>
      </c>
      <c r="N520" s="522"/>
      <c r="O520" s="522" t="s">
        <v>3828</v>
      </c>
      <c r="P520" s="612">
        <v>0.015</v>
      </c>
      <c r="Q520" s="620"/>
      <c r="R520" s="613"/>
      <c r="S520" s="522" t="str">
        <f t="shared" si="56"/>
        <v>Não Qualificado</v>
      </c>
      <c r="T520" s="522" t="s">
        <v>369</v>
      </c>
      <c r="U520" s="522" t="s">
        <v>2565</v>
      </c>
      <c r="V520" s="522" t="s">
        <v>29</v>
      </c>
      <c r="W520" s="614" t="s">
        <v>3830</v>
      </c>
      <c r="X520" s="614" t="s">
        <v>3830</v>
      </c>
      <c r="Y520" s="614" t="s">
        <v>3830</v>
      </c>
      <c r="Z520" s="614" t="s">
        <v>3830</v>
      </c>
      <c r="AA520" s="614" t="s">
        <v>3830</v>
      </c>
      <c r="AB520" s="614" t="s">
        <v>3830</v>
      </c>
      <c r="AC520" s="614" t="s">
        <v>3830</v>
      </c>
      <c r="AD520" s="614" t="s">
        <v>3830</v>
      </c>
      <c r="AE520" s="614" t="s">
        <v>3830</v>
      </c>
      <c r="AF520" s="614" t="s">
        <v>3830</v>
      </c>
      <c r="AG520" s="614" t="s">
        <v>3830</v>
      </c>
      <c r="AH520" s="614"/>
      <c r="AI520" s="614" t="s">
        <v>5329</v>
      </c>
      <c r="AJ520" s="614" t="s">
        <v>5330</v>
      </c>
      <c r="AK520" s="450"/>
      <c r="AL520" s="450">
        <v>154145.4</v>
      </c>
      <c r="AM520" s="450">
        <v>244503.55</v>
      </c>
      <c r="AN520" s="450">
        <v>245098.86</v>
      </c>
      <c r="AO520" s="450">
        <v>251631.13</v>
      </c>
      <c r="AP520" s="450">
        <v>253218.32</v>
      </c>
      <c r="AQ520" s="450">
        <v>252175.62</v>
      </c>
      <c r="AR520" s="450">
        <v>258354.28</v>
      </c>
      <c r="AS520" s="450">
        <v>256172.96</v>
      </c>
      <c r="AT520" s="450">
        <v>250902.41</v>
      </c>
      <c r="AU520" s="450">
        <v>249230.42</v>
      </c>
      <c r="AV520" s="450">
        <v>244969.86</v>
      </c>
      <c r="AW520" s="450">
        <v>237043.86</v>
      </c>
      <c r="AX520" s="450">
        <v>236709.21</v>
      </c>
      <c r="AY520" s="450">
        <v>239439.29</v>
      </c>
      <c r="AZ520" s="450">
        <v>247715.95</v>
      </c>
      <c r="BA520" s="450">
        <v>249710.25</v>
      </c>
      <c r="BB520" s="450">
        <v>207.49</v>
      </c>
      <c r="BC520" s="450">
        <v>284559.64</v>
      </c>
      <c r="BD520" s="450">
        <v>208.09</v>
      </c>
      <c r="BE520" s="450">
        <v>208.09</v>
      </c>
      <c r="BF520" s="450">
        <v>208.1</v>
      </c>
      <c r="BG520" s="450">
        <v>208.1</v>
      </c>
      <c r="BH520" s="450">
        <v>208.1</v>
      </c>
      <c r="BI520" s="450">
        <v>208.1</v>
      </c>
      <c r="BJ520" s="450">
        <v>208.1</v>
      </c>
      <c r="BK520" s="450">
        <v>208.1</v>
      </c>
      <c r="BL520" s="450">
        <v>208.1</v>
      </c>
      <c r="BM520" s="450">
        <v>208.1</v>
      </c>
      <c r="BN520" s="450">
        <v>208.1</v>
      </c>
      <c r="BO520" s="450">
        <v>208.1</v>
      </c>
      <c r="BP520" s="450">
        <v>208.1</v>
      </c>
      <c r="BQ520" s="450">
        <v>208.1</v>
      </c>
      <c r="BR520" s="450">
        <v>208.1</v>
      </c>
      <c r="BS520" s="615">
        <f t="array" ref="BS520">XLOOKUP(D520,'PL TOTAL XP'!A:A,'PL TOTAL XP'!C:C,"0")</f>
        <v>0</v>
      </c>
      <c r="BT520" s="616"/>
    </row>
    <row r="521" ht="15.75" customHeight="1">
      <c r="A521" s="183" t="s">
        <v>3820</v>
      </c>
      <c r="B521" s="78" t="s">
        <v>5331</v>
      </c>
      <c r="C521" s="617" t="s">
        <v>5332</v>
      </c>
      <c r="D521" s="522">
        <v>4784067.0</v>
      </c>
      <c r="E521" s="522" t="s">
        <v>105</v>
      </c>
      <c r="F521" s="522" t="s">
        <v>29</v>
      </c>
      <c r="G521" s="522" t="s">
        <v>3878</v>
      </c>
      <c r="H521" s="522" t="str">
        <f>IFERROR(VLOOKUP(G521,'Cadastro de assessores'!A:B,2,FALSE),"Não Cadastrado")</f>
        <v>1441</v>
      </c>
      <c r="I521" s="522"/>
      <c r="J521" s="51" t="s">
        <v>186</v>
      </c>
      <c r="K521" s="522" t="s">
        <v>2563</v>
      </c>
      <c r="L521" s="619">
        <v>44215.0</v>
      </c>
      <c r="M521" s="619">
        <v>44215.0</v>
      </c>
      <c r="N521" s="619">
        <v>44291.0</v>
      </c>
      <c r="O521" s="522" t="s">
        <v>3824</v>
      </c>
      <c r="P521" s="612">
        <v>0.02</v>
      </c>
      <c r="Q521" s="620" t="s">
        <v>5333</v>
      </c>
      <c r="R521" s="613"/>
      <c r="S521" s="522" t="str">
        <f t="shared" si="56"/>
        <v/>
      </c>
      <c r="T521" s="566" t="s">
        <v>108</v>
      </c>
      <c r="U521" s="566" t="s">
        <v>2596</v>
      </c>
      <c r="V521" s="522" t="s">
        <v>3908</v>
      </c>
      <c r="W521" s="614"/>
      <c r="X521" s="614"/>
      <c r="Y521" s="614"/>
      <c r="Z521" s="614"/>
      <c r="AA521" s="614"/>
      <c r="AB521" s="614"/>
      <c r="AC521" s="614"/>
      <c r="AD521" s="614"/>
      <c r="AE521" s="614"/>
      <c r="AF521" s="614"/>
      <c r="AG521" s="614"/>
      <c r="AH521" s="614" t="s">
        <v>3830</v>
      </c>
      <c r="AI521" s="614" t="s">
        <v>5334</v>
      </c>
      <c r="AJ521" s="614" t="s">
        <v>5330</v>
      </c>
      <c r="AK521" s="450">
        <v>255998.06</v>
      </c>
      <c r="AL521" s="450">
        <v>154099.51</v>
      </c>
      <c r="AM521" s="450">
        <v>146187.71</v>
      </c>
      <c r="AN521" s="450">
        <v>147390.16</v>
      </c>
      <c r="AO521" s="450">
        <v>153417.37</v>
      </c>
      <c r="AP521" s="450"/>
      <c r="AQ521" s="450"/>
      <c r="AR521" s="450"/>
      <c r="AS521" s="450"/>
      <c r="AT521" s="450"/>
      <c r="AU521" s="450"/>
      <c r="AV521" s="450"/>
      <c r="AW521" s="450"/>
      <c r="AX521" s="450"/>
      <c r="AY521" s="450"/>
      <c r="AZ521" s="450"/>
      <c r="BA521" s="450">
        <v>0.0</v>
      </c>
      <c r="BB521" s="450">
        <v>0.0</v>
      </c>
      <c r="BC521" s="450">
        <v>0.0</v>
      </c>
      <c r="BD521" s="450" t="s">
        <v>2566</v>
      </c>
      <c r="BE521" s="450" t="s">
        <v>2566</v>
      </c>
      <c r="BF521" s="450">
        <v>0.0</v>
      </c>
      <c r="BG521" s="450">
        <v>0.0</v>
      </c>
      <c r="BH521" s="450">
        <v>0.0</v>
      </c>
      <c r="BI521" s="450">
        <v>0.0</v>
      </c>
      <c r="BJ521" s="450">
        <v>0.0</v>
      </c>
      <c r="BK521" s="450">
        <v>0.0</v>
      </c>
      <c r="BL521" s="450">
        <v>0.0</v>
      </c>
      <c r="BM521" s="450">
        <v>0.0</v>
      </c>
      <c r="BN521" s="450">
        <v>0.0</v>
      </c>
      <c r="BO521" s="450">
        <v>0.0</v>
      </c>
      <c r="BP521" s="450">
        <v>0.0</v>
      </c>
      <c r="BQ521" s="450">
        <v>0.0</v>
      </c>
      <c r="BR521" s="450">
        <v>0.0</v>
      </c>
      <c r="BS521" s="615" t="str">
        <f t="array" ref="BS521">XLOOKUP(D521,'PL TOTAL XP'!A:A,'PL TOTAL XP'!C:C,"0")</f>
        <v>0</v>
      </c>
      <c r="BT521" s="616"/>
    </row>
    <row r="522" ht="15.75" customHeight="1">
      <c r="A522" s="183" t="s">
        <v>3820</v>
      </c>
      <c r="B522" s="78" t="s">
        <v>5335</v>
      </c>
      <c r="C522" s="617" t="s">
        <v>5336</v>
      </c>
      <c r="D522" s="522">
        <v>4809599.0</v>
      </c>
      <c r="E522" s="522" t="s">
        <v>18</v>
      </c>
      <c r="F522" s="511" t="s">
        <v>19</v>
      </c>
      <c r="G522" s="522" t="s">
        <v>256</v>
      </c>
      <c r="H522" s="522" t="str">
        <f>IFERROR(VLOOKUP(G522,'Cadastro de assessores'!A:B,2,FALSE),"Não Cadastrado")</f>
        <v>18009</v>
      </c>
      <c r="I522" s="522"/>
      <c r="J522" s="51" t="s">
        <v>186</v>
      </c>
      <c r="K522" s="522" t="s">
        <v>2563</v>
      </c>
      <c r="L522" s="619">
        <v>44229.0</v>
      </c>
      <c r="M522" s="619">
        <v>44229.0</v>
      </c>
      <c r="N522" s="619">
        <v>44683.0</v>
      </c>
      <c r="O522" s="522" t="s">
        <v>3824</v>
      </c>
      <c r="P522" s="612">
        <v>0.02</v>
      </c>
      <c r="Q522" s="620" t="s">
        <v>5337</v>
      </c>
      <c r="R522" s="613"/>
      <c r="S522" s="522" t="str">
        <f t="shared" si="56"/>
        <v>Não Qualificado</v>
      </c>
      <c r="T522" s="522" t="s">
        <v>108</v>
      </c>
      <c r="U522" s="566" t="s">
        <v>2596</v>
      </c>
      <c r="V522" s="522" t="s">
        <v>3908</v>
      </c>
      <c r="W522" s="614"/>
      <c r="X522" s="614"/>
      <c r="Y522" s="614"/>
      <c r="Z522" s="614"/>
      <c r="AA522" s="614"/>
      <c r="AB522" s="614"/>
      <c r="AC522" s="614"/>
      <c r="AD522" s="614"/>
      <c r="AE522" s="614"/>
      <c r="AF522" s="614"/>
      <c r="AG522" s="614"/>
      <c r="AH522" s="614"/>
      <c r="AI522" s="614"/>
      <c r="AJ522" s="614"/>
      <c r="AK522" s="450"/>
      <c r="AL522" s="450"/>
      <c r="AM522" s="450">
        <v>106868.39</v>
      </c>
      <c r="AN522" s="450">
        <v>107082.31</v>
      </c>
      <c r="AO522" s="450">
        <v>112400.21</v>
      </c>
      <c r="AP522" s="450">
        <v>113441.29</v>
      </c>
      <c r="AQ522" s="450">
        <v>112654.82</v>
      </c>
      <c r="AR522" s="450">
        <v>147557.36</v>
      </c>
      <c r="AS522" s="450">
        <v>146912.27</v>
      </c>
      <c r="AT522" s="450">
        <v>142068.42</v>
      </c>
      <c r="AU522" s="450">
        <v>160332.18</v>
      </c>
      <c r="AV522" s="450">
        <v>155986.19</v>
      </c>
      <c r="AW522" s="450">
        <v>146703.13</v>
      </c>
      <c r="AX522" s="450">
        <v>145825.26</v>
      </c>
      <c r="AY522" s="450">
        <v>147902.17</v>
      </c>
      <c r="AZ522" s="450">
        <v>153055.23</v>
      </c>
      <c r="BA522" s="450">
        <v>153873.5</v>
      </c>
      <c r="BB522" s="450">
        <v>161785.37</v>
      </c>
      <c r="BC522" s="450">
        <v>761666.51</v>
      </c>
      <c r="BD522" s="450" t="s">
        <v>2566</v>
      </c>
      <c r="BE522" s="450" t="s">
        <v>2566</v>
      </c>
      <c r="BF522" s="450">
        <v>0.0</v>
      </c>
      <c r="BG522" s="450">
        <v>0.0</v>
      </c>
      <c r="BH522" s="450">
        <v>0.0</v>
      </c>
      <c r="BI522" s="450">
        <v>0.0</v>
      </c>
      <c r="BJ522" s="450">
        <v>0.0</v>
      </c>
      <c r="BK522" s="450">
        <v>0.0</v>
      </c>
      <c r="BL522" s="450">
        <v>0.0</v>
      </c>
      <c r="BM522" s="450">
        <v>0.0</v>
      </c>
      <c r="BN522" s="450">
        <v>0.0</v>
      </c>
      <c r="BO522" s="450">
        <v>0.0</v>
      </c>
      <c r="BP522" s="450">
        <v>0.0</v>
      </c>
      <c r="BQ522" s="450">
        <v>0.0</v>
      </c>
      <c r="BR522" s="450">
        <v>0.0</v>
      </c>
      <c r="BS522" s="615" t="str">
        <f t="array" ref="BS522">XLOOKUP(D522,'PL TOTAL XP'!A:A,'PL TOTAL XP'!C:C,"0")</f>
        <v>0</v>
      </c>
      <c r="BT522" s="616"/>
    </row>
    <row r="523" ht="15.75" customHeight="1">
      <c r="A523" s="183" t="s">
        <v>3820</v>
      </c>
      <c r="B523" s="78" t="s">
        <v>5335</v>
      </c>
      <c r="C523" s="617" t="s">
        <v>5336</v>
      </c>
      <c r="D523" s="522">
        <v>4900263.0</v>
      </c>
      <c r="E523" s="522" t="s">
        <v>18</v>
      </c>
      <c r="F523" s="511" t="s">
        <v>19</v>
      </c>
      <c r="G523" s="522" t="s">
        <v>256</v>
      </c>
      <c r="H523" s="522" t="str">
        <f>IFERROR(VLOOKUP(G523,'Cadastro de assessores'!A:B,2,FALSE),"Não Cadastrado")</f>
        <v>18009</v>
      </c>
      <c r="I523" s="522"/>
      <c r="J523" s="51" t="s">
        <v>186</v>
      </c>
      <c r="K523" s="522" t="s">
        <v>2563</v>
      </c>
      <c r="L523" s="522" t="s">
        <v>2599</v>
      </c>
      <c r="M523" s="522" t="s">
        <v>2599</v>
      </c>
      <c r="N523" s="619">
        <v>44683.0</v>
      </c>
      <c r="O523" s="566" t="s">
        <v>3869</v>
      </c>
      <c r="P523" s="612">
        <v>0.008</v>
      </c>
      <c r="Q523" s="620" t="s">
        <v>5337</v>
      </c>
      <c r="R523" s="613"/>
      <c r="S523" s="522" t="str">
        <f t="shared" si="56"/>
        <v>Não Qualificado</v>
      </c>
      <c r="T523" s="522" t="s">
        <v>108</v>
      </c>
      <c r="U523" s="566" t="s">
        <v>2596</v>
      </c>
      <c r="V523" s="522" t="s">
        <v>3908</v>
      </c>
      <c r="W523" s="614"/>
      <c r="X523" s="614"/>
      <c r="Y523" s="614"/>
      <c r="Z523" s="614"/>
      <c r="AA523" s="614"/>
      <c r="AB523" s="614"/>
      <c r="AC523" s="614"/>
      <c r="AD523" s="614"/>
      <c r="AE523" s="614"/>
      <c r="AF523" s="614"/>
      <c r="AG523" s="614"/>
      <c r="AH523" s="614"/>
      <c r="AI523" s="614"/>
      <c r="AJ523" s="614"/>
      <c r="AK523" s="450"/>
      <c r="AL523" s="450"/>
      <c r="AM523" s="450"/>
      <c r="AN523" s="450" t="s">
        <v>2600</v>
      </c>
      <c r="AO523" s="450"/>
      <c r="AP523" s="450"/>
      <c r="AQ523" s="450"/>
      <c r="AR523" s="450"/>
      <c r="AS523" s="450"/>
      <c r="AT523" s="450"/>
      <c r="AU523" s="450"/>
      <c r="AV523" s="450"/>
      <c r="AW523" s="450"/>
      <c r="AX523" s="450"/>
      <c r="AY523" s="450"/>
      <c r="AZ523" s="450"/>
      <c r="BA523" s="450">
        <v>0.0</v>
      </c>
      <c r="BB523" s="450">
        <v>0.0</v>
      </c>
      <c r="BC523" s="450">
        <v>710231.14</v>
      </c>
      <c r="BD523" s="450" t="s">
        <v>2566</v>
      </c>
      <c r="BE523" s="450" t="s">
        <v>2566</v>
      </c>
      <c r="BF523" s="450">
        <v>0.0</v>
      </c>
      <c r="BG523" s="450">
        <v>0.0</v>
      </c>
      <c r="BH523" s="450">
        <v>0.0</v>
      </c>
      <c r="BI523" s="450">
        <v>0.0</v>
      </c>
      <c r="BJ523" s="450">
        <v>0.0</v>
      </c>
      <c r="BK523" s="450">
        <v>0.0</v>
      </c>
      <c r="BL523" s="450">
        <v>0.0</v>
      </c>
      <c r="BM523" s="450">
        <v>0.0</v>
      </c>
      <c r="BN523" s="450">
        <v>0.0</v>
      </c>
      <c r="BO523" s="450">
        <v>0.0</v>
      </c>
      <c r="BP523" s="450">
        <v>0.0</v>
      </c>
      <c r="BQ523" s="450">
        <v>0.0</v>
      </c>
      <c r="BR523" s="450">
        <v>0.0</v>
      </c>
      <c r="BS523" s="615" t="str">
        <f t="array" ref="BS523">XLOOKUP(D523,'PL TOTAL XP'!A:A,'PL TOTAL XP'!C:C,"0")</f>
        <v>0</v>
      </c>
      <c r="BT523" s="616"/>
    </row>
    <row r="524" ht="15.75" customHeight="1">
      <c r="A524" s="183" t="s">
        <v>3820</v>
      </c>
      <c r="B524" s="78" t="s">
        <v>5338</v>
      </c>
      <c r="C524" s="564" t="s">
        <v>5339</v>
      </c>
      <c r="D524" s="566">
        <v>4458091.0</v>
      </c>
      <c r="E524" s="512" t="s">
        <v>18</v>
      </c>
      <c r="F524" s="609" t="s">
        <v>29</v>
      </c>
      <c r="G524" s="609" t="s">
        <v>2931</v>
      </c>
      <c r="H524" s="609" t="str">
        <f>IFERROR(VLOOKUP(G524,'Cadastro de assessores'!A:B,2,FALSE),"Não Cadastrado")</f>
        <v>13444</v>
      </c>
      <c r="I524" s="609"/>
      <c r="J524" s="51" t="s">
        <v>3823</v>
      </c>
      <c r="K524" s="512" t="s">
        <v>107</v>
      </c>
      <c r="L524" s="610">
        <v>44372.0</v>
      </c>
      <c r="M524" s="610">
        <v>44372.0</v>
      </c>
      <c r="N524" s="566"/>
      <c r="O524" s="566" t="s">
        <v>4037</v>
      </c>
      <c r="P524" s="612">
        <v>0.02</v>
      </c>
      <c r="Q524" s="224"/>
      <c r="R524" s="613"/>
      <c r="S524" s="522" t="str">
        <f t="shared" si="56"/>
        <v/>
      </c>
      <c r="T524" s="522" t="s">
        <v>369</v>
      </c>
      <c r="U524" s="566" t="s">
        <v>4038</v>
      </c>
      <c r="V524" s="566" t="s">
        <v>34</v>
      </c>
      <c r="W524" s="468"/>
      <c r="X524" s="468"/>
      <c r="Y524" s="468"/>
      <c r="Z524" s="468"/>
      <c r="AA524" s="468"/>
      <c r="AB524" s="468"/>
      <c r="AC524" s="468"/>
      <c r="AD524" s="468"/>
      <c r="AE524" s="468"/>
      <c r="AF524" s="468"/>
      <c r="AG524" s="468"/>
      <c r="AH524" s="468"/>
      <c r="AI524" s="614"/>
      <c r="AJ524" s="450"/>
      <c r="AK524" s="450"/>
      <c r="AL524" s="450"/>
      <c r="AM524" s="450"/>
      <c r="AN524" s="450"/>
      <c r="AO524" s="450"/>
      <c r="AP524" s="450"/>
      <c r="AQ524" s="450"/>
      <c r="AR524" s="468"/>
      <c r="AS524" s="450">
        <v>204883.83</v>
      </c>
      <c r="AT524" s="450">
        <v>191556.99</v>
      </c>
      <c r="AU524" s="450">
        <v>188033.32</v>
      </c>
      <c r="AV524" s="450">
        <v>176053.49</v>
      </c>
      <c r="AW524" s="450">
        <v>158038.86</v>
      </c>
      <c r="AX524" s="450">
        <v>144316.36</v>
      </c>
      <c r="AY524" s="450">
        <v>149421.76</v>
      </c>
      <c r="AZ524" s="450">
        <v>155037.35</v>
      </c>
      <c r="BA524" s="450">
        <v>159439.99</v>
      </c>
      <c r="BB524" s="450">
        <v>168050.41</v>
      </c>
      <c r="BC524" s="450"/>
      <c r="BD524" s="450">
        <v>160034.17</v>
      </c>
      <c r="BE524" s="450">
        <v>136631.26</v>
      </c>
      <c r="BF524" s="450">
        <v>116289.73</v>
      </c>
      <c r="BG524" s="450">
        <v>122764.66</v>
      </c>
      <c r="BH524" s="450">
        <v>601.27</v>
      </c>
      <c r="BI524" s="450">
        <v>1430.43</v>
      </c>
      <c r="BJ524" s="450">
        <v>535.51</v>
      </c>
      <c r="BK524" s="450">
        <v>638.45</v>
      </c>
      <c r="BL524" s="450">
        <v>530.04</v>
      </c>
      <c r="BM524" s="450">
        <v>532.41</v>
      </c>
      <c r="BN524" s="450">
        <v>533.4</v>
      </c>
      <c r="BO524" s="450">
        <v>0.0</v>
      </c>
      <c r="BP524" s="450">
        <v>5.56</v>
      </c>
      <c r="BQ524" s="450">
        <v>5.56</v>
      </c>
      <c r="BR524" s="450">
        <v>5.56</v>
      </c>
      <c r="BS524" s="615">
        <f t="array" ref="BS524">XLOOKUP(D524,'PL TOTAL XP'!A:A,'PL TOTAL XP'!C:C,"0")</f>
        <v>0</v>
      </c>
      <c r="BT524" s="616"/>
    </row>
    <row r="525" ht="15.75" customHeight="1">
      <c r="A525" s="183" t="s">
        <v>3820</v>
      </c>
      <c r="B525" s="78" t="s">
        <v>5340</v>
      </c>
      <c r="C525" s="617" t="s">
        <v>5341</v>
      </c>
      <c r="D525" s="522">
        <v>4729728.0</v>
      </c>
      <c r="E525" s="512" t="s">
        <v>105</v>
      </c>
      <c r="F525" s="512" t="s">
        <v>29</v>
      </c>
      <c r="G525" s="512" t="s">
        <v>4075</v>
      </c>
      <c r="H525" s="512" t="str">
        <f>IFERROR(VLOOKUP(G525,'Cadastro de assessores'!A:B,2,FALSE),"Não Cadastrado")</f>
        <v>19634</v>
      </c>
      <c r="I525" s="512"/>
      <c r="J525" s="51" t="s">
        <v>186</v>
      </c>
      <c r="K525" s="512" t="s">
        <v>107</v>
      </c>
      <c r="L525" s="610">
        <v>44203.0</v>
      </c>
      <c r="M525" s="610">
        <v>44203.0</v>
      </c>
      <c r="N525" s="618">
        <v>44911.0</v>
      </c>
      <c r="O525" s="522" t="s">
        <v>3828</v>
      </c>
      <c r="P525" s="612">
        <v>0.015</v>
      </c>
      <c r="Q525" s="620" t="s">
        <v>5342</v>
      </c>
      <c r="R525" s="613"/>
      <c r="S525" s="522" t="str">
        <f t="shared" si="56"/>
        <v>Não Qualificado</v>
      </c>
      <c r="T525" s="522" t="s">
        <v>108</v>
      </c>
      <c r="U525" s="522" t="s">
        <v>2623</v>
      </c>
      <c r="V525" s="522" t="s">
        <v>29</v>
      </c>
      <c r="W525" s="614"/>
      <c r="X525" s="614"/>
      <c r="Y525" s="614"/>
      <c r="Z525" s="614"/>
      <c r="AA525" s="614"/>
      <c r="AB525" s="614"/>
      <c r="AC525" s="614"/>
      <c r="AD525" s="614"/>
      <c r="AE525" s="614"/>
      <c r="AF525" s="614"/>
      <c r="AG525" s="614"/>
      <c r="AH525" s="614"/>
      <c r="AI525" s="614"/>
      <c r="AJ525" s="614"/>
      <c r="AK525" s="450"/>
      <c r="AL525" s="450">
        <v>295739.94</v>
      </c>
      <c r="AM525" s="450">
        <v>288456.94</v>
      </c>
      <c r="AN525" s="450">
        <v>288843.33</v>
      </c>
      <c r="AO525" s="450">
        <v>296604.47</v>
      </c>
      <c r="AP525" s="450">
        <v>278429.59</v>
      </c>
      <c r="AQ525" s="450">
        <v>277305.68</v>
      </c>
      <c r="AR525" s="450">
        <v>284024.73</v>
      </c>
      <c r="AS525" s="450">
        <v>281782.79</v>
      </c>
      <c r="AT525" s="450">
        <v>210819.47</v>
      </c>
      <c r="AU525" s="450">
        <v>209173.29</v>
      </c>
      <c r="AV525" s="450">
        <v>205286.54</v>
      </c>
      <c r="AW525" s="450">
        <v>198545.31</v>
      </c>
      <c r="AX525" s="450">
        <v>199144.53</v>
      </c>
      <c r="AY525" s="450">
        <v>201544.88</v>
      </c>
      <c r="AZ525" s="450">
        <v>207486.83</v>
      </c>
      <c r="BA525" s="450">
        <v>208782.34</v>
      </c>
      <c r="BB525" s="450">
        <v>161242.08</v>
      </c>
      <c r="BC525" s="450">
        <v>697132.67</v>
      </c>
      <c r="BD525" s="450">
        <v>107329.17</v>
      </c>
      <c r="BE525" s="450">
        <v>105474.84</v>
      </c>
      <c r="BF525" s="450">
        <v>109316.66</v>
      </c>
      <c r="BG525" s="450">
        <v>110615.0997</v>
      </c>
      <c r="BH525" s="450">
        <v>110540.34</v>
      </c>
      <c r="BI525" s="450">
        <v>117222.67</v>
      </c>
      <c r="BJ525" s="450">
        <v>115136.1</v>
      </c>
      <c r="BK525" s="450">
        <v>0.0</v>
      </c>
      <c r="BL525" s="450">
        <v>0.0</v>
      </c>
      <c r="BM525" s="450">
        <v>0.0</v>
      </c>
      <c r="BN525" s="450">
        <v>0.0</v>
      </c>
      <c r="BO525" s="450">
        <v>0.0</v>
      </c>
      <c r="BP525" s="450">
        <v>0.0</v>
      </c>
      <c r="BQ525" s="450">
        <v>0.0</v>
      </c>
      <c r="BR525" s="450">
        <v>0.0</v>
      </c>
      <c r="BS525" s="615" t="str">
        <f t="array" ref="BS525">XLOOKUP(D525,'PL TOTAL XP'!A:A,'PL TOTAL XP'!C:C,"0")</f>
        <v>0</v>
      </c>
      <c r="BT525" s="616"/>
    </row>
    <row r="526" ht="15.75" customHeight="1">
      <c r="A526" s="183" t="s">
        <v>3820</v>
      </c>
      <c r="B526" s="78" t="s">
        <v>5343</v>
      </c>
      <c r="C526" s="564" t="s">
        <v>5344</v>
      </c>
      <c r="D526" s="566">
        <v>6104436.0</v>
      </c>
      <c r="E526" s="522" t="s">
        <v>18</v>
      </c>
      <c r="F526" s="511" t="s">
        <v>19</v>
      </c>
      <c r="G526" s="522" t="s">
        <v>4152</v>
      </c>
      <c r="H526" s="522" t="str">
        <f>IFERROR(VLOOKUP(G526,'Cadastro de assessores'!A:B,2,FALSE),"Não Cadastrado")</f>
        <v>14294</v>
      </c>
      <c r="I526" s="522"/>
      <c r="J526" s="51" t="s">
        <v>186</v>
      </c>
      <c r="K526" s="522" t="s">
        <v>2563</v>
      </c>
      <c r="L526" s="619">
        <v>44420.0</v>
      </c>
      <c r="M526" s="619">
        <v>44420.0</v>
      </c>
      <c r="N526" s="619">
        <v>44812.0</v>
      </c>
      <c r="O526" s="522" t="s">
        <v>3836</v>
      </c>
      <c r="P526" s="612">
        <v>0.012</v>
      </c>
      <c r="Q526" s="224" t="s">
        <v>5345</v>
      </c>
      <c r="R526" s="613"/>
      <c r="S526" s="522" t="str">
        <f t="shared" si="56"/>
        <v>Não Qualificado</v>
      </c>
      <c r="T526" s="522" t="s">
        <v>108</v>
      </c>
      <c r="U526" s="566" t="s">
        <v>2596</v>
      </c>
      <c r="V526" s="522" t="s">
        <v>3908</v>
      </c>
      <c r="W526" s="468"/>
      <c r="X526" s="468"/>
      <c r="Y526" s="468"/>
      <c r="Z526" s="468"/>
      <c r="AA526" s="468"/>
      <c r="AB526" s="468"/>
      <c r="AC526" s="468"/>
      <c r="AD526" s="468"/>
      <c r="AE526" s="468"/>
      <c r="AF526" s="468"/>
      <c r="AG526" s="468"/>
      <c r="AH526" s="614"/>
      <c r="AI526" s="614"/>
      <c r="AJ526" s="450"/>
      <c r="AK526" s="450"/>
      <c r="AL526" s="450"/>
      <c r="AM526" s="450"/>
      <c r="AN526" s="450"/>
      <c r="AO526" s="450"/>
      <c r="AP526" s="450"/>
      <c r="AQ526" s="450"/>
      <c r="AR526" s="450"/>
      <c r="AS526" s="634"/>
      <c r="AT526" s="449"/>
      <c r="AU526" s="449">
        <v>201499.55</v>
      </c>
      <c r="AV526" s="450">
        <v>200530.9</v>
      </c>
      <c r="AW526" s="450">
        <v>198258.04</v>
      </c>
      <c r="AX526" s="450">
        <v>199225.9</v>
      </c>
      <c r="AY526" s="450">
        <v>201108.71</v>
      </c>
      <c r="AZ526" s="450">
        <v>205260.98</v>
      </c>
      <c r="BA526" s="450">
        <v>206737.19</v>
      </c>
      <c r="BB526" s="450">
        <v>211411.92</v>
      </c>
      <c r="BC526" s="450">
        <v>639711.96</v>
      </c>
      <c r="BD526" s="450">
        <v>211811.01</v>
      </c>
      <c r="BE526" s="450">
        <v>212239.47</v>
      </c>
      <c r="BF526" s="450">
        <v>215271.44</v>
      </c>
      <c r="BG526" s="450">
        <v>216872.7863</v>
      </c>
      <c r="BH526" s="450">
        <v>0.0</v>
      </c>
      <c r="BI526" s="450">
        <v>0.0</v>
      </c>
      <c r="BJ526" s="450">
        <v>0.0</v>
      </c>
      <c r="BK526" s="450">
        <v>0.0</v>
      </c>
      <c r="BL526" s="450">
        <v>0.0</v>
      </c>
      <c r="BM526" s="450">
        <v>0.0</v>
      </c>
      <c r="BN526" s="450">
        <v>0.0</v>
      </c>
      <c r="BO526" s="450">
        <v>0.0</v>
      </c>
      <c r="BP526" s="450">
        <v>0.0</v>
      </c>
      <c r="BQ526" s="450">
        <v>0.0</v>
      </c>
      <c r="BR526" s="450">
        <v>0.0</v>
      </c>
      <c r="BS526" s="615" t="str">
        <f t="array" ref="BS526">XLOOKUP(D526,'PL TOTAL XP'!A:A,'PL TOTAL XP'!C:C,"0")</f>
        <v>0</v>
      </c>
      <c r="BT526" s="616"/>
    </row>
    <row r="527" ht="15.75" customHeight="1">
      <c r="A527" s="183" t="s">
        <v>3820</v>
      </c>
      <c r="B527" s="78" t="s">
        <v>5346</v>
      </c>
      <c r="C527" s="617" t="s">
        <v>5347</v>
      </c>
      <c r="D527" s="522">
        <v>3608409.0</v>
      </c>
      <c r="E527" s="522" t="s">
        <v>105</v>
      </c>
      <c r="F527" s="522" t="s">
        <v>29</v>
      </c>
      <c r="G527" s="522" t="s">
        <v>4146</v>
      </c>
      <c r="H527" s="522" t="str">
        <f>IFERROR(VLOOKUP(G527,'Cadastro de assessores'!A:B,2,FALSE),"Não Cadastrado")</f>
        <v>17489</v>
      </c>
      <c r="I527" s="522"/>
      <c r="J527" s="51" t="s">
        <v>186</v>
      </c>
      <c r="K527" s="522" t="s">
        <v>2563</v>
      </c>
      <c r="L527" s="619">
        <v>44092.0</v>
      </c>
      <c r="M527" s="619">
        <v>44092.0</v>
      </c>
      <c r="N527" s="618">
        <v>44490.0</v>
      </c>
      <c r="O527" s="522" t="s">
        <v>3824</v>
      </c>
      <c r="P527" s="612">
        <v>0.02</v>
      </c>
      <c r="Q527" s="620" t="s">
        <v>5348</v>
      </c>
      <c r="R527" s="613"/>
      <c r="S527" s="522" t="str">
        <f t="shared" si="56"/>
        <v>Não Qualificado</v>
      </c>
      <c r="T527" s="522" t="s">
        <v>108</v>
      </c>
      <c r="U527" s="522" t="s">
        <v>2591</v>
      </c>
      <c r="V527" s="522" t="s">
        <v>29</v>
      </c>
      <c r="W527" s="614" t="s">
        <v>3830</v>
      </c>
      <c r="X527" s="614" t="s">
        <v>3830</v>
      </c>
      <c r="Y527" s="614" t="s">
        <v>3830</v>
      </c>
      <c r="Z527" s="614" t="s">
        <v>3830</v>
      </c>
      <c r="AA527" s="614" t="s">
        <v>3830</v>
      </c>
      <c r="AB527" s="614" t="s">
        <v>3830</v>
      </c>
      <c r="AC527" s="614" t="s">
        <v>3830</v>
      </c>
      <c r="AD527" s="614" t="s">
        <v>3830</v>
      </c>
      <c r="AE527" s="614" t="s">
        <v>3830</v>
      </c>
      <c r="AF527" s="614" t="s">
        <v>3830</v>
      </c>
      <c r="AG527" s="614" t="s">
        <v>3830</v>
      </c>
      <c r="AH527" s="614" t="s">
        <v>5349</v>
      </c>
      <c r="AI527" s="614" t="s">
        <v>5350</v>
      </c>
      <c r="AJ527" s="614" t="s">
        <v>5351</v>
      </c>
      <c r="AK527" s="450">
        <v>882078.05</v>
      </c>
      <c r="AL527" s="450">
        <v>854224.36</v>
      </c>
      <c r="AM527" s="450">
        <v>790881.3</v>
      </c>
      <c r="AN527" s="450">
        <v>787131.12</v>
      </c>
      <c r="AO527" s="450">
        <v>818109.02</v>
      </c>
      <c r="AP527" s="450">
        <v>823708.23</v>
      </c>
      <c r="AQ527" s="450">
        <v>818336.0</v>
      </c>
      <c r="AR527" s="450">
        <v>846781.25</v>
      </c>
      <c r="AS527" s="450">
        <v>831196.66</v>
      </c>
      <c r="AT527" s="450">
        <v>805903.08</v>
      </c>
      <c r="AU527" s="450">
        <v>802434.71</v>
      </c>
      <c r="AV527" s="450">
        <v>775537.05</v>
      </c>
      <c r="AW527" s="450">
        <v>643686.4</v>
      </c>
      <c r="AX527" s="450"/>
      <c r="AY527" s="450"/>
      <c r="AZ527" s="450"/>
      <c r="BA527" s="450">
        <v>0.0</v>
      </c>
      <c r="BB527" s="450">
        <v>0.0</v>
      </c>
      <c r="BC527" s="450">
        <v>890155.82</v>
      </c>
      <c r="BD527" s="450" t="s">
        <v>2566</v>
      </c>
      <c r="BE527" s="450" t="s">
        <v>2566</v>
      </c>
      <c r="BF527" s="450">
        <v>0.0</v>
      </c>
      <c r="BG527" s="450">
        <v>0.0</v>
      </c>
      <c r="BH527" s="450">
        <v>0.0</v>
      </c>
      <c r="BI527" s="450">
        <v>0.0</v>
      </c>
      <c r="BJ527" s="450">
        <v>0.0</v>
      </c>
      <c r="BK527" s="450">
        <v>0.0</v>
      </c>
      <c r="BL527" s="450">
        <v>0.0</v>
      </c>
      <c r="BM527" s="450">
        <v>0.0</v>
      </c>
      <c r="BN527" s="450">
        <v>0.0</v>
      </c>
      <c r="BO527" s="450">
        <v>0.0</v>
      </c>
      <c r="BP527" s="450">
        <v>0.0</v>
      </c>
      <c r="BQ527" s="450">
        <v>0.0</v>
      </c>
      <c r="BR527" s="450">
        <v>0.0</v>
      </c>
      <c r="BS527" s="615" t="str">
        <f t="array" ref="BS527">XLOOKUP(D527,'PL TOTAL XP'!A:A,'PL TOTAL XP'!C:C,"0")</f>
        <v>0</v>
      </c>
      <c r="BT527" s="616"/>
    </row>
    <row r="528" ht="15.75" customHeight="1">
      <c r="A528" s="183" t="s">
        <v>3820</v>
      </c>
      <c r="B528" s="78" t="s">
        <v>5352</v>
      </c>
      <c r="C528" s="706" t="s">
        <v>5353</v>
      </c>
      <c r="D528" s="522">
        <v>4465050.0</v>
      </c>
      <c r="E528" s="512" t="s">
        <v>18</v>
      </c>
      <c r="F528" s="512" t="s">
        <v>19</v>
      </c>
      <c r="G528" s="512" t="s">
        <v>256</v>
      </c>
      <c r="H528" s="512" t="str">
        <f>IFERROR(VLOOKUP(G528,'Cadastro de assessores'!A:B,2,FALSE),"Não Cadastrado")</f>
        <v>18009</v>
      </c>
      <c r="I528" s="512"/>
      <c r="J528" s="51" t="s">
        <v>186</v>
      </c>
      <c r="K528" s="522" t="s">
        <v>2563</v>
      </c>
      <c r="L528" s="610">
        <v>44103.0</v>
      </c>
      <c r="M528" s="610">
        <v>44104.0</v>
      </c>
      <c r="N528" s="522"/>
      <c r="O528" s="522" t="s">
        <v>3828</v>
      </c>
      <c r="P528" s="612">
        <v>0.015</v>
      </c>
      <c r="Q528" s="704" t="s">
        <v>5354</v>
      </c>
      <c r="R528" s="613"/>
      <c r="S528" s="522" t="str">
        <f t="shared" si="56"/>
        <v/>
      </c>
      <c r="T528" s="522" t="s">
        <v>108</v>
      </c>
      <c r="U528" s="522" t="s">
        <v>2623</v>
      </c>
      <c r="V528" s="522" t="s">
        <v>29</v>
      </c>
      <c r="W528" s="614" t="s">
        <v>3830</v>
      </c>
      <c r="X528" s="614" t="s">
        <v>3830</v>
      </c>
      <c r="Y528" s="614" t="s">
        <v>3830</v>
      </c>
      <c r="Z528" s="614" t="s">
        <v>3830</v>
      </c>
      <c r="AA528" s="614" t="s">
        <v>3830</v>
      </c>
      <c r="AB528" s="614" t="s">
        <v>3830</v>
      </c>
      <c r="AC528" s="614" t="s">
        <v>3830</v>
      </c>
      <c r="AD528" s="614" t="s">
        <v>3830</v>
      </c>
      <c r="AE528" s="614" t="s">
        <v>3830</v>
      </c>
      <c r="AF528" s="614" t="s">
        <v>3830</v>
      </c>
      <c r="AG528" s="614" t="s">
        <v>3830</v>
      </c>
      <c r="AH528" s="614" t="s">
        <v>5355</v>
      </c>
      <c r="AI528" s="614" t="s">
        <v>5356</v>
      </c>
      <c r="AJ528" s="614" t="s">
        <v>5357</v>
      </c>
      <c r="AK528" s="450">
        <v>4131996.4</v>
      </c>
      <c r="AL528" s="450">
        <v>4077407.13</v>
      </c>
      <c r="AM528" s="450">
        <v>3954103.56</v>
      </c>
      <c r="AN528" s="450">
        <v>3965210.51</v>
      </c>
      <c r="AO528" s="450">
        <v>4062014.82</v>
      </c>
      <c r="AP528" s="450">
        <v>4090647.35</v>
      </c>
      <c r="AQ528" s="450">
        <v>4071830.03</v>
      </c>
      <c r="AR528" s="450">
        <v>4176600.85</v>
      </c>
      <c r="AS528" s="450">
        <v>4141846.57</v>
      </c>
      <c r="AT528" s="450">
        <v>4053503.17</v>
      </c>
      <c r="AU528" s="450">
        <v>4024690.62</v>
      </c>
      <c r="AV528" s="450">
        <v>3973444.68</v>
      </c>
      <c r="AW528" s="450">
        <v>3779498.87</v>
      </c>
      <c r="AX528" s="450">
        <v>3786371.87</v>
      </c>
      <c r="AY528" s="450">
        <v>3838450.87</v>
      </c>
      <c r="AZ528" s="450">
        <v>3951805.33</v>
      </c>
      <c r="BA528" s="450">
        <v>3976460.77</v>
      </c>
      <c r="BB528" s="450">
        <v>4125382.15</v>
      </c>
      <c r="BC528" s="450">
        <v>0.0</v>
      </c>
      <c r="BD528" s="450">
        <v>4132115.16</v>
      </c>
      <c r="BE528" s="450">
        <v>4111979.93</v>
      </c>
      <c r="BF528" s="450">
        <v>4188894.14</v>
      </c>
      <c r="BG528" s="450">
        <v>4221619.685</v>
      </c>
      <c r="BH528" s="450">
        <v>4237705.55</v>
      </c>
      <c r="BI528" s="450">
        <v>4379189.73</v>
      </c>
      <c r="BJ528" s="450">
        <v>4365751.61</v>
      </c>
      <c r="BK528" s="450">
        <v>4389200.51</v>
      </c>
      <c r="BL528" s="450">
        <v>515.53</v>
      </c>
      <c r="BM528" s="450">
        <v>0.0</v>
      </c>
      <c r="BN528" s="450">
        <v>0.0</v>
      </c>
      <c r="BO528" s="450">
        <v>0.0</v>
      </c>
      <c r="BP528" s="450">
        <v>0.0</v>
      </c>
      <c r="BQ528" s="450">
        <v>0.0</v>
      </c>
      <c r="BR528" s="450">
        <v>0.0</v>
      </c>
      <c r="BS528" s="615" t="str">
        <f t="array" ref="BS528">XLOOKUP(D528,'PL TOTAL XP'!A:A,'PL TOTAL XP'!C:C,"0")</f>
        <v>0</v>
      </c>
      <c r="BT528" s="616"/>
    </row>
    <row r="529" ht="15.75" customHeight="1">
      <c r="A529" s="183" t="s">
        <v>3820</v>
      </c>
      <c r="B529" s="78" t="s">
        <v>5358</v>
      </c>
      <c r="C529" s="564" t="s">
        <v>5359</v>
      </c>
      <c r="D529" s="566">
        <v>5678151.0</v>
      </c>
      <c r="E529" s="522" t="s">
        <v>105</v>
      </c>
      <c r="F529" s="511" t="s">
        <v>29</v>
      </c>
      <c r="G529" s="511" t="s">
        <v>4465</v>
      </c>
      <c r="H529" s="511" t="str">
        <f>IFERROR(VLOOKUP(G529,'Cadastro de assessores'!A:B,2,FALSE),"Não Cadastrado")</f>
        <v>14091</v>
      </c>
      <c r="I529" s="511"/>
      <c r="J529" s="51" t="s">
        <v>186</v>
      </c>
      <c r="K529" s="522" t="s">
        <v>2563</v>
      </c>
      <c r="L529" s="619">
        <v>44397.0</v>
      </c>
      <c r="M529" s="619">
        <v>44397.0</v>
      </c>
      <c r="N529" s="619">
        <v>44473.0</v>
      </c>
      <c r="O529" s="522" t="s">
        <v>3836</v>
      </c>
      <c r="P529" s="612">
        <v>0.012</v>
      </c>
      <c r="Q529" s="620" t="s">
        <v>3855</v>
      </c>
      <c r="R529" s="613"/>
      <c r="S529" s="522" t="str">
        <f t="shared" si="56"/>
        <v>Não Qualificado</v>
      </c>
      <c r="T529" s="566" t="s">
        <v>369</v>
      </c>
      <c r="U529" s="566" t="s">
        <v>2623</v>
      </c>
      <c r="V529" s="566" t="s">
        <v>29</v>
      </c>
      <c r="W529" s="468"/>
      <c r="X529" s="468"/>
      <c r="Y529" s="468"/>
      <c r="Z529" s="468"/>
      <c r="AA529" s="468"/>
      <c r="AB529" s="468"/>
      <c r="AC529" s="468"/>
      <c r="AD529" s="468"/>
      <c r="AE529" s="468"/>
      <c r="AF529" s="468"/>
      <c r="AG529" s="468"/>
      <c r="AH529" s="468"/>
      <c r="AI529" s="468"/>
      <c r="AJ529" s="468"/>
      <c r="AK529" s="450"/>
      <c r="AL529" s="450"/>
      <c r="AM529" s="450"/>
      <c r="AN529" s="450"/>
      <c r="AO529" s="450"/>
      <c r="AP529" s="450"/>
      <c r="AQ529" s="468"/>
      <c r="AR529" s="449"/>
      <c r="AS529" s="450"/>
      <c r="AT529" s="450">
        <v>387869.72</v>
      </c>
      <c r="AU529" s="450">
        <v>6871.19</v>
      </c>
      <c r="AV529" s="450">
        <v>6844.13</v>
      </c>
      <c r="AW529" s="450"/>
      <c r="AX529" s="450"/>
      <c r="AY529" s="450"/>
      <c r="AZ529" s="450"/>
      <c r="BA529" s="450">
        <v>0.0</v>
      </c>
      <c r="BB529" s="450">
        <v>0.0</v>
      </c>
      <c r="BC529" s="450">
        <v>422353.32</v>
      </c>
      <c r="BD529" s="450" t="s">
        <v>2566</v>
      </c>
      <c r="BE529" s="450" t="s">
        <v>2566</v>
      </c>
      <c r="BF529" s="450">
        <v>0.0</v>
      </c>
      <c r="BG529" s="450">
        <v>0.0</v>
      </c>
      <c r="BH529" s="450">
        <v>0.0</v>
      </c>
      <c r="BI529" s="450">
        <v>0.0</v>
      </c>
      <c r="BJ529" s="450">
        <v>0.0</v>
      </c>
      <c r="BK529" s="450">
        <v>0.0</v>
      </c>
      <c r="BL529" s="450">
        <v>0.0</v>
      </c>
      <c r="BM529" s="450">
        <v>0.0</v>
      </c>
      <c r="BN529" s="450">
        <v>0.0</v>
      </c>
      <c r="BO529" s="450">
        <v>0.0</v>
      </c>
      <c r="BP529" s="450">
        <v>0.0</v>
      </c>
      <c r="BQ529" s="450">
        <v>0.0</v>
      </c>
      <c r="BR529" s="450">
        <v>0.0</v>
      </c>
      <c r="BS529" s="615" t="str">
        <f t="array" ref="BS529">XLOOKUP(D529,'PL TOTAL XP'!A:A,'PL TOTAL XP'!C:C,"0")</f>
        <v>0</v>
      </c>
      <c r="BT529" s="616"/>
    </row>
    <row r="530" ht="15.75" customHeight="1">
      <c r="A530" s="183" t="s">
        <v>3820</v>
      </c>
      <c r="B530" s="78" t="s">
        <v>5360</v>
      </c>
      <c r="C530" s="573" t="s">
        <v>5361</v>
      </c>
      <c r="D530" s="627">
        <v>2129230.0</v>
      </c>
      <c r="E530" s="512" t="s">
        <v>18</v>
      </c>
      <c r="F530" s="609" t="s">
        <v>29</v>
      </c>
      <c r="G530" s="627" t="s">
        <v>3708</v>
      </c>
      <c r="H530" s="627" t="str">
        <f>IFERROR(VLOOKUP(G530,'Cadastro de assessores'!A:B,2,FALSE),"Não Cadastrado")</f>
        <v>18266</v>
      </c>
      <c r="I530" s="627"/>
      <c r="J530" s="51" t="s">
        <v>3823</v>
      </c>
      <c r="K530" s="566" t="s">
        <v>107</v>
      </c>
      <c r="L530" s="610">
        <v>44426.0</v>
      </c>
      <c r="M530" s="610">
        <v>44426.0</v>
      </c>
      <c r="N530" s="627"/>
      <c r="O530" s="627" t="s">
        <v>3840</v>
      </c>
      <c r="P530" s="629">
        <v>0.025</v>
      </c>
      <c r="Q530" s="707" t="s">
        <v>5362</v>
      </c>
      <c r="R530" s="613"/>
      <c r="S530" s="522" t="str">
        <f t="shared" si="56"/>
        <v>Qualificado</v>
      </c>
      <c r="T530" s="566" t="s">
        <v>108</v>
      </c>
      <c r="U530" s="566" t="s">
        <v>2664</v>
      </c>
      <c r="V530" s="566" t="s">
        <v>791</v>
      </c>
      <c r="W530" s="708"/>
      <c r="X530" s="708"/>
      <c r="Y530" s="708"/>
      <c r="Z530" s="708"/>
      <c r="AA530" s="708"/>
      <c r="AB530" s="708"/>
      <c r="AC530" s="708"/>
      <c r="AD530" s="708"/>
      <c r="AE530" s="708"/>
      <c r="AF530" s="708"/>
      <c r="AG530" s="708"/>
      <c r="AH530" s="708"/>
      <c r="AI530" s="683"/>
      <c r="AJ530" s="683"/>
      <c r="AK530" s="683"/>
      <c r="AL530" s="683"/>
      <c r="AM530" s="683"/>
      <c r="AN530" s="683"/>
      <c r="AO530" s="708"/>
      <c r="AP530" s="709"/>
      <c r="AQ530" s="683"/>
      <c r="AR530" s="708"/>
      <c r="AS530" s="708"/>
      <c r="AT530" s="709"/>
      <c r="AU530" s="709">
        <v>134528.81</v>
      </c>
      <c r="AV530" s="450">
        <v>198893.53</v>
      </c>
      <c r="AW530" s="450">
        <v>119773.82</v>
      </c>
      <c r="AX530" s="450">
        <v>121398.43</v>
      </c>
      <c r="AY530" s="450">
        <v>119016.53</v>
      </c>
      <c r="AZ530" s="450">
        <v>123907.74</v>
      </c>
      <c r="BA530" s="450">
        <v>120547.73</v>
      </c>
      <c r="BB530" s="450">
        <v>109095.33</v>
      </c>
      <c r="BC530" s="450">
        <v>1055335.81</v>
      </c>
      <c r="BD530" s="450">
        <v>152507.88</v>
      </c>
      <c r="BE530" s="450">
        <v>146803.0</v>
      </c>
      <c r="BF530" s="450">
        <v>151484.87</v>
      </c>
      <c r="BG530" s="450">
        <v>101785.788</v>
      </c>
      <c r="BH530" s="450">
        <v>99526.34</v>
      </c>
      <c r="BI530" s="450">
        <v>112878.01</v>
      </c>
      <c r="BJ530" s="450">
        <v>93280.32</v>
      </c>
      <c r="BK530" s="450">
        <v>92143.86</v>
      </c>
      <c r="BL530" s="450">
        <v>96864.89</v>
      </c>
      <c r="BM530" s="450">
        <v>91879.65</v>
      </c>
      <c r="BN530" s="450">
        <v>23305.23</v>
      </c>
      <c r="BO530" s="450">
        <v>8461.52</v>
      </c>
      <c r="BP530" s="450">
        <v>8211.43</v>
      </c>
      <c r="BQ530" s="450">
        <v>8080.14</v>
      </c>
      <c r="BR530" s="450">
        <v>8107.4</v>
      </c>
      <c r="BS530" s="615">
        <f t="array" ref="BS530">XLOOKUP(D530,'PL TOTAL XP'!A:A,'PL TOTAL XP'!C:C,"0")</f>
        <v>0</v>
      </c>
      <c r="BT530" s="616"/>
    </row>
    <row r="531" ht="15.75" customHeight="1">
      <c r="A531" s="183" t="s">
        <v>3820</v>
      </c>
      <c r="B531" s="78" t="s">
        <v>2460</v>
      </c>
      <c r="C531" s="564" t="s">
        <v>5363</v>
      </c>
      <c r="D531" s="566">
        <v>417444.0</v>
      </c>
      <c r="E531" s="512" t="s">
        <v>18</v>
      </c>
      <c r="F531" s="512" t="s">
        <v>29</v>
      </c>
      <c r="G531" s="512" t="s">
        <v>3708</v>
      </c>
      <c r="H531" s="512" t="str">
        <f>IFERROR(VLOOKUP(G531,'Cadastro de assessores'!A:B,2,FALSE),"Não Cadastrado")</f>
        <v>18266</v>
      </c>
      <c r="I531" s="512"/>
      <c r="J531" s="46" t="s">
        <v>107</v>
      </c>
      <c r="K531" s="566" t="s">
        <v>107</v>
      </c>
      <c r="L531" s="610">
        <v>44329.0</v>
      </c>
      <c r="M531" s="610">
        <v>44344.0</v>
      </c>
      <c r="N531" s="566"/>
      <c r="O531" s="566" t="s">
        <v>3869</v>
      </c>
      <c r="P531" s="612">
        <v>0.008</v>
      </c>
      <c r="Q531" s="224"/>
      <c r="R531" s="613"/>
      <c r="S531" s="522" t="str">
        <f t="shared" si="56"/>
        <v>Não Qualificado</v>
      </c>
      <c r="T531" s="566" t="s">
        <v>108</v>
      </c>
      <c r="U531" s="566" t="s">
        <v>2664</v>
      </c>
      <c r="V531" s="566" t="s">
        <v>791</v>
      </c>
      <c r="W531" s="468"/>
      <c r="X531" s="468"/>
      <c r="Y531" s="468"/>
      <c r="Z531" s="468"/>
      <c r="AA531" s="468"/>
      <c r="AB531" s="468"/>
      <c r="AC531" s="468"/>
      <c r="AD531" s="468"/>
      <c r="AE531" s="468"/>
      <c r="AF531" s="468"/>
      <c r="AG531" s="468"/>
      <c r="AH531" s="468"/>
      <c r="AI531" s="468"/>
      <c r="AJ531" s="468"/>
      <c r="AK531" s="450"/>
      <c r="AL531" s="450"/>
      <c r="AM531" s="450"/>
      <c r="AN531" s="450"/>
      <c r="AO531" s="450"/>
      <c r="AP531" s="450"/>
      <c r="AQ531" s="468"/>
      <c r="AR531" s="449">
        <v>101286.77</v>
      </c>
      <c r="AS531" s="450">
        <v>120861.35</v>
      </c>
      <c r="AT531" s="450">
        <v>123291.09</v>
      </c>
      <c r="AU531" s="450">
        <v>133665.0</v>
      </c>
      <c r="AV531" s="450">
        <v>142197.48</v>
      </c>
      <c r="AW531" s="450">
        <v>140750.92</v>
      </c>
      <c r="AX531" s="450">
        <v>143397.42</v>
      </c>
      <c r="AY531" s="450">
        <v>156253.26</v>
      </c>
      <c r="AZ531" s="450">
        <v>156760.21</v>
      </c>
      <c r="BA531" s="450">
        <v>159689.33</v>
      </c>
      <c r="BB531" s="450">
        <v>171346.45</v>
      </c>
      <c r="BC531" s="450">
        <v>703075.17</v>
      </c>
      <c r="BD531" s="450">
        <v>177887.63</v>
      </c>
      <c r="BE531" s="450">
        <v>178045.5</v>
      </c>
      <c r="BF531" s="450">
        <v>179910.69</v>
      </c>
      <c r="BG531" s="450">
        <v>184557.44</v>
      </c>
      <c r="BH531" s="450">
        <v>188433.4</v>
      </c>
      <c r="BI531" s="450">
        <v>190218.57</v>
      </c>
      <c r="BJ531" s="450">
        <v>184808.47</v>
      </c>
      <c r="BK531" s="450">
        <v>189192.82</v>
      </c>
      <c r="BL531" s="450">
        <v>190358.55</v>
      </c>
      <c r="BM531" s="450">
        <v>188656.56</v>
      </c>
      <c r="BN531" s="450">
        <v>186045.7</v>
      </c>
      <c r="BO531" s="450">
        <v>190867.7</v>
      </c>
      <c r="BP531" s="450">
        <v>197849.72</v>
      </c>
      <c r="BQ531" s="450">
        <v>205877.89</v>
      </c>
      <c r="BR531" s="450">
        <v>211801.14</v>
      </c>
      <c r="BS531" s="615">
        <f t="array" ref="BS531">XLOOKUP(D531,'PL TOTAL XP'!A:A,'PL TOTAL XP'!C:C,"0")</f>
        <v>1547.29</v>
      </c>
      <c r="BT531" s="616"/>
    </row>
    <row r="532" ht="15.75" customHeight="1">
      <c r="A532" s="183" t="s">
        <v>3820</v>
      </c>
      <c r="B532" s="78" t="s">
        <v>5364</v>
      </c>
      <c r="C532" s="564" t="s">
        <v>5365</v>
      </c>
      <c r="D532" s="566">
        <v>4841689.0</v>
      </c>
      <c r="E532" s="512" t="s">
        <v>18</v>
      </c>
      <c r="F532" s="609" t="s">
        <v>19</v>
      </c>
      <c r="G532" s="512" t="s">
        <v>256</v>
      </c>
      <c r="H532" s="512" t="str">
        <f>IFERROR(VLOOKUP(G532,'Cadastro de assessores'!A:B,2,FALSE),"Não Cadastrado")</f>
        <v>18009</v>
      </c>
      <c r="I532" s="512"/>
      <c r="J532" s="51" t="s">
        <v>186</v>
      </c>
      <c r="K532" s="643" t="s">
        <v>107</v>
      </c>
      <c r="L532" s="610">
        <v>44256.0</v>
      </c>
      <c r="M532" s="610">
        <v>44256.0</v>
      </c>
      <c r="N532" s="566"/>
      <c r="O532" s="566" t="s">
        <v>3824</v>
      </c>
      <c r="P532" s="612">
        <v>0.02</v>
      </c>
      <c r="Q532" s="620" t="s">
        <v>5366</v>
      </c>
      <c r="R532" s="613"/>
      <c r="S532" s="522" t="str">
        <f t="shared" si="56"/>
        <v/>
      </c>
      <c r="T532" s="522" t="s">
        <v>108</v>
      </c>
      <c r="U532" s="522" t="s">
        <v>2619</v>
      </c>
      <c r="V532" s="522" t="s">
        <v>152</v>
      </c>
      <c r="W532" s="614"/>
      <c r="X532" s="614"/>
      <c r="Y532" s="614"/>
      <c r="Z532" s="614"/>
      <c r="AA532" s="614"/>
      <c r="AB532" s="614"/>
      <c r="AC532" s="614"/>
      <c r="AD532" s="614"/>
      <c r="AE532" s="614"/>
      <c r="AF532" s="614"/>
      <c r="AG532" s="614"/>
      <c r="AH532" s="614"/>
      <c r="AI532" s="614"/>
      <c r="AJ532" s="614"/>
      <c r="AK532" s="450"/>
      <c r="AL532" s="450"/>
      <c r="AM532" s="450" t="s">
        <v>2600</v>
      </c>
      <c r="AN532" s="450">
        <v>98520.49</v>
      </c>
      <c r="AO532" s="450">
        <v>102245.42</v>
      </c>
      <c r="AP532" s="450">
        <v>102856.28</v>
      </c>
      <c r="AQ532" s="450">
        <v>102362.02</v>
      </c>
      <c r="AR532" s="450">
        <v>105209.82</v>
      </c>
      <c r="AS532" s="450">
        <v>103933.12</v>
      </c>
      <c r="AT532" s="450">
        <v>101197.78</v>
      </c>
      <c r="AU532" s="450">
        <v>100528.71</v>
      </c>
      <c r="AV532" s="450">
        <v>99201.68</v>
      </c>
      <c r="AW532" s="450">
        <v>93051.42</v>
      </c>
      <c r="AX532" s="450">
        <v>92501.96</v>
      </c>
      <c r="AY532" s="450">
        <v>93795.48</v>
      </c>
      <c r="AZ532" s="450">
        <v>97153.84</v>
      </c>
      <c r="BA532" s="450">
        <v>98309.34</v>
      </c>
      <c r="BB532" s="450">
        <v>5107.71</v>
      </c>
      <c r="BC532" s="450"/>
      <c r="BD532" s="450">
        <v>6705.53</v>
      </c>
      <c r="BE532" s="450">
        <v>6758.51</v>
      </c>
      <c r="BF532" s="450">
        <v>6750.97</v>
      </c>
      <c r="BG532" s="450">
        <v>6877.16</v>
      </c>
      <c r="BH532" s="450">
        <v>6936.19</v>
      </c>
      <c r="BI532" s="450">
        <v>7006.14</v>
      </c>
      <c r="BJ532" s="450">
        <v>7079.91</v>
      </c>
      <c r="BK532" s="450">
        <v>7076.04</v>
      </c>
      <c r="BL532" s="450">
        <v>7226.76</v>
      </c>
      <c r="BM532" s="450">
        <v>7344.51</v>
      </c>
      <c r="BN532" s="450">
        <v>7356.03</v>
      </c>
      <c r="BO532" s="450">
        <v>7464.94</v>
      </c>
      <c r="BP532" s="450">
        <v>7541.08</v>
      </c>
      <c r="BQ532" s="450">
        <v>7660.94</v>
      </c>
      <c r="BR532" s="450">
        <v>7746.42</v>
      </c>
      <c r="BS532" s="615" t="str">
        <f t="array" ref="BS532">XLOOKUP(D532,'PL TOTAL XP'!A:A,'PL TOTAL XP'!C:C,"0")</f>
        <v>0</v>
      </c>
      <c r="BT532" s="616"/>
    </row>
    <row r="533" ht="15.75" customHeight="1">
      <c r="A533" s="183" t="s">
        <v>3820</v>
      </c>
      <c r="B533" s="78" t="s">
        <v>2466</v>
      </c>
      <c r="C533" s="564" t="s">
        <v>5367</v>
      </c>
      <c r="D533" s="623">
        <v>4145752.0</v>
      </c>
      <c r="E533" s="512" t="s">
        <v>18</v>
      </c>
      <c r="F533" s="512" t="s">
        <v>19</v>
      </c>
      <c r="G533" s="512" t="s">
        <v>20</v>
      </c>
      <c r="H533" s="627">
        <f>IFERROR(VLOOKUP(G533,'Cadastro de assessores'!A:B,2,FALSE),"Não Cadastrado")</f>
        <v>12331</v>
      </c>
      <c r="I533" s="627"/>
      <c r="J533" s="51" t="s">
        <v>3823</v>
      </c>
      <c r="K533" s="566" t="s">
        <v>107</v>
      </c>
      <c r="L533" s="624">
        <v>44651.0</v>
      </c>
      <c r="M533" s="624">
        <v>44655.0</v>
      </c>
      <c r="N533" s="627"/>
      <c r="O533" s="627" t="s">
        <v>3834</v>
      </c>
      <c r="P533" s="629">
        <v>0.007</v>
      </c>
      <c r="Q533" s="707"/>
      <c r="R533" s="613"/>
      <c r="S533" s="522" t="str">
        <f t="shared" si="56"/>
        <v/>
      </c>
      <c r="T533" s="522" t="s">
        <v>108</v>
      </c>
      <c r="U533" s="522" t="s">
        <v>2652</v>
      </c>
      <c r="V533" s="522" t="s">
        <v>19</v>
      </c>
      <c r="W533" s="708"/>
      <c r="X533" s="708"/>
      <c r="Y533" s="708"/>
      <c r="Z533" s="708"/>
      <c r="AA533" s="708"/>
      <c r="AB533" s="708"/>
      <c r="AC533" s="708"/>
      <c r="AD533" s="708"/>
      <c r="AE533" s="708"/>
      <c r="AF533" s="708"/>
      <c r="AG533" s="708"/>
      <c r="AH533" s="708"/>
      <c r="AI533" s="683"/>
      <c r="AJ533" s="683"/>
      <c r="AK533" s="683"/>
      <c r="AL533" s="683"/>
      <c r="AM533" s="683"/>
      <c r="AN533" s="683"/>
      <c r="AO533" s="708"/>
      <c r="AP533" s="709"/>
      <c r="AQ533" s="683"/>
      <c r="AR533" s="708"/>
      <c r="AS533" s="708"/>
      <c r="AT533" s="709"/>
      <c r="AU533" s="709"/>
      <c r="AV533" s="450"/>
      <c r="AW533" s="450"/>
      <c r="AX533" s="450"/>
      <c r="AY533" s="450"/>
      <c r="AZ533" s="450"/>
      <c r="BA533" s="450"/>
      <c r="BB533" s="450">
        <v>0.0</v>
      </c>
      <c r="BC533" s="450"/>
      <c r="BD533" s="450">
        <v>323684.66</v>
      </c>
      <c r="BE533" s="450">
        <v>326099.2</v>
      </c>
      <c r="BF533" s="450">
        <v>327213.08</v>
      </c>
      <c r="BG533" s="450">
        <v>331454.6887</v>
      </c>
      <c r="BH533" s="450">
        <v>333841.24</v>
      </c>
      <c r="BI533" s="450">
        <v>384871.04</v>
      </c>
      <c r="BJ533" s="450">
        <v>385131.47</v>
      </c>
      <c r="BK533" s="450">
        <v>363562.71</v>
      </c>
      <c r="BL533" s="450">
        <v>368254.67</v>
      </c>
      <c r="BM533" s="450">
        <v>0.89</v>
      </c>
      <c r="BN533" s="450">
        <v>0.89</v>
      </c>
      <c r="BO533" s="450">
        <v>0.89</v>
      </c>
      <c r="BP533" s="450">
        <v>0.89</v>
      </c>
      <c r="BQ533" s="450">
        <v>0.89</v>
      </c>
      <c r="BR533" s="450">
        <v>0.89</v>
      </c>
      <c r="BS533" s="615">
        <f t="array" ref="BS533">XLOOKUP(D533,'PL TOTAL XP'!A:A,'PL TOTAL XP'!C:C,"0")</f>
        <v>20</v>
      </c>
      <c r="BT533" s="616"/>
    </row>
    <row r="534" ht="15.75" customHeight="1">
      <c r="A534" s="183" t="s">
        <v>3820</v>
      </c>
      <c r="B534" s="78" t="s">
        <v>2493</v>
      </c>
      <c r="C534" s="564" t="s">
        <v>5368</v>
      </c>
      <c r="D534" s="623">
        <v>2897612.0</v>
      </c>
      <c r="E534" s="512" t="s">
        <v>18</v>
      </c>
      <c r="F534" s="512" t="s">
        <v>5369</v>
      </c>
      <c r="G534" s="512" t="s">
        <v>20</v>
      </c>
      <c r="H534" s="627">
        <f>IFERROR(VLOOKUP(G534,'Cadastro de assessores'!A:B,2,FALSE),"Não Cadastrado")</f>
        <v>12331</v>
      </c>
      <c r="I534" s="627"/>
      <c r="J534" s="46" t="s">
        <v>107</v>
      </c>
      <c r="K534" s="566" t="s">
        <v>107</v>
      </c>
      <c r="L534" s="624">
        <v>44812.0</v>
      </c>
      <c r="M534" s="624">
        <v>44812.0</v>
      </c>
      <c r="N534" s="627"/>
      <c r="O534" s="627" t="s">
        <v>3836</v>
      </c>
      <c r="P534" s="629">
        <v>0.012</v>
      </c>
      <c r="Q534" s="707" t="s">
        <v>4559</v>
      </c>
      <c r="R534" s="613"/>
      <c r="S534" s="522"/>
      <c r="T534" s="522"/>
      <c r="U534" s="522"/>
      <c r="V534" s="522" t="s">
        <v>152</v>
      </c>
      <c r="W534" s="708"/>
      <c r="X534" s="708"/>
      <c r="Y534" s="708"/>
      <c r="Z534" s="708"/>
      <c r="AA534" s="708"/>
      <c r="AB534" s="708"/>
      <c r="AC534" s="708"/>
      <c r="AD534" s="708"/>
      <c r="AE534" s="708"/>
      <c r="AF534" s="708"/>
      <c r="AG534" s="708"/>
      <c r="AH534" s="708"/>
      <c r="AI534" s="683"/>
      <c r="AJ534" s="683"/>
      <c r="AK534" s="683"/>
      <c r="AL534" s="683"/>
      <c r="AM534" s="683"/>
      <c r="AN534" s="683"/>
      <c r="AO534" s="708"/>
      <c r="AP534" s="709"/>
      <c r="AQ534" s="683"/>
      <c r="AR534" s="708"/>
      <c r="AS534" s="708"/>
      <c r="AT534" s="709"/>
      <c r="AU534" s="709"/>
      <c r="AV534" s="450"/>
      <c r="AW534" s="450"/>
      <c r="AX534" s="450"/>
      <c r="AY534" s="450"/>
      <c r="AZ534" s="450"/>
      <c r="BA534" s="450"/>
      <c r="BB534" s="450"/>
      <c r="BC534" s="450"/>
      <c r="BD534" s="450"/>
      <c r="BE534" s="450"/>
      <c r="BF534" s="450"/>
      <c r="BG534" s="450">
        <v>0.0</v>
      </c>
      <c r="BH534" s="450">
        <v>692969.64</v>
      </c>
      <c r="BI534" s="450">
        <v>712888.94</v>
      </c>
      <c r="BJ534" s="450">
        <v>713659.09</v>
      </c>
      <c r="BK534" s="450">
        <v>717071.47</v>
      </c>
      <c r="BL534" s="450">
        <v>215472.77</v>
      </c>
      <c r="BM534" s="450">
        <v>43098.8</v>
      </c>
      <c r="BN534" s="450">
        <v>42754.26</v>
      </c>
      <c r="BO534" s="450">
        <v>44059.59</v>
      </c>
      <c r="BP534" s="450">
        <v>24119.52</v>
      </c>
      <c r="BQ534" s="450">
        <v>17834.17</v>
      </c>
      <c r="BR534" s="450">
        <v>12551.82</v>
      </c>
      <c r="BS534" s="615">
        <f t="array" ref="BS534">XLOOKUP(D534,'PL TOTAL XP'!A:A,'PL TOTAL XP'!C:C,"0")</f>
        <v>966.74</v>
      </c>
      <c r="BT534" s="616"/>
    </row>
    <row r="535" ht="15.75" customHeight="1">
      <c r="A535" s="183" t="s">
        <v>3820</v>
      </c>
      <c r="B535" s="78" t="s">
        <v>5370</v>
      </c>
      <c r="C535" s="617" t="s">
        <v>5371</v>
      </c>
      <c r="D535" s="522">
        <v>4424587.0</v>
      </c>
      <c r="E535" s="522" t="s">
        <v>18</v>
      </c>
      <c r="F535" s="522" t="s">
        <v>29</v>
      </c>
      <c r="G535" s="522" t="s">
        <v>3827</v>
      </c>
      <c r="H535" s="522" t="str">
        <f>IFERROR(VLOOKUP(G535,'Cadastro de assessores'!A:B,2,FALSE),"Não Cadastrado")</f>
        <v>17679</v>
      </c>
      <c r="I535" s="522"/>
      <c r="J535" s="51" t="s">
        <v>186</v>
      </c>
      <c r="K535" s="522" t="s">
        <v>2563</v>
      </c>
      <c r="L535" s="619">
        <v>44088.0</v>
      </c>
      <c r="M535" s="619">
        <v>44088.0</v>
      </c>
      <c r="N535" s="619">
        <v>44460.0</v>
      </c>
      <c r="O535" s="522" t="s">
        <v>3840</v>
      </c>
      <c r="P535" s="612">
        <v>0.025</v>
      </c>
      <c r="Q535" s="620" t="s">
        <v>5372</v>
      </c>
      <c r="R535" s="613"/>
      <c r="S535" s="522" t="str">
        <f t="shared" ref="S535:S539" si="57">IF(BC535&lt;=0,"",IF(BC535&lt;=1000000,"Não Qualificado",IF(AND(BC535&gt;1000000,BC535&lt;=10000000),"Qualificado","Profissional")))</f>
        <v>Não Qualificado</v>
      </c>
      <c r="T535" s="522" t="s">
        <v>108</v>
      </c>
      <c r="U535" s="522" t="s">
        <v>2675</v>
      </c>
      <c r="V535" s="522" t="s">
        <v>29</v>
      </c>
      <c r="W535" s="614" t="s">
        <v>3830</v>
      </c>
      <c r="X535" s="614" t="s">
        <v>3830</v>
      </c>
      <c r="Y535" s="614" t="s">
        <v>3830</v>
      </c>
      <c r="Z535" s="614" t="s">
        <v>3830</v>
      </c>
      <c r="AA535" s="614" t="s">
        <v>3830</v>
      </c>
      <c r="AB535" s="614" t="s">
        <v>3830</v>
      </c>
      <c r="AC535" s="614" t="s">
        <v>3830</v>
      </c>
      <c r="AD535" s="614" t="s">
        <v>3830</v>
      </c>
      <c r="AE535" s="614" t="s">
        <v>3830</v>
      </c>
      <c r="AF535" s="614" t="s">
        <v>3830</v>
      </c>
      <c r="AG535" s="614" t="s">
        <v>3830</v>
      </c>
      <c r="AH535" s="614" t="s">
        <v>5373</v>
      </c>
      <c r="AI535" s="614" t="s">
        <v>5374</v>
      </c>
      <c r="AJ535" s="614" t="s">
        <v>5375</v>
      </c>
      <c r="AK535" s="450">
        <v>94017.14</v>
      </c>
      <c r="AL535" s="450"/>
      <c r="AM535" s="450">
        <v>93118.47</v>
      </c>
      <c r="AN535" s="450">
        <v>87122.92</v>
      </c>
      <c r="AO535" s="450">
        <v>92685.69</v>
      </c>
      <c r="AP535" s="450">
        <v>93971.81</v>
      </c>
      <c r="AQ535" s="450">
        <v>93032.21</v>
      </c>
      <c r="AR535" s="450">
        <v>98248.58</v>
      </c>
      <c r="AS535" s="450">
        <v>94513.29</v>
      </c>
      <c r="AT535" s="450">
        <v>89797.53</v>
      </c>
      <c r="AU535" s="450">
        <v>87981.78</v>
      </c>
      <c r="AV535" s="450"/>
      <c r="AW535" s="450"/>
      <c r="AX535" s="450"/>
      <c r="AY535" s="450"/>
      <c r="AZ535" s="450">
        <v>0.0</v>
      </c>
      <c r="BA535" s="450">
        <v>0.0</v>
      </c>
      <c r="BB535" s="450">
        <v>0.0</v>
      </c>
      <c r="BC535" s="450">
        <v>142736.17</v>
      </c>
      <c r="BD535" s="450" t="s">
        <v>2566</v>
      </c>
      <c r="BE535" s="450" t="s">
        <v>2566</v>
      </c>
      <c r="BF535" s="450">
        <v>0.0</v>
      </c>
      <c r="BG535" s="450">
        <v>0.0</v>
      </c>
      <c r="BH535" s="450">
        <v>0.0</v>
      </c>
      <c r="BI535" s="450">
        <v>0.0</v>
      </c>
      <c r="BJ535" s="450">
        <v>0.0</v>
      </c>
      <c r="BK535" s="450">
        <v>0.0</v>
      </c>
      <c r="BL535" s="450">
        <v>0.0</v>
      </c>
      <c r="BM535" s="450">
        <v>0.0</v>
      </c>
      <c r="BN535" s="450">
        <v>0.0</v>
      </c>
      <c r="BO535" s="450">
        <v>0.0</v>
      </c>
      <c r="BP535" s="450">
        <v>0.0</v>
      </c>
      <c r="BQ535" s="450">
        <v>0.0</v>
      </c>
      <c r="BR535" s="450">
        <v>0.0</v>
      </c>
      <c r="BS535" s="615" t="str">
        <f t="array" ref="BS535">XLOOKUP(D535,'PL TOTAL XP'!A:A,'PL TOTAL XP'!C:C,"0")</f>
        <v>0</v>
      </c>
      <c r="BT535" s="616"/>
    </row>
    <row r="536" ht="15.75" customHeight="1">
      <c r="A536" s="183" t="s">
        <v>3820</v>
      </c>
      <c r="B536" s="78" t="s">
        <v>5376</v>
      </c>
      <c r="C536" s="617" t="s">
        <v>5377</v>
      </c>
      <c r="D536" s="522">
        <v>480283.0</v>
      </c>
      <c r="E536" s="522" t="s">
        <v>18</v>
      </c>
      <c r="F536" s="522" t="s">
        <v>29</v>
      </c>
      <c r="G536" s="522" t="s">
        <v>4316</v>
      </c>
      <c r="H536" s="522" t="str">
        <f>IFERROR(VLOOKUP(G536,'Cadastro de assessores'!A:B,2,FALSE),"Não Cadastrado")</f>
        <v>12846</v>
      </c>
      <c r="I536" s="522"/>
      <c r="J536" s="51" t="s">
        <v>186</v>
      </c>
      <c r="K536" s="522" t="s">
        <v>2563</v>
      </c>
      <c r="L536" s="619">
        <v>44166.0</v>
      </c>
      <c r="M536" s="619">
        <v>44166.0</v>
      </c>
      <c r="N536" s="619">
        <v>44378.0</v>
      </c>
      <c r="O536" s="522" t="s">
        <v>3828</v>
      </c>
      <c r="P536" s="612">
        <v>0.012</v>
      </c>
      <c r="Q536" s="620" t="s">
        <v>4317</v>
      </c>
      <c r="R536" s="613"/>
      <c r="S536" s="522" t="str">
        <f t="shared" si="57"/>
        <v/>
      </c>
      <c r="T536" s="522" t="s">
        <v>108</v>
      </c>
      <c r="U536" s="522" t="s">
        <v>2614</v>
      </c>
      <c r="V536" s="522" t="s">
        <v>29</v>
      </c>
      <c r="W536" s="614" t="s">
        <v>3830</v>
      </c>
      <c r="X536" s="614" t="s">
        <v>3830</v>
      </c>
      <c r="Y536" s="614" t="s">
        <v>3830</v>
      </c>
      <c r="Z536" s="614" t="s">
        <v>3830</v>
      </c>
      <c r="AA536" s="614" t="s">
        <v>3830</v>
      </c>
      <c r="AB536" s="614" t="s">
        <v>3830</v>
      </c>
      <c r="AC536" s="614" t="s">
        <v>3830</v>
      </c>
      <c r="AD536" s="614" t="s">
        <v>3830</v>
      </c>
      <c r="AE536" s="614" t="s">
        <v>3830</v>
      </c>
      <c r="AF536" s="614" t="s">
        <v>3830</v>
      </c>
      <c r="AG536" s="614" t="s">
        <v>3830</v>
      </c>
      <c r="AH536" s="614" t="s">
        <v>3830</v>
      </c>
      <c r="AI536" s="614" t="s">
        <v>3830</v>
      </c>
      <c r="AJ536" s="614" t="s">
        <v>3830</v>
      </c>
      <c r="AK536" s="450">
        <v>4455935.39</v>
      </c>
      <c r="AL536" s="450">
        <v>4556984.84</v>
      </c>
      <c r="AM536" s="450">
        <v>4456531.78</v>
      </c>
      <c r="AN536" s="450">
        <v>4435869.12</v>
      </c>
      <c r="AO536" s="450">
        <v>4402941.0</v>
      </c>
      <c r="AP536" s="450">
        <v>4430539.23</v>
      </c>
      <c r="AQ536" s="450">
        <v>4427621.86</v>
      </c>
      <c r="AR536" s="450">
        <v>4504912.2</v>
      </c>
      <c r="AS536" s="450">
        <v>4542973.27</v>
      </c>
      <c r="AT536" s="450"/>
      <c r="AU536" s="450"/>
      <c r="AV536" s="450"/>
      <c r="AW536" s="450"/>
      <c r="AX536" s="450"/>
      <c r="AY536" s="450"/>
      <c r="AZ536" s="450">
        <v>0.0</v>
      </c>
      <c r="BA536" s="450">
        <v>0.0</v>
      </c>
      <c r="BB536" s="450">
        <v>0.0</v>
      </c>
      <c r="BC536" s="450"/>
      <c r="BD536" s="450" t="s">
        <v>2566</v>
      </c>
      <c r="BE536" s="450" t="s">
        <v>2566</v>
      </c>
      <c r="BF536" s="450">
        <v>0.0</v>
      </c>
      <c r="BG536" s="450">
        <v>0.0</v>
      </c>
      <c r="BH536" s="450">
        <v>0.0</v>
      </c>
      <c r="BI536" s="450">
        <v>0.0</v>
      </c>
      <c r="BJ536" s="450">
        <v>0.0</v>
      </c>
      <c r="BK536" s="450">
        <v>0.0</v>
      </c>
      <c r="BL536" s="450">
        <v>0.0</v>
      </c>
      <c r="BM536" s="450">
        <v>0.0</v>
      </c>
      <c r="BN536" s="450">
        <v>0.0</v>
      </c>
      <c r="BO536" s="450">
        <v>0.0</v>
      </c>
      <c r="BP536" s="450">
        <v>0.0</v>
      </c>
      <c r="BQ536" s="450">
        <v>0.0</v>
      </c>
      <c r="BR536" s="450">
        <v>0.0</v>
      </c>
      <c r="BS536" s="615" t="str">
        <f t="array" ref="BS536">XLOOKUP(D536,'PL TOTAL XP'!A:A,'PL TOTAL XP'!C:C,"0")</f>
        <v>0</v>
      </c>
      <c r="BT536" s="616"/>
    </row>
    <row r="537" ht="15.75" customHeight="1">
      <c r="A537" s="183" t="s">
        <v>3820</v>
      </c>
      <c r="B537" s="78" t="s">
        <v>2502</v>
      </c>
      <c r="C537" s="617" t="s">
        <v>2500</v>
      </c>
      <c r="D537" s="522">
        <v>2049496.0</v>
      </c>
      <c r="E537" s="512" t="s">
        <v>2550</v>
      </c>
      <c r="F537" s="512" t="s">
        <v>29</v>
      </c>
      <c r="G537" s="512" t="s">
        <v>2550</v>
      </c>
      <c r="H537" s="512" t="str">
        <f>IFERROR(VLOOKUP(G537,'Cadastro de assessores'!A:B,2,FALSE),"Não Cadastrado")</f>
        <v>18986</v>
      </c>
      <c r="I537" s="512"/>
      <c r="J537" s="46" t="s">
        <v>107</v>
      </c>
      <c r="K537" s="512" t="s">
        <v>107</v>
      </c>
      <c r="L537" s="610">
        <v>43655.0</v>
      </c>
      <c r="M537" s="610">
        <v>43696.0</v>
      </c>
      <c r="N537" s="522"/>
      <c r="O537" s="522" t="s">
        <v>4206</v>
      </c>
      <c r="P537" s="629">
        <v>0.01</v>
      </c>
      <c r="Q537" s="652"/>
      <c r="R537" s="613"/>
      <c r="S537" s="522" t="str">
        <f t="shared" si="57"/>
        <v>Não Qualificado</v>
      </c>
      <c r="T537" s="522" t="s">
        <v>108</v>
      </c>
      <c r="U537" s="522" t="s">
        <v>2675</v>
      </c>
      <c r="V537" s="522" t="s">
        <v>29</v>
      </c>
      <c r="W537" s="614" t="s">
        <v>5378</v>
      </c>
      <c r="X537" s="614"/>
      <c r="Y537" s="614" t="s">
        <v>5379</v>
      </c>
      <c r="Z537" s="614" t="s">
        <v>5380</v>
      </c>
      <c r="AA537" s="614" t="s">
        <v>5381</v>
      </c>
      <c r="AB537" s="614" t="s">
        <v>5382</v>
      </c>
      <c r="AC537" s="614" t="s">
        <v>5383</v>
      </c>
      <c r="AD537" s="614" t="s">
        <v>5384</v>
      </c>
      <c r="AE537" s="614" t="s">
        <v>5385</v>
      </c>
      <c r="AF537" s="614" t="s">
        <v>5386</v>
      </c>
      <c r="AG537" s="614" t="s">
        <v>5387</v>
      </c>
      <c r="AH537" s="614" t="s">
        <v>5388</v>
      </c>
      <c r="AI537" s="614" t="s">
        <v>5389</v>
      </c>
      <c r="AJ537" s="614" t="s">
        <v>5390</v>
      </c>
      <c r="AK537" s="450">
        <v>106356.57</v>
      </c>
      <c r="AL537" s="450">
        <v>105522.04</v>
      </c>
      <c r="AM537" s="450">
        <v>103853.57</v>
      </c>
      <c r="AN537" s="450">
        <v>104091.7</v>
      </c>
      <c r="AO537" s="450">
        <v>104781.2</v>
      </c>
      <c r="AP537" s="450">
        <v>105326.44</v>
      </c>
      <c r="AQ537" s="450">
        <v>105186.99</v>
      </c>
      <c r="AR537" s="450">
        <v>106277.67</v>
      </c>
      <c r="AS537" s="450">
        <v>106122.31</v>
      </c>
      <c r="AT537" s="450">
        <v>105551.35</v>
      </c>
      <c r="AU537" s="450">
        <v>105376.45</v>
      </c>
      <c r="AV537" s="450">
        <v>104763.51</v>
      </c>
      <c r="AW537" s="450">
        <v>101529.71</v>
      </c>
      <c r="AX537" s="450">
        <v>101923.09</v>
      </c>
      <c r="AY537" s="450">
        <v>102971.39</v>
      </c>
      <c r="AZ537" s="450">
        <v>108585.01</v>
      </c>
      <c r="BA537" s="450">
        <v>104652.5</v>
      </c>
      <c r="BB537" s="450">
        <v>112681.41</v>
      </c>
      <c r="BC537" s="450">
        <v>102637.97</v>
      </c>
      <c r="BD537" s="450">
        <v>112593.37</v>
      </c>
      <c r="BE537" s="450">
        <v>106867.45</v>
      </c>
      <c r="BF537" s="450">
        <v>113978.48</v>
      </c>
      <c r="BG537" s="450">
        <v>119049.1395</v>
      </c>
      <c r="BH537" s="450">
        <v>119451.17</v>
      </c>
      <c r="BI537" s="450">
        <v>122635.49</v>
      </c>
      <c r="BJ537" s="450">
        <v>135114.7</v>
      </c>
      <c r="BK537" s="450">
        <v>161173.91</v>
      </c>
      <c r="BL537" s="450">
        <v>173276.78</v>
      </c>
      <c r="BM537" s="450">
        <v>174714.3</v>
      </c>
      <c r="BN537" s="450">
        <v>176487.12</v>
      </c>
      <c r="BO537" s="450">
        <v>177723.83</v>
      </c>
      <c r="BP537" s="450">
        <v>179785.82</v>
      </c>
      <c r="BQ537" s="450">
        <v>181368.3</v>
      </c>
      <c r="BR537" s="450">
        <v>201144.74</v>
      </c>
      <c r="BS537" s="615">
        <f t="array" ref="BS537">XLOOKUP(D537,'PL TOTAL XP'!A:A,'PL TOTAL XP'!C:C,"0")</f>
        <v>32017.73</v>
      </c>
      <c r="BT537" s="616"/>
    </row>
    <row r="538" ht="15.75" customHeight="1">
      <c r="A538" s="183" t="s">
        <v>3820</v>
      </c>
      <c r="B538" s="78" t="s">
        <v>5391</v>
      </c>
      <c r="C538" s="132" t="s">
        <v>5392</v>
      </c>
      <c r="D538" s="627">
        <v>7086435.0</v>
      </c>
      <c r="E538" s="512" t="s">
        <v>18</v>
      </c>
      <c r="F538" s="512" t="s">
        <v>29</v>
      </c>
      <c r="G538" s="512" t="s">
        <v>836</v>
      </c>
      <c r="H538" s="512">
        <f>IFERROR(VLOOKUP(G538,'Cadastro de assessores'!A:B,2,FALSE),"Não Cadastrado")</f>
        <v>12342</v>
      </c>
      <c r="I538" s="512"/>
      <c r="J538" s="51" t="s">
        <v>186</v>
      </c>
      <c r="K538" s="512" t="s">
        <v>107</v>
      </c>
      <c r="L538" s="611">
        <v>44510.0</v>
      </c>
      <c r="M538" s="611">
        <v>44517.0</v>
      </c>
      <c r="N538" s="566"/>
      <c r="O538" s="566" t="s">
        <v>3828</v>
      </c>
      <c r="P538" s="612">
        <v>0.015</v>
      </c>
      <c r="Q538" s="482" t="s">
        <v>5393</v>
      </c>
      <c r="R538" s="613"/>
      <c r="S538" s="522" t="str">
        <f t="shared" si="57"/>
        <v/>
      </c>
      <c r="T538" s="566" t="s">
        <v>108</v>
      </c>
      <c r="U538" s="566" t="s">
        <v>2656</v>
      </c>
      <c r="V538" s="566" t="s">
        <v>29</v>
      </c>
      <c r="W538" s="468"/>
      <c r="X538" s="468"/>
      <c r="Y538" s="468"/>
      <c r="Z538" s="468"/>
      <c r="AA538" s="468"/>
      <c r="AB538" s="468"/>
      <c r="AC538" s="468"/>
      <c r="AD538" s="468"/>
      <c r="AE538" s="468"/>
      <c r="AF538" s="468"/>
      <c r="AG538" s="614"/>
      <c r="AH538" s="614"/>
      <c r="AI538" s="450"/>
      <c r="AJ538" s="450"/>
      <c r="AK538" s="450"/>
      <c r="AL538" s="450"/>
      <c r="AM538" s="450"/>
      <c r="AN538" s="450"/>
      <c r="AO538" s="450"/>
      <c r="AP538" s="450"/>
      <c r="AQ538" s="450"/>
      <c r="AR538" s="450"/>
      <c r="AS538" s="450"/>
      <c r="AT538" s="468"/>
      <c r="AU538" s="450"/>
      <c r="AV538" s="450"/>
      <c r="AW538" s="468"/>
      <c r="AX538" s="449"/>
      <c r="AY538" s="449"/>
      <c r="AZ538" s="450">
        <v>104191.6</v>
      </c>
      <c r="BA538" s="450">
        <v>104886.29</v>
      </c>
      <c r="BB538" s="450">
        <v>108029.37</v>
      </c>
      <c r="BC538" s="450"/>
      <c r="BD538" s="450">
        <v>106041.28</v>
      </c>
      <c r="BE538" s="450">
        <v>105588.2</v>
      </c>
      <c r="BF538" s="450">
        <v>107346.33</v>
      </c>
      <c r="BG538" s="450">
        <v>107944.2953</v>
      </c>
      <c r="BH538" s="450">
        <v>108189.27</v>
      </c>
      <c r="BI538" s="450">
        <v>112040.05</v>
      </c>
      <c r="BJ538" s="450">
        <v>111040.33</v>
      </c>
      <c r="BK538" s="450">
        <v>111749.06</v>
      </c>
      <c r="BL538" s="450">
        <v>123178.68</v>
      </c>
      <c r="BM538" s="450">
        <v>124069.89</v>
      </c>
      <c r="BN538" s="450">
        <v>124879.44</v>
      </c>
      <c r="BO538" s="450">
        <v>126099.0</v>
      </c>
      <c r="BP538" s="450">
        <v>127549.93</v>
      </c>
      <c r="BQ538" s="450">
        <v>128760.01</v>
      </c>
      <c r="BR538" s="450">
        <v>129512.75</v>
      </c>
      <c r="BS538" s="615" t="str">
        <f t="array" ref="BS538">XLOOKUP(D538,'PL TOTAL XP'!A:A,'PL TOTAL XP'!C:C,"0")</f>
        <v>0</v>
      </c>
      <c r="BT538" s="616"/>
    </row>
    <row r="539" ht="15.75" customHeight="1">
      <c r="A539" s="183" t="s">
        <v>3820</v>
      </c>
      <c r="B539" s="78" t="s">
        <v>5394</v>
      </c>
      <c r="C539" s="564" t="s">
        <v>5395</v>
      </c>
      <c r="D539" s="609">
        <v>226343.0</v>
      </c>
      <c r="E539" s="512" t="s">
        <v>18</v>
      </c>
      <c r="F539" s="609" t="s">
        <v>19</v>
      </c>
      <c r="G539" s="512" t="s">
        <v>4152</v>
      </c>
      <c r="H539" s="512" t="str">
        <f>IFERROR(VLOOKUP(G539,'Cadastro de assessores'!A:B,2,FALSE),"Não Cadastrado")</f>
        <v>14294</v>
      </c>
      <c r="I539" s="512"/>
      <c r="J539" s="51" t="s">
        <v>3823</v>
      </c>
      <c r="K539" s="643" t="s">
        <v>107</v>
      </c>
      <c r="L539" s="610">
        <v>44452.0</v>
      </c>
      <c r="M539" s="610">
        <v>44469.0</v>
      </c>
      <c r="N539" s="566"/>
      <c r="O539" s="566" t="s">
        <v>3824</v>
      </c>
      <c r="P539" s="612">
        <v>0.02</v>
      </c>
      <c r="Q539" s="224" t="s">
        <v>4511</v>
      </c>
      <c r="R539" s="613"/>
      <c r="S539" s="522" t="str">
        <f t="shared" si="57"/>
        <v>Não Qualificado</v>
      </c>
      <c r="T539" s="566" t="s">
        <v>108</v>
      </c>
      <c r="U539" s="566" t="s">
        <v>4512</v>
      </c>
      <c r="V539" s="566" t="s">
        <v>34</v>
      </c>
      <c r="W539" s="468"/>
      <c r="X539" s="468"/>
      <c r="Y539" s="468"/>
      <c r="Z539" s="468"/>
      <c r="AA539" s="468"/>
      <c r="AB539" s="468"/>
      <c r="AC539" s="468"/>
      <c r="AD539" s="468"/>
      <c r="AE539" s="468"/>
      <c r="AF539" s="468"/>
      <c r="AG539" s="614"/>
      <c r="AH539" s="614"/>
      <c r="AI539" s="614"/>
      <c r="AJ539" s="450"/>
      <c r="AK539" s="450"/>
      <c r="AL539" s="450"/>
      <c r="AM539" s="450"/>
      <c r="AN539" s="450"/>
      <c r="AO539" s="450"/>
      <c r="AP539" s="450"/>
      <c r="AQ539" s="450"/>
      <c r="AR539" s="450"/>
      <c r="AS539" s="450"/>
      <c r="AT539" s="450"/>
      <c r="AU539" s="468"/>
      <c r="AV539" s="450"/>
      <c r="AW539" s="450">
        <v>97353.3</v>
      </c>
      <c r="AX539" s="450">
        <v>96960.45</v>
      </c>
      <c r="AY539" s="450">
        <v>98324.02</v>
      </c>
      <c r="AZ539" s="450">
        <v>101955.79</v>
      </c>
      <c r="BA539" s="450">
        <v>102787.19</v>
      </c>
      <c r="BB539" s="450">
        <v>174.88</v>
      </c>
      <c r="BC539" s="450">
        <v>48746.18</v>
      </c>
      <c r="BD539" s="450">
        <v>130.87</v>
      </c>
      <c r="BE539" s="450">
        <v>130.87</v>
      </c>
      <c r="BF539" s="450">
        <v>130.88</v>
      </c>
      <c r="BG539" s="450">
        <v>130.88</v>
      </c>
      <c r="BH539" s="450">
        <v>130.88</v>
      </c>
      <c r="BI539" s="450">
        <v>130.88</v>
      </c>
      <c r="BJ539" s="450">
        <v>130.88</v>
      </c>
      <c r="BK539" s="450">
        <v>130.88</v>
      </c>
      <c r="BL539" s="450">
        <v>130.88</v>
      </c>
      <c r="BM539" s="450">
        <v>130.88</v>
      </c>
      <c r="BN539" s="450">
        <v>130.88</v>
      </c>
      <c r="BO539" s="450">
        <v>130.88</v>
      </c>
      <c r="BP539" s="450">
        <v>130.88</v>
      </c>
      <c r="BQ539" s="450">
        <v>130.88</v>
      </c>
      <c r="BR539" s="450">
        <v>130.88</v>
      </c>
      <c r="BS539" s="615">
        <f t="array" ref="BS539">XLOOKUP(D539,'PL TOTAL XP'!A:A,'PL TOTAL XP'!C:C,"0")</f>
        <v>0</v>
      </c>
      <c r="BT539" s="616"/>
    </row>
    <row r="540" ht="15.75" customHeight="1">
      <c r="A540" s="183" t="s">
        <v>3820</v>
      </c>
      <c r="B540" s="78" t="s">
        <v>2511</v>
      </c>
      <c r="C540" s="617" t="s">
        <v>5396</v>
      </c>
      <c r="D540" s="522">
        <v>9009128.0</v>
      </c>
      <c r="E540" s="512" t="s">
        <v>18</v>
      </c>
      <c r="F540" s="512" t="s">
        <v>19</v>
      </c>
      <c r="G540" s="512" t="s">
        <v>20</v>
      </c>
      <c r="H540" s="512">
        <f>IFERROR(VLOOKUP(G540,'Cadastro de assessores'!A:B,2,FALSE),"Não Cadastrado")</f>
        <v>12331</v>
      </c>
      <c r="I540" s="512"/>
      <c r="J540" s="51" t="s">
        <v>3823</v>
      </c>
      <c r="K540" s="522" t="s">
        <v>147</v>
      </c>
      <c r="L540" s="512" t="s">
        <v>2600</v>
      </c>
      <c r="M540" s="611">
        <v>44848.0</v>
      </c>
      <c r="N540" s="522"/>
      <c r="O540" s="522" t="s">
        <v>3834</v>
      </c>
      <c r="P540" s="612">
        <v>0.007</v>
      </c>
      <c r="Q540" s="620"/>
      <c r="R540" s="613"/>
      <c r="S540" s="522"/>
      <c r="T540" s="522" t="s">
        <v>108</v>
      </c>
      <c r="U540" s="522"/>
      <c r="V540" s="522" t="s">
        <v>19</v>
      </c>
      <c r="W540" s="614"/>
      <c r="X540" s="614"/>
      <c r="Y540" s="614"/>
      <c r="Z540" s="614"/>
      <c r="AA540" s="614"/>
      <c r="AB540" s="614"/>
      <c r="AC540" s="614"/>
      <c r="AD540" s="614"/>
      <c r="AE540" s="614"/>
      <c r="AF540" s="614"/>
      <c r="AG540" s="614"/>
      <c r="AH540" s="614"/>
      <c r="AI540" s="614"/>
      <c r="AJ540" s="614"/>
      <c r="AK540" s="450"/>
      <c r="AL540" s="450"/>
      <c r="AM540" s="450"/>
      <c r="AN540" s="450"/>
      <c r="AO540" s="450"/>
      <c r="AP540" s="450"/>
      <c r="AQ540" s="450"/>
      <c r="AR540" s="450"/>
      <c r="AS540" s="450"/>
      <c r="AT540" s="450"/>
      <c r="AU540" s="450"/>
      <c r="AV540" s="450"/>
      <c r="AW540" s="450"/>
      <c r="AX540" s="450"/>
      <c r="AY540" s="450"/>
      <c r="AZ540" s="450"/>
      <c r="BA540" s="450"/>
      <c r="BB540" s="450"/>
      <c r="BC540" s="450"/>
      <c r="BD540" s="450"/>
      <c r="BE540" s="450"/>
      <c r="BF540" s="450">
        <v>0.0</v>
      </c>
      <c r="BG540" s="450">
        <v>0.0</v>
      </c>
      <c r="BH540" s="450">
        <v>0.0</v>
      </c>
      <c r="BI540" s="450">
        <v>5026.73</v>
      </c>
      <c r="BJ540" s="450">
        <v>5080.61</v>
      </c>
      <c r="BK540" s="450">
        <v>50456.32</v>
      </c>
      <c r="BL540" s="450">
        <v>100567.92</v>
      </c>
      <c r="BM540" s="450">
        <v>6062.25</v>
      </c>
      <c r="BN540" s="450">
        <v>6051.36</v>
      </c>
      <c r="BO540" s="450">
        <v>6105.42</v>
      </c>
      <c r="BP540" s="450">
        <v>9180.3</v>
      </c>
      <c r="BQ540" s="450">
        <v>9234.17</v>
      </c>
      <c r="BR540" s="450">
        <v>0.0</v>
      </c>
      <c r="BS540" s="615">
        <f t="array" ref="BS540">XLOOKUP(D540,'PL TOTAL XP'!A:A,'PL TOTAL XP'!C:C,"0")</f>
        <v>0</v>
      </c>
      <c r="BT540" s="616"/>
    </row>
    <row r="541" ht="15.75" customHeight="1">
      <c r="A541" s="183" t="s">
        <v>3820</v>
      </c>
      <c r="B541" s="78" t="s">
        <v>5397</v>
      </c>
      <c r="C541" s="617" t="s">
        <v>5398</v>
      </c>
      <c r="D541" s="522">
        <v>2694253.0</v>
      </c>
      <c r="E541" s="512" t="s">
        <v>105</v>
      </c>
      <c r="F541" s="512" t="s">
        <v>29</v>
      </c>
      <c r="G541" s="512" t="s">
        <v>4087</v>
      </c>
      <c r="H541" s="512" t="str">
        <f>IFERROR(VLOOKUP(G541,'Cadastro de assessores'!A:B,2,FALSE),"Não Cadastrado")</f>
        <v>17243</v>
      </c>
      <c r="I541" s="512"/>
      <c r="J541" s="46" t="s">
        <v>107</v>
      </c>
      <c r="K541" s="512" t="s">
        <v>107</v>
      </c>
      <c r="L541" s="611">
        <v>44134.0</v>
      </c>
      <c r="M541" s="611">
        <v>44134.0</v>
      </c>
      <c r="N541" s="522"/>
      <c r="O541" s="522" t="s">
        <v>3824</v>
      </c>
      <c r="P541" s="612">
        <v>0.02</v>
      </c>
      <c r="Q541" s="620" t="s">
        <v>5399</v>
      </c>
      <c r="R541" s="613"/>
      <c r="S541" s="522" t="str">
        <f t="shared" ref="S541:S543" si="58">IF(BC541&lt;=0,"",IF(BC541&lt;=1000000,"Não Qualificado",IF(AND(BC541&gt;1000000,BC541&lt;=10000000),"Qualificado","Profissional")))</f>
        <v>Não Qualificado</v>
      </c>
      <c r="T541" s="522" t="s">
        <v>369</v>
      </c>
      <c r="U541" s="522" t="s">
        <v>2591</v>
      </c>
      <c r="V541" s="522" t="s">
        <v>29</v>
      </c>
      <c r="W541" s="614" t="s">
        <v>3830</v>
      </c>
      <c r="X541" s="614" t="s">
        <v>3830</v>
      </c>
      <c r="Y541" s="614" t="s">
        <v>3830</v>
      </c>
      <c r="Z541" s="614" t="s">
        <v>3830</v>
      </c>
      <c r="AA541" s="614" t="s">
        <v>3830</v>
      </c>
      <c r="AB541" s="614" t="s">
        <v>3830</v>
      </c>
      <c r="AC541" s="614" t="s">
        <v>3830</v>
      </c>
      <c r="AD541" s="614" t="s">
        <v>3830</v>
      </c>
      <c r="AE541" s="614" t="s">
        <v>3830</v>
      </c>
      <c r="AF541" s="614" t="s">
        <v>3830</v>
      </c>
      <c r="AG541" s="614" t="s">
        <v>3830</v>
      </c>
      <c r="AH541" s="614" t="s">
        <v>3830</v>
      </c>
      <c r="AI541" s="614" t="s">
        <v>5400</v>
      </c>
      <c r="AJ541" s="614" t="s">
        <v>5401</v>
      </c>
      <c r="AK541" s="450">
        <v>1121856.74</v>
      </c>
      <c r="AL541" s="450">
        <v>1098784.47</v>
      </c>
      <c r="AM541" s="450">
        <v>1068858.84</v>
      </c>
      <c r="AN541" s="450">
        <v>1070996.96</v>
      </c>
      <c r="AO541" s="450">
        <v>1096915.81</v>
      </c>
      <c r="AP541" s="450">
        <v>983415.53</v>
      </c>
      <c r="AQ541" s="450">
        <v>978783.49</v>
      </c>
      <c r="AR541" s="450">
        <v>1004917.74</v>
      </c>
      <c r="AS541" s="450">
        <v>952985.01</v>
      </c>
      <c r="AT541" s="450">
        <v>924185.84</v>
      </c>
      <c r="AU541" s="450">
        <v>913557.33</v>
      </c>
      <c r="AV541" s="450">
        <v>887052.24</v>
      </c>
      <c r="AW541" s="450">
        <v>848245.56</v>
      </c>
      <c r="AX541" s="450">
        <v>843938.57</v>
      </c>
      <c r="AY541" s="450">
        <v>857860.94</v>
      </c>
      <c r="AZ541" s="450">
        <v>839266.93</v>
      </c>
      <c r="BA541" s="450">
        <v>848010.87</v>
      </c>
      <c r="BB541" s="450">
        <v>882826.57</v>
      </c>
      <c r="BC541" s="450">
        <v>76255.39</v>
      </c>
      <c r="BD541" s="450">
        <v>863822.55</v>
      </c>
      <c r="BE541" s="450">
        <v>844779.35</v>
      </c>
      <c r="BF541" s="450">
        <v>840741.1</v>
      </c>
      <c r="BG541" s="450">
        <v>854872.0258</v>
      </c>
      <c r="BH541" s="450">
        <v>846931.9</v>
      </c>
      <c r="BI541" s="450">
        <v>900579.93</v>
      </c>
      <c r="BJ541" s="450">
        <v>894292.14</v>
      </c>
      <c r="BK541" s="450">
        <v>843710.71</v>
      </c>
      <c r="BL541" s="450">
        <v>854838.15</v>
      </c>
      <c r="BM541" s="450">
        <v>850862.76</v>
      </c>
      <c r="BN541" s="450">
        <v>844178.74</v>
      </c>
      <c r="BO541" s="450">
        <v>850543.7</v>
      </c>
      <c r="BP541" s="450">
        <v>858466.45</v>
      </c>
      <c r="BQ541" s="450">
        <v>873766.48</v>
      </c>
      <c r="BR541" s="450">
        <v>890106.73</v>
      </c>
      <c r="BS541" s="615">
        <f t="array" ref="BS541">XLOOKUP(D541,'PL TOTAL XP'!A:A,'PL TOTAL XP'!C:C,"0")</f>
        <v>589287.91</v>
      </c>
      <c r="BT541" s="616"/>
    </row>
    <row r="542" ht="15.75" customHeight="1">
      <c r="A542" s="183" t="s">
        <v>3820</v>
      </c>
      <c r="B542" s="78" t="s">
        <v>5402</v>
      </c>
      <c r="C542" s="617" t="s">
        <v>5403</v>
      </c>
      <c r="D542" s="522">
        <v>4906342.0</v>
      </c>
      <c r="E542" s="522" t="s">
        <v>18</v>
      </c>
      <c r="F542" s="522" t="s">
        <v>19</v>
      </c>
      <c r="G542" s="522" t="s">
        <v>256</v>
      </c>
      <c r="H542" s="522" t="str">
        <f>IFERROR(VLOOKUP(G542,'Cadastro de assessores'!A:B,2,FALSE),"Não Cadastrado")</f>
        <v>18009</v>
      </c>
      <c r="I542" s="522"/>
      <c r="J542" s="51" t="s">
        <v>186</v>
      </c>
      <c r="K542" s="522" t="s">
        <v>2563</v>
      </c>
      <c r="L542" s="619"/>
      <c r="M542" s="619">
        <v>44294.0</v>
      </c>
      <c r="N542" s="654">
        <v>44651.0</v>
      </c>
      <c r="O542" s="566" t="s">
        <v>3824</v>
      </c>
      <c r="P542" s="612">
        <v>0.02</v>
      </c>
      <c r="Q542" s="620" t="s">
        <v>5404</v>
      </c>
      <c r="R542" s="613"/>
      <c r="S542" s="522" t="str">
        <f t="shared" si="58"/>
        <v>Não Qualificado</v>
      </c>
      <c r="T542" s="522" t="s">
        <v>108</v>
      </c>
      <c r="U542" s="522" t="s">
        <v>2619</v>
      </c>
      <c r="V542" s="522" t="s">
        <v>152</v>
      </c>
      <c r="W542" s="614"/>
      <c r="X542" s="614"/>
      <c r="Y542" s="614"/>
      <c r="Z542" s="614"/>
      <c r="AA542" s="614"/>
      <c r="AB542" s="614"/>
      <c r="AC542" s="614"/>
      <c r="AD542" s="614"/>
      <c r="AE542" s="614"/>
      <c r="AF542" s="614"/>
      <c r="AG542" s="614"/>
      <c r="AH542" s="614"/>
      <c r="AI542" s="614"/>
      <c r="AJ542" s="614"/>
      <c r="AK542" s="450"/>
      <c r="AL542" s="450"/>
      <c r="AM542" s="450" t="s">
        <v>2600</v>
      </c>
      <c r="AN542" s="450" t="s">
        <v>2600</v>
      </c>
      <c r="AO542" s="450"/>
      <c r="AP542" s="450">
        <v>202150.12</v>
      </c>
      <c r="AQ542" s="450">
        <v>200882.58</v>
      </c>
      <c r="AR542" s="450">
        <v>238915.99</v>
      </c>
      <c r="AS542" s="450">
        <v>236393.75</v>
      </c>
      <c r="AT542" s="450">
        <v>228891.7</v>
      </c>
      <c r="AU542" s="450">
        <v>226240.5</v>
      </c>
      <c r="AV542" s="450">
        <v>219578.68</v>
      </c>
      <c r="AW542" s="450">
        <v>208523.9</v>
      </c>
      <c r="AX542" s="450">
        <v>207496.61</v>
      </c>
      <c r="AY542" s="450">
        <v>210593.1</v>
      </c>
      <c r="AZ542" s="450">
        <v>218225.6</v>
      </c>
      <c r="BA542" s="450">
        <v>220333.61</v>
      </c>
      <c r="BB542" s="450">
        <v>229569.98</v>
      </c>
      <c r="BC542" s="450">
        <v>108888.9</v>
      </c>
      <c r="BD542" s="450" t="s">
        <v>2566</v>
      </c>
      <c r="BE542" s="450" t="s">
        <v>2566</v>
      </c>
      <c r="BF542" s="450">
        <v>0.0</v>
      </c>
      <c r="BG542" s="450">
        <v>0.0</v>
      </c>
      <c r="BH542" s="450">
        <v>0.0</v>
      </c>
      <c r="BI542" s="450">
        <v>0.0</v>
      </c>
      <c r="BJ542" s="450">
        <v>0.0</v>
      </c>
      <c r="BK542" s="450">
        <v>0.0</v>
      </c>
      <c r="BL542" s="450">
        <v>0.0</v>
      </c>
      <c r="BM542" s="450">
        <v>0.0</v>
      </c>
      <c r="BN542" s="450">
        <v>0.0</v>
      </c>
      <c r="BO542" s="450">
        <v>0.0</v>
      </c>
      <c r="BP542" s="450">
        <v>0.0</v>
      </c>
      <c r="BQ542" s="450">
        <v>0.0</v>
      </c>
      <c r="BR542" s="450">
        <v>0.0</v>
      </c>
      <c r="BS542" s="615" t="str">
        <f t="array" ref="BS542">XLOOKUP(D542,'PL TOTAL XP'!A:A,'PL TOTAL XP'!C:C,"0")</f>
        <v>0</v>
      </c>
      <c r="BT542" s="616"/>
    </row>
    <row r="543" ht="15.75" customHeight="1">
      <c r="A543" s="183" t="s">
        <v>3820</v>
      </c>
      <c r="B543" s="78" t="s">
        <v>2525</v>
      </c>
      <c r="C543" s="617" t="s">
        <v>5405</v>
      </c>
      <c r="D543" s="522">
        <v>4733764.0</v>
      </c>
      <c r="E543" s="522" t="s">
        <v>105</v>
      </c>
      <c r="F543" s="522" t="s">
        <v>29</v>
      </c>
      <c r="G543" s="522" t="s">
        <v>5406</v>
      </c>
      <c r="H543" s="522" t="str">
        <f>IFERROR(VLOOKUP(G543,'Cadastro de assessores'!A:B,2,FALSE),"Não Cadastrado")</f>
        <v>18992</v>
      </c>
      <c r="I543" s="522"/>
      <c r="J543" s="51" t="s">
        <v>186</v>
      </c>
      <c r="K543" s="522" t="s">
        <v>2563</v>
      </c>
      <c r="L543" s="619"/>
      <c r="M543" s="619">
        <v>44209.0</v>
      </c>
      <c r="N543" s="654">
        <v>44512.0</v>
      </c>
      <c r="O543" s="566" t="s">
        <v>3869</v>
      </c>
      <c r="P543" s="612">
        <v>0.008</v>
      </c>
      <c r="Q543" s="620" t="s">
        <v>5407</v>
      </c>
      <c r="R543" s="613"/>
      <c r="S543" s="522" t="str">
        <f t="shared" si="58"/>
        <v>Não Qualificado</v>
      </c>
      <c r="T543" s="522" t="s">
        <v>108</v>
      </c>
      <c r="U543" s="522" t="s">
        <v>2602</v>
      </c>
      <c r="V543" s="522" t="s">
        <v>29</v>
      </c>
      <c r="W543" s="614"/>
      <c r="X543" s="614"/>
      <c r="Y543" s="614"/>
      <c r="Z543" s="614"/>
      <c r="AA543" s="614"/>
      <c r="AB543" s="614"/>
      <c r="AC543" s="614"/>
      <c r="AD543" s="614"/>
      <c r="AE543" s="614"/>
      <c r="AF543" s="614"/>
      <c r="AG543" s="614"/>
      <c r="AH543" s="614"/>
      <c r="AI543" s="614"/>
      <c r="AJ543" s="614"/>
      <c r="AK543" s="450"/>
      <c r="AL543" s="450">
        <v>139614.64</v>
      </c>
      <c r="AM543" s="450">
        <v>140550.07</v>
      </c>
      <c r="AN543" s="450">
        <v>135558.52</v>
      </c>
      <c r="AO543" s="450">
        <v>134332.69</v>
      </c>
      <c r="AP543" s="450">
        <v>133346.22</v>
      </c>
      <c r="AQ543" s="450">
        <v>133985.49</v>
      </c>
      <c r="AR543" s="450">
        <v>131770.31</v>
      </c>
      <c r="AS543" s="450">
        <v>130070.07</v>
      </c>
      <c r="AT543" s="450">
        <v>132694.37</v>
      </c>
      <c r="AU543" s="450">
        <v>128662.05</v>
      </c>
      <c r="AV543" s="450">
        <v>128963.71</v>
      </c>
      <c r="AW543" s="450">
        <v>126051.79</v>
      </c>
      <c r="AX543" s="449"/>
      <c r="AY543" s="449"/>
      <c r="AZ543" s="449"/>
      <c r="BA543" s="449">
        <v>0.0</v>
      </c>
      <c r="BB543" s="449">
        <v>0.0</v>
      </c>
      <c r="BC543" s="449">
        <v>160646.16</v>
      </c>
      <c r="BD543" s="450">
        <v>0.0</v>
      </c>
      <c r="BE543" s="450" t="s">
        <v>2566</v>
      </c>
      <c r="BF543" s="450">
        <v>0.0</v>
      </c>
      <c r="BG543" s="450">
        <v>0.0</v>
      </c>
      <c r="BH543" s="450">
        <v>0.0</v>
      </c>
      <c r="BI543" s="450">
        <v>0.0</v>
      </c>
      <c r="BJ543" s="450">
        <v>0.0</v>
      </c>
      <c r="BK543" s="450">
        <v>0.0</v>
      </c>
      <c r="BL543" s="450">
        <v>0.0</v>
      </c>
      <c r="BM543" s="450">
        <v>0.0</v>
      </c>
      <c r="BN543" s="450">
        <v>0.0</v>
      </c>
      <c r="BO543" s="450">
        <v>0.0</v>
      </c>
      <c r="BP543" s="450">
        <v>0.0</v>
      </c>
      <c r="BQ543" s="450">
        <v>0.0</v>
      </c>
      <c r="BR543" s="450">
        <v>0.0</v>
      </c>
      <c r="BS543" s="615" t="str">
        <f t="array" ref="BS543">XLOOKUP(D543,'PL TOTAL XP'!A:A,'PL TOTAL XP'!C:C,"0")</f>
        <v>0</v>
      </c>
      <c r="BT543" s="616"/>
    </row>
    <row r="544" ht="15.75" customHeight="1">
      <c r="A544" s="506"/>
      <c r="B544" s="506"/>
      <c r="C544" s="506"/>
      <c r="D544" s="478"/>
      <c r="E544" s="478"/>
      <c r="F544" s="478"/>
      <c r="G544" s="478"/>
      <c r="H544" s="478"/>
      <c r="I544" s="478"/>
      <c r="J544" s="478"/>
      <c r="K544" s="478"/>
      <c r="L544" s="478"/>
      <c r="M544" s="478"/>
      <c r="N544" s="478"/>
      <c r="O544" s="478"/>
      <c r="P544" s="480"/>
      <c r="Q544" s="482"/>
      <c r="R544" s="710"/>
      <c r="S544" s="478"/>
      <c r="T544" s="478"/>
      <c r="U544" s="478"/>
      <c r="V544" s="478"/>
      <c r="W544" s="478"/>
      <c r="X544" s="478"/>
      <c r="Y544" s="478"/>
      <c r="Z544" s="478"/>
      <c r="AA544" s="478"/>
      <c r="AB544" s="478"/>
      <c r="AC544" s="478"/>
      <c r="AD544" s="478"/>
      <c r="AE544" s="478"/>
      <c r="AF544" s="478"/>
      <c r="AG544" s="478"/>
      <c r="AH544" s="478"/>
      <c r="AI544" s="478"/>
      <c r="AJ544" s="478"/>
      <c r="AK544" s="478"/>
      <c r="AL544" s="478"/>
      <c r="AM544" s="478"/>
      <c r="AN544" s="478"/>
      <c r="AO544" s="478"/>
      <c r="AP544" s="478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11"/>
      <c r="BT544" s="711"/>
    </row>
    <row r="545" ht="15.75" customHeight="1">
      <c r="A545" s="540"/>
      <c r="B545" s="540"/>
      <c r="C545" s="540" t="s">
        <v>2533</v>
      </c>
      <c r="D545" s="712">
        <f>COUNTIF(J2:J543,"Ativo")</f>
        <v>52</v>
      </c>
      <c r="E545" s="478"/>
      <c r="F545" s="478"/>
      <c r="G545" s="478"/>
      <c r="H545" s="478"/>
      <c r="I545" s="478"/>
      <c r="J545" s="478"/>
      <c r="K545" s="478"/>
      <c r="L545" s="478"/>
      <c r="M545" s="478"/>
      <c r="N545" s="478"/>
      <c r="O545" s="478"/>
      <c r="P545" s="480"/>
      <c r="Q545" s="482"/>
      <c r="R545" s="710"/>
      <c r="S545" s="478"/>
      <c r="T545" s="478"/>
      <c r="U545" s="478"/>
      <c r="V545" s="478"/>
      <c r="W545" s="713">
        <f t="shared" ref="W545:AY545" si="59">SUM(W3:W543)</f>
        <v>0</v>
      </c>
      <c r="X545" s="713">
        <f t="shared" si="59"/>
        <v>0</v>
      </c>
      <c r="Y545" s="713">
        <f t="shared" si="59"/>
        <v>0</v>
      </c>
      <c r="Z545" s="713">
        <f t="shared" si="59"/>
        <v>0</v>
      </c>
      <c r="AA545" s="713">
        <f t="shared" si="59"/>
        <v>0</v>
      </c>
      <c r="AB545" s="713">
        <f t="shared" si="59"/>
        <v>0</v>
      </c>
      <c r="AC545" s="713">
        <f t="shared" si="59"/>
        <v>0</v>
      </c>
      <c r="AD545" s="713">
        <f t="shared" si="59"/>
        <v>0</v>
      </c>
      <c r="AE545" s="713">
        <f t="shared" si="59"/>
        <v>0</v>
      </c>
      <c r="AF545" s="713">
        <f t="shared" si="59"/>
        <v>0</v>
      </c>
      <c r="AG545" s="713">
        <f t="shared" si="59"/>
        <v>0</v>
      </c>
      <c r="AH545" s="713">
        <f t="shared" si="59"/>
        <v>0</v>
      </c>
      <c r="AI545" s="713">
        <f t="shared" si="59"/>
        <v>0</v>
      </c>
      <c r="AJ545" s="713">
        <f t="shared" si="59"/>
        <v>0</v>
      </c>
      <c r="AK545" s="713">
        <f t="shared" si="59"/>
        <v>49939606.47</v>
      </c>
      <c r="AL545" s="713">
        <f t="shared" si="59"/>
        <v>56320445.3</v>
      </c>
      <c r="AM545" s="713">
        <f t="shared" si="59"/>
        <v>61178277.87</v>
      </c>
      <c r="AN545" s="713">
        <f t="shared" si="59"/>
        <v>127507478</v>
      </c>
      <c r="AO545" s="713">
        <f t="shared" si="59"/>
        <v>122724856.2</v>
      </c>
      <c r="AP545" s="713">
        <f t="shared" si="59"/>
        <v>131155083.4</v>
      </c>
      <c r="AQ545" s="713">
        <f t="shared" si="59"/>
        <v>131412065.4</v>
      </c>
      <c r="AR545" s="713">
        <f t="shared" si="59"/>
        <v>136452066.2</v>
      </c>
      <c r="AS545" s="713">
        <f t="shared" si="59"/>
        <v>140158681.6</v>
      </c>
      <c r="AT545" s="713">
        <f t="shared" si="59"/>
        <v>71262668.03</v>
      </c>
      <c r="AU545" s="713">
        <f t="shared" si="59"/>
        <v>69124058.38</v>
      </c>
      <c r="AV545" s="713">
        <f t="shared" si="59"/>
        <v>76850538.54</v>
      </c>
      <c r="AW545" s="713">
        <f t="shared" si="59"/>
        <v>69027370.7</v>
      </c>
      <c r="AX545" s="713">
        <f t="shared" si="59"/>
        <v>73362806.81</v>
      </c>
      <c r="AY545" s="713">
        <f t="shared" si="59"/>
        <v>80914890.3</v>
      </c>
      <c r="AZ545" s="713">
        <f t="shared" ref="AZ545:BS545" si="60">SUM(AZ2:AZ543)</f>
        <v>86755962.91</v>
      </c>
      <c r="BA545" s="713">
        <f t="shared" si="60"/>
        <v>91413422.46</v>
      </c>
      <c r="BB545" s="713">
        <f t="shared" si="60"/>
        <v>101114599.6</v>
      </c>
      <c r="BC545" s="713">
        <f t="shared" si="60"/>
        <v>97384990.45</v>
      </c>
      <c r="BD545" s="713">
        <f t="shared" si="60"/>
        <v>129049070.1</v>
      </c>
      <c r="BE545" s="713">
        <f t="shared" si="60"/>
        <v>133680411</v>
      </c>
      <c r="BF545" s="713">
        <f t="shared" si="60"/>
        <v>132712631.9</v>
      </c>
      <c r="BG545" s="713">
        <f t="shared" si="60"/>
        <v>133649376.4</v>
      </c>
      <c r="BH545" s="713">
        <f t="shared" si="60"/>
        <v>134917880</v>
      </c>
      <c r="BI545" s="713">
        <f t="shared" si="60"/>
        <v>135978013.7</v>
      </c>
      <c r="BJ545" s="713">
        <f t="shared" si="60"/>
        <v>129078340.2</v>
      </c>
      <c r="BK545" s="713">
        <f t="shared" si="60"/>
        <v>134130576.3</v>
      </c>
      <c r="BL545" s="713">
        <f t="shared" si="60"/>
        <v>118095517.4</v>
      </c>
      <c r="BM545" s="713">
        <f t="shared" si="60"/>
        <v>79431765.17</v>
      </c>
      <c r="BN545" s="713">
        <f t="shared" si="60"/>
        <v>40285042.4</v>
      </c>
      <c r="BO545" s="713">
        <f t="shared" si="60"/>
        <v>25774006.55</v>
      </c>
      <c r="BP545" s="713">
        <f t="shared" si="60"/>
        <v>20333651.86</v>
      </c>
      <c r="BQ545" s="713">
        <f t="shared" si="60"/>
        <v>17231025.4</v>
      </c>
      <c r="BR545" s="713">
        <f t="shared" si="60"/>
        <v>14167989.99</v>
      </c>
      <c r="BS545" s="714">
        <f t="shared" si="60"/>
        <v>6837216.47</v>
      </c>
      <c r="BT545" s="715"/>
    </row>
    <row r="546" ht="15.75" customHeight="1">
      <c r="A546" s="540"/>
      <c r="B546" s="540"/>
      <c r="C546" s="540" t="s">
        <v>2535</v>
      </c>
      <c r="D546" s="712">
        <f>COUNTIF(J2:J543,"Encerrado")</f>
        <v>204</v>
      </c>
      <c r="E546" s="478"/>
      <c r="F546" s="478"/>
      <c r="G546" s="716"/>
      <c r="H546" s="478"/>
      <c r="I546" s="478"/>
      <c r="J546" s="478"/>
      <c r="K546" s="478"/>
      <c r="L546" s="478"/>
      <c r="M546" s="478"/>
      <c r="N546" s="478"/>
      <c r="O546" s="478"/>
      <c r="P546" s="480"/>
      <c r="Q546" s="482"/>
      <c r="R546" s="710"/>
      <c r="S546" s="478"/>
      <c r="T546" s="478"/>
      <c r="U546" s="478"/>
      <c r="V546" s="478"/>
      <c r="W546" s="478"/>
      <c r="X546" s="478"/>
      <c r="Y546" s="478"/>
      <c r="Z546" s="478"/>
      <c r="AA546" s="478"/>
      <c r="AB546" s="478"/>
      <c r="AC546" s="478"/>
      <c r="AD546" s="478"/>
      <c r="AE546" s="478"/>
      <c r="AF546" s="478"/>
      <c r="AG546" s="478"/>
      <c r="AH546" s="478"/>
      <c r="AI546" s="478"/>
      <c r="AJ546" s="478"/>
      <c r="AK546" s="478"/>
      <c r="AL546" s="478"/>
      <c r="AM546" s="478"/>
      <c r="AN546" s="478"/>
      <c r="AO546" s="478"/>
      <c r="AP546" s="478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17"/>
      <c r="BJ546" s="717"/>
      <c r="BK546" s="717"/>
      <c r="BL546" s="717"/>
      <c r="BM546" s="281"/>
      <c r="BN546" s="281"/>
      <c r="BO546" s="281"/>
      <c r="BP546" s="281"/>
      <c r="BQ546" s="281"/>
      <c r="BR546" s="281"/>
      <c r="BS546" s="711"/>
      <c r="BT546" s="711"/>
    </row>
    <row r="547" ht="15.75" customHeight="1">
      <c r="A547" s="540"/>
      <c r="B547" s="540"/>
      <c r="C547" s="718" t="s">
        <v>5408</v>
      </c>
      <c r="D547" s="712">
        <f>COUNTIF(J2:J543,"Sem Patrimônio")</f>
        <v>285</v>
      </c>
      <c r="E547" s="478"/>
      <c r="F547" s="478"/>
      <c r="G547" s="478"/>
      <c r="H547" s="478"/>
      <c r="I547" s="478"/>
      <c r="J547" s="478"/>
      <c r="K547" s="478"/>
      <c r="L547" s="478"/>
      <c r="M547" s="478"/>
      <c r="N547" s="478"/>
      <c r="O547" s="478"/>
      <c r="P547" s="480"/>
      <c r="Q547" s="482"/>
      <c r="R547" s="710"/>
      <c r="S547" s="478"/>
      <c r="T547" s="478"/>
      <c r="U547" s="478"/>
      <c r="V547" s="478"/>
      <c r="W547" s="478"/>
      <c r="X547" s="478"/>
      <c r="Y547" s="478"/>
      <c r="Z547" s="478"/>
      <c r="AA547" s="478"/>
      <c r="AB547" s="478"/>
      <c r="AC547" s="478"/>
      <c r="AD547" s="478"/>
      <c r="AE547" s="478"/>
      <c r="AF547" s="478"/>
      <c r="AG547" s="478"/>
      <c r="AH547" s="478"/>
      <c r="AI547" s="478"/>
      <c r="AJ547" s="478"/>
      <c r="AK547" s="478"/>
      <c r="AL547" s="478"/>
      <c r="AM547" s="478"/>
      <c r="AN547" s="478"/>
      <c r="AO547" s="478"/>
      <c r="AP547" s="478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5409</v>
      </c>
      <c r="BK547" s="281" t="s">
        <v>5410</v>
      </c>
      <c r="BL547" s="281" t="s">
        <v>5411</v>
      </c>
      <c r="BM547" s="281"/>
      <c r="BN547" s="281"/>
      <c r="BO547" s="281"/>
      <c r="BP547" s="281"/>
      <c r="BQ547" s="281"/>
      <c r="BR547" s="281"/>
      <c r="BS547" s="711"/>
      <c r="BT547" s="711"/>
    </row>
    <row r="548" ht="15.75" customHeight="1">
      <c r="A548" s="540"/>
      <c r="B548" s="540"/>
      <c r="C548" s="718" t="s">
        <v>5412</v>
      </c>
      <c r="D548" s="712">
        <f>COUNTIF(J2:J543,"Inativo")</f>
        <v>1</v>
      </c>
      <c r="E548" s="488"/>
      <c r="F548" s="488"/>
      <c r="G548" s="489"/>
      <c r="H548" s="478"/>
      <c r="I548" s="478"/>
      <c r="J548" s="490"/>
      <c r="K548" s="490"/>
      <c r="L548" s="542"/>
      <c r="M548" s="542"/>
      <c r="N548" s="490"/>
      <c r="O548" s="490"/>
      <c r="P548" s="480"/>
      <c r="Q548" s="482"/>
      <c r="R548" s="710"/>
      <c r="S548" s="478"/>
      <c r="T548" s="478"/>
      <c r="U548" s="478"/>
      <c r="V548" s="478"/>
      <c r="W548" s="478"/>
      <c r="X548" s="478"/>
      <c r="Y548" s="478"/>
      <c r="Z548" s="478"/>
      <c r="AA548" s="478"/>
      <c r="AB548" s="478"/>
      <c r="AC548" s="478"/>
      <c r="AD548" s="478"/>
      <c r="AE548" s="478"/>
      <c r="AF548" s="478"/>
      <c r="AG548" s="478"/>
      <c r="AH548" s="478"/>
      <c r="AI548" s="478"/>
      <c r="AJ548" s="478"/>
      <c r="AK548" s="478"/>
      <c r="AL548" s="478"/>
      <c r="AM548" s="478"/>
      <c r="AN548" s="478"/>
      <c r="AO548" s="478"/>
      <c r="AP548" s="478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3820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11"/>
      <c r="BT548" s="711"/>
    </row>
    <row r="549" ht="15.75" customHeight="1">
      <c r="A549" s="508"/>
      <c r="B549" s="508"/>
      <c r="C549" s="508"/>
      <c r="D549" s="507"/>
      <c r="E549" s="488"/>
      <c r="F549" s="488"/>
      <c r="G549" s="505"/>
      <c r="H549" s="478"/>
      <c r="I549" s="478"/>
      <c r="J549" s="719"/>
      <c r="K549" s="719"/>
      <c r="L549" s="720"/>
      <c r="M549" s="720"/>
      <c r="N549" s="478"/>
      <c r="O549" s="478"/>
      <c r="P549" s="480"/>
      <c r="Q549" s="482"/>
      <c r="R549" s="710"/>
      <c r="S549" s="478"/>
      <c r="T549" s="478"/>
      <c r="U549" s="478"/>
      <c r="V549" s="478"/>
      <c r="W549" s="478"/>
      <c r="X549" s="478"/>
      <c r="Y549" s="478"/>
      <c r="Z549" s="478"/>
      <c r="AA549" s="478"/>
      <c r="AB549" s="478"/>
      <c r="AC549" s="478"/>
      <c r="AD549" s="478"/>
      <c r="AE549" s="478"/>
      <c r="AF549" s="478"/>
      <c r="AG549" s="478"/>
      <c r="AH549" s="478"/>
      <c r="AI549" s="478"/>
      <c r="AJ549" s="478"/>
      <c r="AK549" s="478"/>
      <c r="AL549" s="478"/>
      <c r="AM549" s="478"/>
      <c r="AN549" s="478"/>
      <c r="AO549" s="478"/>
      <c r="AP549" s="478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2547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11"/>
      <c r="BT549" s="711"/>
    </row>
    <row r="550" ht="15.75" customHeight="1">
      <c r="A550" s="506"/>
      <c r="B550" s="506"/>
      <c r="C550" s="506"/>
      <c r="D550" s="507"/>
      <c r="E550" s="488"/>
      <c r="F550" s="488"/>
      <c r="G550" s="489"/>
      <c r="H550" s="478"/>
      <c r="I550" s="478"/>
      <c r="J550" s="281"/>
      <c r="K550" s="281"/>
      <c r="L550" s="542"/>
      <c r="M550" s="542"/>
      <c r="N550" s="478"/>
      <c r="O550" s="478"/>
      <c r="P550" s="480"/>
      <c r="Q550" s="482"/>
      <c r="R550" s="710"/>
      <c r="S550" s="478"/>
      <c r="T550" s="478"/>
      <c r="U550" s="478"/>
      <c r="V550" s="478"/>
      <c r="W550" s="478"/>
      <c r="X550" s="478"/>
      <c r="Y550" s="478"/>
      <c r="Z550" s="478"/>
      <c r="AA550" s="478"/>
      <c r="AB550" s="478"/>
      <c r="AC550" s="478"/>
      <c r="AD550" s="478"/>
      <c r="AE550" s="478"/>
      <c r="AF550" s="478"/>
      <c r="AG550" s="478"/>
      <c r="AH550" s="478"/>
      <c r="AI550" s="478"/>
      <c r="AJ550" s="478"/>
      <c r="AK550" s="478"/>
      <c r="AL550" s="478"/>
      <c r="AM550" s="478"/>
      <c r="AN550" s="478"/>
      <c r="AO550" s="478"/>
      <c r="AP550" s="478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3727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11"/>
      <c r="BT550" s="711"/>
    </row>
    <row r="551" ht="15.75" customHeight="1">
      <c r="A551" s="508"/>
      <c r="B551" s="508"/>
      <c r="C551" s="508"/>
      <c r="D551" s="507"/>
      <c r="E551" s="488"/>
      <c r="F551" s="488"/>
      <c r="G551" s="489"/>
      <c r="H551" s="478"/>
      <c r="I551" s="478"/>
      <c r="J551" s="721"/>
      <c r="K551" s="721"/>
      <c r="L551" s="720"/>
      <c r="M551" s="720"/>
      <c r="N551" s="490"/>
      <c r="O551" s="490"/>
      <c r="P551" s="480"/>
      <c r="Q551" s="482"/>
      <c r="R551" s="710"/>
      <c r="S551" s="478"/>
      <c r="T551" s="478"/>
      <c r="U551" s="478"/>
      <c r="V551" s="478"/>
      <c r="W551" s="478"/>
      <c r="X551" s="478"/>
      <c r="Y551" s="478"/>
      <c r="Z551" s="478"/>
      <c r="AA551" s="478"/>
      <c r="AB551" s="478"/>
      <c r="AC551" s="478"/>
      <c r="AD551" s="478"/>
      <c r="AE551" s="478"/>
      <c r="AF551" s="478"/>
      <c r="AG551" s="478"/>
      <c r="AH551" s="478"/>
      <c r="AI551" s="478"/>
      <c r="AJ551" s="478"/>
      <c r="AK551" s="478"/>
      <c r="AL551" s="478"/>
      <c r="AM551" s="478"/>
      <c r="AN551" s="478"/>
      <c r="AO551" s="478"/>
      <c r="AP551" s="478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3632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11"/>
      <c r="BT551" s="711"/>
    </row>
    <row r="552" ht="15.75" customHeight="1">
      <c r="A552" s="508"/>
      <c r="B552" s="508"/>
      <c r="C552" s="508"/>
      <c r="D552" s="507"/>
      <c r="E552" s="488"/>
      <c r="F552" s="488"/>
      <c r="G552" s="489"/>
      <c r="H552" s="478"/>
      <c r="I552" s="478"/>
      <c r="J552" s="281"/>
      <c r="K552" s="281"/>
      <c r="L552" s="720"/>
      <c r="M552" s="720"/>
      <c r="N552" s="478"/>
      <c r="O552" s="478"/>
      <c r="P552" s="480"/>
      <c r="Q552" s="482"/>
      <c r="R552" s="710"/>
      <c r="S552" s="478"/>
      <c r="T552" s="478"/>
      <c r="U552" s="478"/>
      <c r="V552" s="478"/>
      <c r="W552" s="478"/>
      <c r="X552" s="478"/>
      <c r="Y552" s="478"/>
      <c r="Z552" s="478"/>
      <c r="AA552" s="478"/>
      <c r="AB552" s="478"/>
      <c r="AC552" s="478"/>
      <c r="AD552" s="478"/>
      <c r="AE552" s="478"/>
      <c r="AF552" s="478"/>
      <c r="AG552" s="478"/>
      <c r="AH552" s="478"/>
      <c r="AI552" s="478"/>
      <c r="AJ552" s="478"/>
      <c r="AK552" s="478"/>
      <c r="AL552" s="478"/>
      <c r="AM552" s="478"/>
      <c r="AN552" s="478"/>
      <c r="AO552" s="478"/>
      <c r="AP552" s="478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11"/>
      <c r="BT552" s="711"/>
    </row>
    <row r="553" ht="15.75" customHeight="1">
      <c r="A553" s="508"/>
      <c r="B553" s="508"/>
      <c r="C553" s="508"/>
      <c r="D553" s="507"/>
      <c r="E553" s="488"/>
      <c r="F553" s="488"/>
      <c r="G553" s="489"/>
      <c r="H553" s="478"/>
      <c r="I553" s="478"/>
      <c r="J553" s="721"/>
      <c r="K553" s="721"/>
      <c r="L553" s="720"/>
      <c r="M553" s="720"/>
      <c r="N553" s="490"/>
      <c r="O553" s="490"/>
      <c r="P553" s="480"/>
      <c r="Q553" s="482"/>
      <c r="R553" s="710"/>
      <c r="S553" s="478"/>
      <c r="T553" s="478"/>
      <c r="U553" s="478"/>
      <c r="V553" s="478"/>
      <c r="W553" s="478"/>
      <c r="X553" s="478"/>
      <c r="Y553" s="478"/>
      <c r="Z553" s="478"/>
      <c r="AA553" s="478"/>
      <c r="AB553" s="478"/>
      <c r="AC553" s="478"/>
      <c r="AD553" s="478"/>
      <c r="AE553" s="478"/>
      <c r="AF553" s="478"/>
      <c r="AG553" s="478"/>
      <c r="AH553" s="478"/>
      <c r="AI553" s="478"/>
      <c r="AJ553" s="478"/>
      <c r="AK553" s="478"/>
      <c r="AL553" s="478"/>
      <c r="AM553" s="478"/>
      <c r="AN553" s="478"/>
      <c r="AO553" s="478"/>
      <c r="AP553" s="478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11"/>
      <c r="BT553" s="711"/>
    </row>
    <row r="554" ht="15.75" customHeight="1">
      <c r="A554" s="508"/>
      <c r="B554" s="508"/>
      <c r="C554" s="508"/>
      <c r="D554" s="507"/>
      <c r="E554" s="488"/>
      <c r="F554" s="488"/>
      <c r="G554" s="489"/>
      <c r="H554" s="478"/>
      <c r="I554" s="478"/>
      <c r="J554" s="281"/>
      <c r="K554" s="281"/>
      <c r="L554" s="720"/>
      <c r="M554" s="720"/>
      <c r="N554" s="478"/>
      <c r="O554" s="478"/>
      <c r="P554" s="480"/>
      <c r="Q554" s="482"/>
      <c r="R554" s="710"/>
      <c r="S554" s="478"/>
      <c r="T554" s="478"/>
      <c r="U554" s="478"/>
      <c r="V554" s="478"/>
      <c r="W554" s="478"/>
      <c r="X554" s="478"/>
      <c r="Y554" s="478"/>
      <c r="Z554" s="478"/>
      <c r="AA554" s="478"/>
      <c r="AB554" s="478"/>
      <c r="AC554" s="478"/>
      <c r="AD554" s="478"/>
      <c r="AE554" s="478"/>
      <c r="AF554" s="478"/>
      <c r="AG554" s="478"/>
      <c r="AH554" s="478"/>
      <c r="AI554" s="478"/>
      <c r="AJ554" s="478"/>
      <c r="AK554" s="478"/>
      <c r="AL554" s="478"/>
      <c r="AM554" s="478"/>
      <c r="AN554" s="478"/>
      <c r="AO554" s="478"/>
      <c r="AP554" s="478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5413</v>
      </c>
      <c r="BJ554" s="281" t="s">
        <v>5414</v>
      </c>
      <c r="BK554" s="281" t="s">
        <v>5415</v>
      </c>
      <c r="BL554" s="281" t="s">
        <v>5415</v>
      </c>
      <c r="BM554" s="281"/>
      <c r="BN554" s="281"/>
      <c r="BO554" s="281"/>
      <c r="BP554" s="281"/>
      <c r="BQ554" s="281"/>
      <c r="BR554" s="281"/>
      <c r="BS554" s="711"/>
      <c r="BT554" s="711"/>
    </row>
  </sheetData>
  <autoFilter ref="$A$1:$BS$543">
    <sortState ref="A1:BS543">
      <sortCondition ref="C1:C543"/>
      <sortCondition ref="BS1:BS543"/>
    </sortState>
  </autoFilter>
  <customSheetViews>
    <customSheetView guid="{0C64D1DF-F9E6-41EC-A890-6C4BDAEAA33D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CF9BBF74-3EB1-4F1E-8AB9-3B8870336168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2" t="s">
        <v>2</v>
      </c>
      <c r="B1" s="723" t="s">
        <v>1</v>
      </c>
      <c r="C1" s="723" t="s">
        <v>5416</v>
      </c>
    </row>
    <row r="2">
      <c r="A2" s="724" t="s">
        <v>1200</v>
      </c>
      <c r="B2" s="725" t="s">
        <v>5417</v>
      </c>
      <c r="C2" s="726">
        <v>1.5421429E7</v>
      </c>
      <c r="E2" s="727" t="s">
        <v>5418</v>
      </c>
      <c r="F2" s="728">
        <v>45488.0</v>
      </c>
    </row>
    <row r="3">
      <c r="A3" s="724" t="s">
        <v>362</v>
      </c>
      <c r="B3" s="725" t="s">
        <v>5419</v>
      </c>
      <c r="C3" s="726">
        <v>8296573.0</v>
      </c>
    </row>
    <row r="4">
      <c r="A4" s="724" t="s">
        <v>5420</v>
      </c>
      <c r="B4" s="725" t="s">
        <v>5421</v>
      </c>
      <c r="C4" s="726">
        <v>8129186.0</v>
      </c>
    </row>
    <row r="5">
      <c r="A5" s="724" t="s">
        <v>5422</v>
      </c>
      <c r="B5" s="725" t="s">
        <v>5423</v>
      </c>
      <c r="C5" s="726">
        <v>7012526.0</v>
      </c>
    </row>
    <row r="6">
      <c r="A6" s="724" t="s">
        <v>344</v>
      </c>
      <c r="B6" s="725" t="s">
        <v>5424</v>
      </c>
      <c r="C6" s="726">
        <v>6321927.0</v>
      </c>
    </row>
    <row r="7">
      <c r="A7" s="724" t="s">
        <v>5425</v>
      </c>
      <c r="B7" s="725" t="s">
        <v>5426</v>
      </c>
      <c r="C7" s="726">
        <v>5960433.0</v>
      </c>
    </row>
    <row r="8">
      <c r="A8" s="724" t="s">
        <v>1769</v>
      </c>
      <c r="B8" s="725" t="s">
        <v>5427</v>
      </c>
      <c r="C8" s="726">
        <v>4596623.0</v>
      </c>
    </row>
    <row r="9">
      <c r="A9" s="724" t="s">
        <v>788</v>
      </c>
      <c r="B9" s="725" t="s">
        <v>5428</v>
      </c>
      <c r="C9" s="726">
        <v>4466193.0</v>
      </c>
    </row>
    <row r="10">
      <c r="A10" s="724" t="s">
        <v>2379</v>
      </c>
      <c r="B10" s="725" t="s">
        <v>5429</v>
      </c>
      <c r="C10" s="726">
        <v>4353176.0</v>
      </c>
    </row>
    <row r="11">
      <c r="A11" s="724" t="s">
        <v>440</v>
      </c>
      <c r="B11" s="725" t="s">
        <v>5430</v>
      </c>
      <c r="C11" s="726">
        <v>4302779.0</v>
      </c>
    </row>
    <row r="12">
      <c r="A12" s="724" t="s">
        <v>2409</v>
      </c>
      <c r="B12" s="725" t="s">
        <v>5431</v>
      </c>
      <c r="C12" s="726">
        <v>4151947.0</v>
      </c>
    </row>
    <row r="13">
      <c r="A13" s="724" t="s">
        <v>5432</v>
      </c>
      <c r="B13" s="725" t="s">
        <v>5433</v>
      </c>
      <c r="C13" s="726">
        <v>4141810.0</v>
      </c>
    </row>
    <row r="14">
      <c r="A14" s="724" t="s">
        <v>770</v>
      </c>
      <c r="B14" s="725" t="s">
        <v>5434</v>
      </c>
      <c r="C14" s="726">
        <v>4130646.0</v>
      </c>
    </row>
    <row r="15">
      <c r="A15" s="724" t="s">
        <v>411</v>
      </c>
      <c r="B15" s="725" t="s">
        <v>5435</v>
      </c>
      <c r="C15" s="726">
        <v>3869530.0</v>
      </c>
    </row>
    <row r="16">
      <c r="A16" s="724" t="s">
        <v>700</v>
      </c>
      <c r="B16" s="725" t="s">
        <v>5436</v>
      </c>
      <c r="C16" s="726">
        <v>3651844.0</v>
      </c>
    </row>
    <row r="17">
      <c r="A17" s="724" t="s">
        <v>804</v>
      </c>
      <c r="B17" s="725" t="s">
        <v>5437</v>
      </c>
      <c r="C17" s="726">
        <v>3500981.0</v>
      </c>
    </row>
    <row r="18">
      <c r="A18" s="724" t="s">
        <v>5438</v>
      </c>
      <c r="B18" s="725" t="s">
        <v>5439</v>
      </c>
      <c r="C18" s="726">
        <v>3391722.0</v>
      </c>
    </row>
    <row r="19">
      <c r="A19" s="724" t="s">
        <v>1513</v>
      </c>
      <c r="B19" s="725" t="s">
        <v>5440</v>
      </c>
      <c r="C19" s="726">
        <v>3276825.0</v>
      </c>
    </row>
    <row r="20" ht="15.75" customHeight="1">
      <c r="A20" s="724" t="s">
        <v>2059</v>
      </c>
      <c r="B20" s="725" t="s">
        <v>5441</v>
      </c>
      <c r="C20" s="726">
        <v>3000887.0</v>
      </c>
    </row>
    <row r="21" ht="15.75" customHeight="1">
      <c r="A21" s="724" t="s">
        <v>965</v>
      </c>
      <c r="B21" s="725" t="s">
        <v>5442</v>
      </c>
      <c r="C21" s="726">
        <v>2902659.0</v>
      </c>
    </row>
    <row r="22" ht="15.75" customHeight="1">
      <c r="A22" s="724" t="s">
        <v>443</v>
      </c>
      <c r="B22" s="725" t="s">
        <v>5443</v>
      </c>
      <c r="C22" s="726">
        <v>2901162.0</v>
      </c>
    </row>
    <row r="23" ht="15.75" customHeight="1">
      <c r="A23" s="724" t="s">
        <v>1417</v>
      </c>
      <c r="B23" s="725" t="s">
        <v>5444</v>
      </c>
      <c r="C23" s="726">
        <v>2898301.0</v>
      </c>
    </row>
    <row r="24" ht="15.75" customHeight="1">
      <c r="A24" s="724" t="s">
        <v>1754</v>
      </c>
      <c r="B24" s="725" t="s">
        <v>5427</v>
      </c>
      <c r="C24" s="726">
        <v>2819923.0</v>
      </c>
    </row>
    <row r="25" ht="15.75" customHeight="1">
      <c r="A25" s="724" t="s">
        <v>1657</v>
      </c>
      <c r="B25" s="725" t="s">
        <v>5445</v>
      </c>
      <c r="C25" s="726">
        <v>2728194.0</v>
      </c>
    </row>
    <row r="26" ht="15.75" customHeight="1">
      <c r="A26" s="724" t="s">
        <v>5446</v>
      </c>
      <c r="B26" s="725" t="s">
        <v>5447</v>
      </c>
      <c r="C26" s="726">
        <v>2645816.0</v>
      </c>
    </row>
    <row r="27" ht="15.75" customHeight="1">
      <c r="A27" s="724" t="s">
        <v>1035</v>
      </c>
      <c r="B27" s="725" t="s">
        <v>5448</v>
      </c>
      <c r="C27" s="726">
        <v>2583906.0</v>
      </c>
    </row>
    <row r="28" ht="15.75" customHeight="1">
      <c r="A28" s="724" t="s">
        <v>469</v>
      </c>
      <c r="B28" s="725" t="s">
        <v>5449</v>
      </c>
      <c r="C28" s="726">
        <v>2572696.0</v>
      </c>
    </row>
    <row r="29" ht="15.75" customHeight="1">
      <c r="A29" s="724" t="s">
        <v>5450</v>
      </c>
      <c r="B29" s="725" t="s">
        <v>5451</v>
      </c>
      <c r="C29" s="726">
        <v>2436118.0</v>
      </c>
    </row>
    <row r="30" ht="15.75" customHeight="1">
      <c r="A30" s="724" t="s">
        <v>5452</v>
      </c>
      <c r="B30" s="725" t="s">
        <v>5453</v>
      </c>
      <c r="C30" s="726">
        <v>2388831.0</v>
      </c>
    </row>
    <row r="31" ht="15.75" customHeight="1">
      <c r="A31" s="724" t="s">
        <v>1936</v>
      </c>
      <c r="B31" s="725" t="s">
        <v>5454</v>
      </c>
      <c r="C31" s="726">
        <v>2343544.0</v>
      </c>
    </row>
    <row r="32" ht="15.75" customHeight="1">
      <c r="A32" s="724" t="s">
        <v>1993</v>
      </c>
      <c r="B32" s="725" t="s">
        <v>5455</v>
      </c>
      <c r="C32" s="726">
        <v>2237957.0</v>
      </c>
    </row>
    <row r="33" ht="15.75" customHeight="1">
      <c r="A33" s="724" t="s">
        <v>2437</v>
      </c>
      <c r="B33" s="725" t="s">
        <v>5456</v>
      </c>
      <c r="C33" s="726">
        <v>2145932.0</v>
      </c>
    </row>
    <row r="34" ht="15.75" customHeight="1">
      <c r="A34" s="724" t="s">
        <v>1209</v>
      </c>
      <c r="B34" s="725" t="s">
        <v>5457</v>
      </c>
      <c r="C34" s="726">
        <v>2074016.0</v>
      </c>
    </row>
    <row r="35" ht="15.75" customHeight="1">
      <c r="A35" s="724" t="s">
        <v>1376</v>
      </c>
      <c r="B35" s="725" t="s">
        <v>5458</v>
      </c>
      <c r="C35" s="726">
        <v>2053591.0</v>
      </c>
    </row>
    <row r="36" ht="15.75" customHeight="1">
      <c r="A36" s="724" t="s">
        <v>352</v>
      </c>
      <c r="B36" s="725" t="s">
        <v>5459</v>
      </c>
      <c r="C36" s="726">
        <v>1996613.0</v>
      </c>
    </row>
    <row r="37" ht="15.75" customHeight="1">
      <c r="A37" s="724" t="s">
        <v>5460</v>
      </c>
      <c r="B37" s="725" t="s">
        <v>5461</v>
      </c>
      <c r="C37" s="726">
        <v>1995069.0</v>
      </c>
    </row>
    <row r="38" ht="15.75" customHeight="1">
      <c r="A38" s="724" t="s">
        <v>5462</v>
      </c>
      <c r="B38" s="725" t="s">
        <v>5463</v>
      </c>
      <c r="C38" s="726">
        <v>1929445.0</v>
      </c>
    </row>
    <row r="39" ht="15.75" customHeight="1">
      <c r="A39" s="724" t="s">
        <v>2295</v>
      </c>
      <c r="B39" s="725" t="s">
        <v>5464</v>
      </c>
      <c r="C39" s="726">
        <v>1899649.0</v>
      </c>
    </row>
    <row r="40" ht="15.75" customHeight="1">
      <c r="A40" s="724" t="s">
        <v>531</v>
      </c>
      <c r="B40" s="725" t="s">
        <v>5465</v>
      </c>
      <c r="C40" s="726">
        <v>1884571.0</v>
      </c>
    </row>
    <row r="41" ht="15.75" customHeight="1">
      <c r="A41" s="724" t="s">
        <v>2135</v>
      </c>
      <c r="B41" s="725" t="s">
        <v>5466</v>
      </c>
      <c r="C41" s="726">
        <v>1865589.0</v>
      </c>
    </row>
    <row r="42" ht="15.75" customHeight="1">
      <c r="A42" s="724" t="s">
        <v>1086</v>
      </c>
      <c r="B42" s="725" t="s">
        <v>5467</v>
      </c>
      <c r="C42" s="726">
        <v>1850690.0</v>
      </c>
    </row>
    <row r="43" ht="15.75" customHeight="1">
      <c r="A43" s="724" t="s">
        <v>1932</v>
      </c>
      <c r="B43" s="725" t="s">
        <v>5468</v>
      </c>
      <c r="C43" s="726">
        <v>1839317.0</v>
      </c>
    </row>
    <row r="44" ht="15.75" customHeight="1">
      <c r="A44" s="724" t="s">
        <v>613</v>
      </c>
      <c r="B44" s="725" t="s">
        <v>5469</v>
      </c>
      <c r="C44" s="726">
        <v>1762954.0</v>
      </c>
    </row>
    <row r="45" ht="15.75" customHeight="1">
      <c r="A45" s="724" t="s">
        <v>5470</v>
      </c>
      <c r="B45" s="725" t="s">
        <v>5471</v>
      </c>
      <c r="C45" s="726">
        <v>1701507.0</v>
      </c>
    </row>
    <row r="46" ht="15.75" customHeight="1">
      <c r="A46" s="724" t="s">
        <v>858</v>
      </c>
      <c r="B46" s="725" t="s">
        <v>5472</v>
      </c>
      <c r="C46" s="726">
        <v>1701218.0</v>
      </c>
    </row>
    <row r="47" ht="15.75" customHeight="1">
      <c r="A47" s="724" t="s">
        <v>1908</v>
      </c>
      <c r="B47" s="725" t="s">
        <v>5473</v>
      </c>
      <c r="C47" s="726">
        <v>1695081.0</v>
      </c>
    </row>
    <row r="48" ht="15.75" customHeight="1">
      <c r="A48" s="724" t="s">
        <v>286</v>
      </c>
      <c r="B48" s="725" t="s">
        <v>5474</v>
      </c>
      <c r="C48" s="726">
        <v>1638110.0</v>
      </c>
    </row>
    <row r="49" ht="15.75" customHeight="1">
      <c r="A49" s="724" t="s">
        <v>1775</v>
      </c>
      <c r="B49" s="725" t="s">
        <v>5427</v>
      </c>
      <c r="C49" s="726">
        <v>1604904.0</v>
      </c>
    </row>
    <row r="50" ht="15.75" customHeight="1">
      <c r="A50" s="724" t="s">
        <v>1326</v>
      </c>
      <c r="B50" s="725" t="s">
        <v>5475</v>
      </c>
      <c r="C50" s="726">
        <v>1555930.0</v>
      </c>
    </row>
    <row r="51" ht="15.75" customHeight="1">
      <c r="A51" s="724" t="s">
        <v>1919</v>
      </c>
      <c r="B51" s="725" t="s">
        <v>5476</v>
      </c>
      <c r="C51" s="726">
        <v>1530058.0</v>
      </c>
    </row>
    <row r="52" ht="15.75" customHeight="1">
      <c r="A52" s="724" t="s">
        <v>2471</v>
      </c>
      <c r="B52" s="725" t="s">
        <v>5477</v>
      </c>
      <c r="C52" s="726">
        <v>1507901.0</v>
      </c>
    </row>
    <row r="53" ht="15.75" customHeight="1">
      <c r="A53" s="724" t="s">
        <v>2330</v>
      </c>
      <c r="B53" s="725" t="s">
        <v>5478</v>
      </c>
      <c r="C53" s="726">
        <v>1482650.0</v>
      </c>
    </row>
    <row r="54" ht="15.75" customHeight="1">
      <c r="A54" s="724" t="s">
        <v>1697</v>
      </c>
      <c r="B54" s="725" t="s">
        <v>5479</v>
      </c>
      <c r="C54" s="726">
        <v>1477688.0</v>
      </c>
    </row>
    <row r="55" ht="15.75" customHeight="1">
      <c r="A55" s="724" t="s">
        <v>264</v>
      </c>
      <c r="B55" s="725" t="s">
        <v>5480</v>
      </c>
      <c r="C55" s="726">
        <v>1464570.0</v>
      </c>
    </row>
    <row r="56" ht="15.75" customHeight="1">
      <c r="A56" s="724" t="s">
        <v>1934</v>
      </c>
      <c r="B56" s="725" t="s">
        <v>5468</v>
      </c>
      <c r="C56" s="726">
        <v>1414482.0</v>
      </c>
    </row>
    <row r="57" ht="15.75" customHeight="1">
      <c r="A57" s="724" t="s">
        <v>1196</v>
      </c>
      <c r="B57" s="725" t="s">
        <v>5481</v>
      </c>
      <c r="C57" s="726">
        <v>1399429.0</v>
      </c>
    </row>
    <row r="58" ht="15.75" customHeight="1">
      <c r="A58" s="724" t="s">
        <v>2292</v>
      </c>
      <c r="B58" s="725" t="s">
        <v>5482</v>
      </c>
      <c r="C58" s="726">
        <v>1359777.0</v>
      </c>
    </row>
    <row r="59" ht="15.75" customHeight="1">
      <c r="A59" s="724" t="s">
        <v>1003</v>
      </c>
      <c r="B59" s="725" t="s">
        <v>5483</v>
      </c>
      <c r="C59" s="726">
        <v>1354459.0</v>
      </c>
    </row>
    <row r="60" ht="15.75" customHeight="1">
      <c r="A60" s="724" t="s">
        <v>1739</v>
      </c>
      <c r="B60" s="725" t="s">
        <v>5427</v>
      </c>
      <c r="C60" s="726">
        <v>1307487.0</v>
      </c>
    </row>
    <row r="61" ht="15.75" customHeight="1">
      <c r="A61" s="724" t="s">
        <v>1855</v>
      </c>
      <c r="B61" s="725" t="s">
        <v>5484</v>
      </c>
      <c r="C61" s="726">
        <v>1305473.0</v>
      </c>
    </row>
    <row r="62" ht="15.75" customHeight="1">
      <c r="A62" s="724" t="s">
        <v>2050</v>
      </c>
      <c r="B62" s="725" t="s">
        <v>5485</v>
      </c>
      <c r="C62" s="726">
        <v>1294719.0</v>
      </c>
    </row>
    <row r="63" ht="15.75" customHeight="1">
      <c r="A63" s="724" t="s">
        <v>1550</v>
      </c>
      <c r="B63" s="725" t="s">
        <v>5486</v>
      </c>
      <c r="C63" s="726">
        <v>1287911.0</v>
      </c>
    </row>
    <row r="64" ht="15.75" customHeight="1">
      <c r="A64" s="724" t="s">
        <v>666</v>
      </c>
      <c r="B64" s="725" t="s">
        <v>5487</v>
      </c>
      <c r="C64" s="726">
        <v>1282980.0</v>
      </c>
    </row>
    <row r="65" ht="15.75" customHeight="1">
      <c r="A65" s="724" t="s">
        <v>1879</v>
      </c>
      <c r="B65" s="725" t="s">
        <v>5488</v>
      </c>
      <c r="C65" s="726">
        <v>1262033.0</v>
      </c>
    </row>
    <row r="66" ht="15.75" customHeight="1">
      <c r="A66" s="724" t="s">
        <v>5489</v>
      </c>
      <c r="B66" s="725" t="s">
        <v>5453</v>
      </c>
      <c r="C66" s="726">
        <v>1236219.0</v>
      </c>
    </row>
    <row r="67" ht="15.75" customHeight="1">
      <c r="A67" s="724" t="s">
        <v>843</v>
      </c>
      <c r="B67" s="725" t="s">
        <v>5490</v>
      </c>
      <c r="C67" s="726">
        <v>1233160.0</v>
      </c>
    </row>
    <row r="68" ht="15.75" customHeight="1">
      <c r="A68" s="724" t="s">
        <v>1766</v>
      </c>
      <c r="B68" s="725" t="s">
        <v>5427</v>
      </c>
      <c r="C68" s="726">
        <v>1227627.0</v>
      </c>
    </row>
    <row r="69" ht="15.75" customHeight="1">
      <c r="A69" s="724" t="s">
        <v>1429</v>
      </c>
      <c r="B69" s="725" t="s">
        <v>5491</v>
      </c>
      <c r="C69" s="726">
        <v>1197223.0</v>
      </c>
    </row>
    <row r="70" ht="15.75" customHeight="1">
      <c r="A70" s="724" t="s">
        <v>1661</v>
      </c>
      <c r="B70" s="725" t="s">
        <v>5445</v>
      </c>
      <c r="C70" s="726">
        <v>1144400.0</v>
      </c>
    </row>
    <row r="71" ht="15.75" customHeight="1">
      <c r="A71" s="724" t="s">
        <v>1863</v>
      </c>
      <c r="B71" s="725" t="s">
        <v>5492</v>
      </c>
      <c r="C71" s="726">
        <v>1131321.0</v>
      </c>
    </row>
    <row r="72" ht="15.75" customHeight="1">
      <c r="A72" s="724" t="s">
        <v>5493</v>
      </c>
      <c r="B72" s="725" t="s">
        <v>5494</v>
      </c>
      <c r="C72" s="726">
        <v>1115801.0</v>
      </c>
    </row>
    <row r="73" ht="15.75" customHeight="1">
      <c r="A73" s="724" t="s">
        <v>1340</v>
      </c>
      <c r="B73" s="725" t="s">
        <v>5475</v>
      </c>
      <c r="C73" s="726">
        <v>1104920.0</v>
      </c>
    </row>
    <row r="74" ht="15.75" customHeight="1">
      <c r="A74" s="724" t="s">
        <v>631</v>
      </c>
      <c r="B74" s="725" t="s">
        <v>5495</v>
      </c>
      <c r="C74" s="726">
        <v>1094923.0</v>
      </c>
    </row>
    <row r="75" ht="15.75" customHeight="1">
      <c r="A75" s="724" t="s">
        <v>811</v>
      </c>
      <c r="B75" s="725" t="s">
        <v>5496</v>
      </c>
      <c r="C75" s="726">
        <v>1077884.0</v>
      </c>
    </row>
    <row r="76" ht="15.75" customHeight="1">
      <c r="A76" s="724" t="s">
        <v>1594</v>
      </c>
      <c r="B76" s="725" t="s">
        <v>5497</v>
      </c>
      <c r="C76" s="726">
        <v>1076690.0</v>
      </c>
    </row>
    <row r="77" ht="15.75" customHeight="1">
      <c r="A77" s="724" t="s">
        <v>2108</v>
      </c>
      <c r="B77" s="725" t="s">
        <v>5498</v>
      </c>
      <c r="C77" s="726">
        <v>1067585.0</v>
      </c>
    </row>
    <row r="78" ht="15.75" customHeight="1">
      <c r="A78" s="724" t="s">
        <v>1925</v>
      </c>
      <c r="B78" s="725" t="s">
        <v>5499</v>
      </c>
      <c r="C78" s="726">
        <v>1059099.0</v>
      </c>
    </row>
    <row r="79" ht="15.75" customHeight="1">
      <c r="A79" s="724" t="s">
        <v>2083</v>
      </c>
      <c r="B79" s="725" t="s">
        <v>5441</v>
      </c>
      <c r="C79" s="726">
        <v>1038650.0</v>
      </c>
    </row>
    <row r="80" ht="15.75" customHeight="1">
      <c r="A80" s="724" t="s">
        <v>1506</v>
      </c>
      <c r="B80" s="725" t="s">
        <v>5500</v>
      </c>
      <c r="C80" s="726">
        <v>1034608.0</v>
      </c>
    </row>
    <row r="81" ht="15.75" customHeight="1">
      <c r="A81" s="724" t="s">
        <v>426</v>
      </c>
      <c r="B81" s="725" t="s">
        <v>5501</v>
      </c>
      <c r="C81" s="726">
        <v>1031831.0</v>
      </c>
    </row>
    <row r="82" ht="15.75" customHeight="1">
      <c r="A82" s="724" t="s">
        <v>618</v>
      </c>
      <c r="B82" s="725" t="s">
        <v>5469</v>
      </c>
      <c r="C82" s="726">
        <v>1021169.0</v>
      </c>
    </row>
    <row r="83" ht="15.75" customHeight="1">
      <c r="A83" s="724" t="s">
        <v>2482</v>
      </c>
      <c r="B83" s="725" t="s">
        <v>5502</v>
      </c>
      <c r="C83" s="726">
        <v>1019188.0</v>
      </c>
    </row>
    <row r="84" ht="15.75" customHeight="1">
      <c r="A84" s="724" t="s">
        <v>2040</v>
      </c>
      <c r="B84" s="725" t="s">
        <v>5503</v>
      </c>
      <c r="C84" s="726">
        <v>1015360.0</v>
      </c>
    </row>
    <row r="85" ht="15.75" customHeight="1">
      <c r="A85" s="724" t="s">
        <v>832</v>
      </c>
      <c r="B85" s="725" t="s">
        <v>5490</v>
      </c>
      <c r="C85" s="726">
        <v>1007765.0</v>
      </c>
    </row>
    <row r="86" ht="15.75" customHeight="1">
      <c r="A86" s="724" t="s">
        <v>1728</v>
      </c>
      <c r="B86" s="725" t="s">
        <v>5504</v>
      </c>
      <c r="C86" s="726">
        <v>1004622.0</v>
      </c>
    </row>
    <row r="87" ht="15.75" customHeight="1">
      <c r="A87" s="724" t="s">
        <v>1857</v>
      </c>
      <c r="B87" s="725" t="s">
        <v>5505</v>
      </c>
      <c r="C87" s="726">
        <v>999500.9</v>
      </c>
    </row>
    <row r="88" ht="15.75" customHeight="1">
      <c r="A88" s="724" t="s">
        <v>1316</v>
      </c>
      <c r="B88" s="725" t="s">
        <v>5506</v>
      </c>
      <c r="C88" s="726">
        <v>999326.8</v>
      </c>
    </row>
    <row r="89" ht="15.75" customHeight="1">
      <c r="A89" s="724" t="s">
        <v>737</v>
      </c>
      <c r="B89" s="725" t="s">
        <v>5507</v>
      </c>
      <c r="C89" s="726">
        <v>989018.6</v>
      </c>
    </row>
    <row r="90" ht="15.75" customHeight="1">
      <c r="A90" s="724" t="s">
        <v>1206</v>
      </c>
      <c r="B90" s="725" t="s">
        <v>5508</v>
      </c>
      <c r="C90" s="726">
        <v>961913.2</v>
      </c>
    </row>
    <row r="91" ht="15.75" customHeight="1">
      <c r="A91" s="724" t="s">
        <v>636</v>
      </c>
      <c r="B91" s="725" t="s">
        <v>5509</v>
      </c>
      <c r="C91" s="726">
        <v>946236.2</v>
      </c>
    </row>
    <row r="92" ht="15.75" customHeight="1">
      <c r="A92" s="724" t="s">
        <v>1747</v>
      </c>
      <c r="B92" s="725" t="s">
        <v>5427</v>
      </c>
      <c r="C92" s="726">
        <v>942246.4</v>
      </c>
    </row>
    <row r="93" ht="15.75" customHeight="1">
      <c r="A93" s="724" t="s">
        <v>1890</v>
      </c>
      <c r="B93" s="725" t="s">
        <v>5510</v>
      </c>
      <c r="C93" s="726">
        <v>940184.3</v>
      </c>
    </row>
    <row r="94" ht="15.75" customHeight="1">
      <c r="A94" s="724" t="s">
        <v>2419</v>
      </c>
      <c r="B94" s="725" t="s">
        <v>5511</v>
      </c>
      <c r="C94" s="726">
        <v>930095.2</v>
      </c>
    </row>
    <row r="95" ht="15.75" customHeight="1">
      <c r="A95" s="724" t="s">
        <v>5512</v>
      </c>
      <c r="B95" s="725" t="s">
        <v>5480</v>
      </c>
      <c r="C95" s="726">
        <v>928132.7</v>
      </c>
    </row>
    <row r="96" ht="15.75" customHeight="1">
      <c r="A96" s="724" t="s">
        <v>2145</v>
      </c>
      <c r="B96" s="725" t="s">
        <v>5461</v>
      </c>
      <c r="C96" s="726">
        <v>914119.6</v>
      </c>
    </row>
    <row r="97" ht="15.75" customHeight="1">
      <c r="A97" s="724" t="s">
        <v>132</v>
      </c>
      <c r="B97" s="725" t="s">
        <v>5513</v>
      </c>
      <c r="C97" s="726">
        <v>910751.1</v>
      </c>
    </row>
    <row r="98" ht="15.75" customHeight="1">
      <c r="A98" s="724" t="s">
        <v>1300</v>
      </c>
      <c r="B98" s="725" t="s">
        <v>5514</v>
      </c>
      <c r="C98" s="726">
        <v>900286.6</v>
      </c>
    </row>
    <row r="99" ht="15.75" customHeight="1">
      <c r="A99" s="724" t="s">
        <v>1203</v>
      </c>
      <c r="B99" s="725" t="s">
        <v>5417</v>
      </c>
      <c r="C99" s="726">
        <v>887071.8</v>
      </c>
    </row>
    <row r="100" ht="15.75" customHeight="1">
      <c r="A100" s="724" t="s">
        <v>1175</v>
      </c>
      <c r="B100" s="725" t="s">
        <v>5515</v>
      </c>
      <c r="C100" s="726">
        <v>886900.3</v>
      </c>
    </row>
    <row r="101" ht="15.75" customHeight="1">
      <c r="A101" s="724" t="s">
        <v>2161</v>
      </c>
      <c r="B101" s="725" t="s">
        <v>5461</v>
      </c>
      <c r="C101" s="726">
        <v>884273.3</v>
      </c>
    </row>
    <row r="102" ht="15.75" customHeight="1">
      <c r="A102" s="724" t="s">
        <v>222</v>
      </c>
      <c r="B102" s="725" t="s">
        <v>5480</v>
      </c>
      <c r="C102" s="726">
        <v>873051.0</v>
      </c>
    </row>
    <row r="103" ht="15.75" customHeight="1">
      <c r="A103" s="724" t="s">
        <v>673</v>
      </c>
      <c r="B103" s="725" t="s">
        <v>5516</v>
      </c>
      <c r="C103" s="726">
        <v>871370.1</v>
      </c>
    </row>
    <row r="104" ht="15.75" customHeight="1">
      <c r="A104" s="724" t="s">
        <v>1459</v>
      </c>
      <c r="B104" s="725" t="s">
        <v>5517</v>
      </c>
      <c r="C104" s="726">
        <v>869722.5</v>
      </c>
    </row>
    <row r="105" ht="15.75" customHeight="1">
      <c r="A105" s="724" t="s">
        <v>1447</v>
      </c>
      <c r="B105" s="725" t="s">
        <v>5517</v>
      </c>
      <c r="C105" s="726">
        <v>868993.9</v>
      </c>
    </row>
    <row r="106" ht="15.75" customHeight="1">
      <c r="A106" s="724" t="s">
        <v>896</v>
      </c>
      <c r="B106" s="725" t="s">
        <v>5518</v>
      </c>
      <c r="C106" s="726">
        <v>864982.0</v>
      </c>
    </row>
    <row r="107" ht="15.75" customHeight="1">
      <c r="A107" s="724" t="s">
        <v>273</v>
      </c>
      <c r="B107" s="725" t="s">
        <v>5480</v>
      </c>
      <c r="C107" s="726">
        <v>854876.0</v>
      </c>
    </row>
    <row r="108" ht="15.75" customHeight="1">
      <c r="A108" s="724" t="s">
        <v>840</v>
      </c>
      <c r="B108" s="725" t="s">
        <v>5490</v>
      </c>
      <c r="C108" s="726">
        <v>847516.2</v>
      </c>
    </row>
    <row r="109" ht="15.75" customHeight="1">
      <c r="A109" s="724" t="s">
        <v>1411</v>
      </c>
      <c r="B109" s="725" t="s">
        <v>5519</v>
      </c>
      <c r="C109" s="726">
        <v>839280.3</v>
      </c>
    </row>
    <row r="110" ht="15.75" customHeight="1">
      <c r="A110" s="724" t="s">
        <v>1342</v>
      </c>
      <c r="B110" s="725" t="s">
        <v>5475</v>
      </c>
      <c r="C110" s="726">
        <v>834687.6</v>
      </c>
    </row>
    <row r="111" ht="15.75" customHeight="1">
      <c r="A111" s="724" t="s">
        <v>697</v>
      </c>
      <c r="B111" s="725" t="s">
        <v>5436</v>
      </c>
      <c r="C111" s="726">
        <v>834667.7</v>
      </c>
    </row>
    <row r="112" ht="15.75" customHeight="1">
      <c r="A112" s="724" t="s">
        <v>5520</v>
      </c>
      <c r="B112" s="725" t="s">
        <v>5480</v>
      </c>
      <c r="C112" s="726">
        <v>834471.6</v>
      </c>
    </row>
    <row r="113" ht="15.75" customHeight="1">
      <c r="A113" s="724" t="s">
        <v>1708</v>
      </c>
      <c r="B113" s="725" t="s">
        <v>5479</v>
      </c>
      <c r="C113" s="726">
        <v>827214.0</v>
      </c>
    </row>
    <row r="114" ht="15.75" customHeight="1">
      <c r="A114" s="724" t="s">
        <v>950</v>
      </c>
      <c r="B114" s="725" t="s">
        <v>5521</v>
      </c>
      <c r="C114" s="726">
        <v>820079.1</v>
      </c>
    </row>
    <row r="115" ht="15.75" customHeight="1">
      <c r="A115" s="724" t="s">
        <v>2219</v>
      </c>
      <c r="B115" s="725" t="s">
        <v>5522</v>
      </c>
      <c r="C115" s="726">
        <v>819114.8</v>
      </c>
    </row>
    <row r="116" ht="15.75" customHeight="1">
      <c r="A116" s="724" t="s">
        <v>1193</v>
      </c>
      <c r="B116" s="725" t="s">
        <v>5523</v>
      </c>
      <c r="C116" s="726">
        <v>802035.5</v>
      </c>
    </row>
    <row r="117" ht="15.75" customHeight="1">
      <c r="A117" s="724" t="s">
        <v>1362</v>
      </c>
      <c r="B117" s="725" t="s">
        <v>5524</v>
      </c>
      <c r="C117" s="726">
        <v>799528.5</v>
      </c>
    </row>
    <row r="118" ht="15.75" customHeight="1">
      <c r="A118" s="724" t="s">
        <v>360</v>
      </c>
      <c r="B118" s="725" t="s">
        <v>5419</v>
      </c>
      <c r="C118" s="726">
        <v>782135.3</v>
      </c>
    </row>
    <row r="119" ht="15.75" customHeight="1">
      <c r="A119" s="724" t="s">
        <v>135</v>
      </c>
      <c r="B119" s="725" t="s">
        <v>5525</v>
      </c>
      <c r="C119" s="726">
        <v>782129.0</v>
      </c>
    </row>
    <row r="120" ht="15.75" customHeight="1">
      <c r="A120" s="724" t="s">
        <v>5526</v>
      </c>
      <c r="B120" s="725" t="s">
        <v>5471</v>
      </c>
      <c r="C120" s="726">
        <v>776870.5</v>
      </c>
    </row>
    <row r="121" ht="15.75" customHeight="1">
      <c r="A121" s="724" t="s">
        <v>878</v>
      </c>
      <c r="B121" s="725" t="s">
        <v>5527</v>
      </c>
      <c r="C121" s="726">
        <v>763657.0</v>
      </c>
    </row>
    <row r="122" ht="15.75" customHeight="1">
      <c r="A122" s="724" t="s">
        <v>2168</v>
      </c>
      <c r="B122" s="725" t="s">
        <v>5528</v>
      </c>
      <c r="C122" s="726">
        <v>752883.4</v>
      </c>
    </row>
    <row r="123" ht="15.75" customHeight="1">
      <c r="A123" s="724" t="s">
        <v>1349</v>
      </c>
      <c r="B123" s="725" t="s">
        <v>5475</v>
      </c>
      <c r="C123" s="726">
        <v>745698.4</v>
      </c>
    </row>
    <row r="124" ht="15.75" customHeight="1">
      <c r="A124" s="724" t="s">
        <v>848</v>
      </c>
      <c r="B124" s="725" t="s">
        <v>5529</v>
      </c>
      <c r="C124" s="726">
        <v>723209.1</v>
      </c>
    </row>
    <row r="125" ht="15.75" customHeight="1">
      <c r="A125" s="724" t="s">
        <v>246</v>
      </c>
      <c r="B125" s="725" t="s">
        <v>5480</v>
      </c>
      <c r="C125" s="726">
        <v>716807.8</v>
      </c>
    </row>
    <row r="126" ht="15.75" customHeight="1">
      <c r="A126" s="724" t="s">
        <v>1958</v>
      </c>
      <c r="B126" s="725" t="s">
        <v>5530</v>
      </c>
      <c r="C126" s="726">
        <v>712727.0</v>
      </c>
    </row>
    <row r="127" ht="15.75" customHeight="1">
      <c r="A127" s="724" t="s">
        <v>1981</v>
      </c>
      <c r="B127" s="725" t="s">
        <v>5455</v>
      </c>
      <c r="C127" s="726">
        <v>699387.0</v>
      </c>
    </row>
    <row r="128" ht="15.75" customHeight="1">
      <c r="A128" s="724" t="s">
        <v>1725</v>
      </c>
      <c r="B128" s="725" t="s">
        <v>5531</v>
      </c>
      <c r="C128" s="726">
        <v>697054.8</v>
      </c>
    </row>
    <row r="129" ht="15.75" customHeight="1">
      <c r="A129" s="724" t="s">
        <v>313</v>
      </c>
      <c r="B129" s="725" t="s">
        <v>5532</v>
      </c>
      <c r="C129" s="726">
        <v>691140.9</v>
      </c>
    </row>
    <row r="130" ht="15.75" customHeight="1">
      <c r="A130" s="724" t="s">
        <v>2126</v>
      </c>
      <c r="B130" s="725" t="s">
        <v>5533</v>
      </c>
      <c r="C130" s="726">
        <v>679148.8</v>
      </c>
    </row>
    <row r="131" ht="15.75" customHeight="1">
      <c r="A131" s="724" t="s">
        <v>980</v>
      </c>
      <c r="B131" s="725" t="s">
        <v>5534</v>
      </c>
      <c r="C131" s="726">
        <v>678984.4</v>
      </c>
    </row>
    <row r="132" ht="15.75" customHeight="1">
      <c r="A132" s="724" t="s">
        <v>1096</v>
      </c>
      <c r="B132" s="725" t="s">
        <v>5535</v>
      </c>
      <c r="C132" s="726">
        <v>665689.5</v>
      </c>
    </row>
    <row r="133" ht="15.75" customHeight="1">
      <c r="A133" s="724" t="s">
        <v>1731</v>
      </c>
      <c r="B133" s="725" t="s">
        <v>5427</v>
      </c>
      <c r="C133" s="726">
        <v>665132.6</v>
      </c>
    </row>
    <row r="134" ht="15.75" customHeight="1">
      <c r="A134" s="724" t="s">
        <v>1609</v>
      </c>
      <c r="B134" s="725" t="s">
        <v>5497</v>
      </c>
      <c r="C134" s="726">
        <v>660922.8</v>
      </c>
    </row>
    <row r="135" ht="15.75" customHeight="1">
      <c r="A135" s="724" t="s">
        <v>1189</v>
      </c>
      <c r="B135" s="725" t="s">
        <v>5536</v>
      </c>
      <c r="C135" s="726">
        <v>659016.3</v>
      </c>
    </row>
    <row r="136" ht="15.75" customHeight="1">
      <c r="A136" s="724" t="s">
        <v>1191</v>
      </c>
      <c r="B136" s="725" t="s">
        <v>5523</v>
      </c>
      <c r="C136" s="726">
        <v>657685.6</v>
      </c>
    </row>
    <row r="137" ht="15.75" customHeight="1">
      <c r="A137" s="724" t="s">
        <v>2023</v>
      </c>
      <c r="B137" s="725" t="s">
        <v>5537</v>
      </c>
      <c r="C137" s="726">
        <v>655085.0</v>
      </c>
    </row>
    <row r="138" ht="15.75" customHeight="1">
      <c r="A138" s="724" t="s">
        <v>167</v>
      </c>
      <c r="B138" s="725" t="s">
        <v>5538</v>
      </c>
      <c r="C138" s="726">
        <v>650314.2</v>
      </c>
    </row>
    <row r="139" ht="15.75" customHeight="1">
      <c r="A139" s="724" t="s">
        <v>472</v>
      </c>
      <c r="B139" s="725" t="s">
        <v>5449</v>
      </c>
      <c r="C139" s="726">
        <v>645496.2</v>
      </c>
    </row>
    <row r="140" ht="15.75" customHeight="1">
      <c r="A140" s="724" t="s">
        <v>1751</v>
      </c>
      <c r="B140" s="725" t="s">
        <v>5427</v>
      </c>
      <c r="C140" s="726">
        <v>643655.8</v>
      </c>
    </row>
    <row r="141" ht="15.75" customHeight="1">
      <c r="A141" s="724" t="s">
        <v>2147</v>
      </c>
      <c r="B141" s="725" t="s">
        <v>5461</v>
      </c>
      <c r="C141" s="726">
        <v>631528.7</v>
      </c>
    </row>
    <row r="142" ht="15.75" customHeight="1">
      <c r="A142" s="724" t="s">
        <v>434</v>
      </c>
      <c r="B142" s="725" t="s">
        <v>5539</v>
      </c>
      <c r="C142" s="726">
        <v>631300.0</v>
      </c>
    </row>
    <row r="143" ht="15.75" customHeight="1">
      <c r="A143" s="724" t="s">
        <v>1704</v>
      </c>
      <c r="B143" s="725" t="s">
        <v>5479</v>
      </c>
      <c r="C143" s="726">
        <v>624250.1</v>
      </c>
    </row>
    <row r="144" ht="15.75" customHeight="1">
      <c r="A144" s="724" t="s">
        <v>463</v>
      </c>
      <c r="B144" s="725" t="s">
        <v>5449</v>
      </c>
      <c r="C144" s="726">
        <v>623417.1</v>
      </c>
    </row>
    <row r="145" ht="15.75" customHeight="1">
      <c r="A145" s="724" t="s">
        <v>340</v>
      </c>
      <c r="B145" s="725" t="s">
        <v>5424</v>
      </c>
      <c r="C145" s="726">
        <v>622069.6</v>
      </c>
    </row>
    <row r="146" ht="15.75" customHeight="1">
      <c r="A146" s="724" t="s">
        <v>900</v>
      </c>
      <c r="B146" s="725" t="s">
        <v>5540</v>
      </c>
      <c r="C146" s="726">
        <v>617483.9</v>
      </c>
    </row>
    <row r="147" ht="15.75" customHeight="1">
      <c r="A147" s="724" t="s">
        <v>5541</v>
      </c>
      <c r="B147" s="725" t="s">
        <v>5542</v>
      </c>
      <c r="C147" s="726">
        <v>616192.6</v>
      </c>
    </row>
    <row r="148" ht="15.75" customHeight="1">
      <c r="A148" s="724" t="s">
        <v>5543</v>
      </c>
      <c r="B148" s="725" t="s">
        <v>5451</v>
      </c>
      <c r="C148" s="726">
        <v>610677.0</v>
      </c>
    </row>
    <row r="149" ht="15.75" customHeight="1">
      <c r="A149" s="724" t="s">
        <v>802</v>
      </c>
      <c r="B149" s="725" t="s">
        <v>5437</v>
      </c>
      <c r="C149" s="726">
        <v>607637.8</v>
      </c>
    </row>
    <row r="150" ht="15.75" customHeight="1">
      <c r="A150" s="724" t="s">
        <v>1846</v>
      </c>
      <c r="B150" s="725" t="s">
        <v>5544</v>
      </c>
      <c r="C150" s="726">
        <v>602211.2</v>
      </c>
    </row>
    <row r="151" ht="15.75" customHeight="1">
      <c r="A151" s="724" t="s">
        <v>1171</v>
      </c>
      <c r="B151" s="725" t="s">
        <v>5545</v>
      </c>
      <c r="C151" s="726">
        <v>596584.1</v>
      </c>
    </row>
    <row r="152" ht="15.75" customHeight="1">
      <c r="A152" s="724" t="s">
        <v>1643</v>
      </c>
      <c r="B152" s="725" t="s">
        <v>5546</v>
      </c>
      <c r="C152" s="726">
        <v>593933.6</v>
      </c>
    </row>
    <row r="153" ht="15.75" customHeight="1">
      <c r="A153" s="724" t="s">
        <v>1655</v>
      </c>
      <c r="B153" s="725" t="s">
        <v>5445</v>
      </c>
      <c r="C153" s="726">
        <v>593301.3</v>
      </c>
    </row>
    <row r="154" ht="15.75" customHeight="1">
      <c r="A154" s="724" t="s">
        <v>5547</v>
      </c>
      <c r="B154" s="725" t="s">
        <v>5548</v>
      </c>
      <c r="C154" s="726">
        <v>592044.7</v>
      </c>
    </row>
    <row r="155" ht="15.75" customHeight="1">
      <c r="A155" s="724" t="s">
        <v>1110</v>
      </c>
      <c r="B155" s="725" t="s">
        <v>5549</v>
      </c>
      <c r="C155" s="726">
        <v>591005.5</v>
      </c>
    </row>
    <row r="156" ht="15.75" customHeight="1">
      <c r="A156" s="724" t="s">
        <v>2507</v>
      </c>
      <c r="B156" s="725" t="s">
        <v>5433</v>
      </c>
      <c r="C156" s="726">
        <v>590350.2</v>
      </c>
    </row>
    <row r="157" ht="15.75" customHeight="1">
      <c r="A157" s="724" t="s">
        <v>5550</v>
      </c>
      <c r="B157" s="725" t="s">
        <v>5551</v>
      </c>
      <c r="C157" s="726">
        <v>588093.4</v>
      </c>
    </row>
    <row r="158" ht="15.75" customHeight="1">
      <c r="A158" s="724" t="s">
        <v>2289</v>
      </c>
      <c r="B158" s="725" t="s">
        <v>5552</v>
      </c>
      <c r="C158" s="726">
        <v>587011.3</v>
      </c>
    </row>
    <row r="159" ht="15.75" customHeight="1">
      <c r="A159" s="724" t="s">
        <v>1183</v>
      </c>
      <c r="B159" s="725" t="s">
        <v>5553</v>
      </c>
      <c r="C159" s="726">
        <v>586925.0</v>
      </c>
    </row>
    <row r="160" ht="15.75" customHeight="1">
      <c r="A160" s="724" t="s">
        <v>142</v>
      </c>
      <c r="B160" s="725" t="s">
        <v>5554</v>
      </c>
      <c r="C160" s="726">
        <v>586584.0</v>
      </c>
    </row>
    <row r="161" ht="15.75" customHeight="1">
      <c r="A161" s="724" t="s">
        <v>2243</v>
      </c>
      <c r="B161" s="725" t="s">
        <v>5555</v>
      </c>
      <c r="C161" s="726">
        <v>585312.6</v>
      </c>
    </row>
    <row r="162" ht="15.75" customHeight="1">
      <c r="A162" s="724" t="s">
        <v>326</v>
      </c>
      <c r="B162" s="725" t="s">
        <v>5556</v>
      </c>
      <c r="C162" s="726">
        <v>583473.3</v>
      </c>
    </row>
    <row r="163" ht="15.75" customHeight="1">
      <c r="A163" s="724" t="s">
        <v>348</v>
      </c>
      <c r="B163" s="725" t="s">
        <v>5424</v>
      </c>
      <c r="C163" s="726">
        <v>580260.7</v>
      </c>
    </row>
    <row r="164" ht="15.75" customHeight="1">
      <c r="A164" s="724" t="s">
        <v>1899</v>
      </c>
      <c r="B164" s="725" t="s">
        <v>5557</v>
      </c>
      <c r="C164" s="726">
        <v>579952.3</v>
      </c>
    </row>
    <row r="165" ht="15.75" customHeight="1">
      <c r="A165" s="724" t="s">
        <v>881</v>
      </c>
      <c r="B165" s="725" t="s">
        <v>5558</v>
      </c>
      <c r="C165" s="726">
        <v>568910.2</v>
      </c>
    </row>
    <row r="166" ht="15.75" customHeight="1">
      <c r="A166" s="724" t="s">
        <v>1826</v>
      </c>
      <c r="B166" s="725" t="s">
        <v>5559</v>
      </c>
      <c r="C166" s="726">
        <v>568391.7</v>
      </c>
    </row>
    <row r="167" ht="15.75" customHeight="1">
      <c r="A167" s="724" t="s">
        <v>600</v>
      </c>
      <c r="B167" s="725" t="s">
        <v>5560</v>
      </c>
      <c r="C167" s="726">
        <v>566701.2</v>
      </c>
    </row>
    <row r="168" ht="15.75" customHeight="1">
      <c r="A168" s="724" t="s">
        <v>1186</v>
      </c>
      <c r="B168" s="725" t="s">
        <v>5561</v>
      </c>
      <c r="C168" s="726">
        <v>562362.1</v>
      </c>
    </row>
    <row r="169" ht="15.75" customHeight="1">
      <c r="A169" s="724" t="s">
        <v>502</v>
      </c>
      <c r="B169" s="725" t="s">
        <v>5562</v>
      </c>
      <c r="C169" s="726">
        <v>560782.6</v>
      </c>
    </row>
    <row r="170" ht="15.75" customHeight="1">
      <c r="A170" s="724" t="s">
        <v>477</v>
      </c>
      <c r="B170" s="725" t="s">
        <v>5449</v>
      </c>
      <c r="C170" s="726">
        <v>556842.1</v>
      </c>
    </row>
    <row r="171" ht="15.75" customHeight="1">
      <c r="A171" s="724" t="s">
        <v>2024</v>
      </c>
      <c r="B171" s="725" t="s">
        <v>5537</v>
      </c>
      <c r="C171" s="726">
        <v>555865.2</v>
      </c>
    </row>
    <row r="172" ht="15.75" customHeight="1">
      <c r="A172" s="724" t="s">
        <v>1600</v>
      </c>
      <c r="B172" s="725" t="s">
        <v>5497</v>
      </c>
      <c r="C172" s="726">
        <v>543323.3</v>
      </c>
    </row>
    <row r="173" ht="15.75" customHeight="1">
      <c r="A173" s="724" t="s">
        <v>758</v>
      </c>
      <c r="B173" s="725" t="s">
        <v>5563</v>
      </c>
      <c r="C173" s="726">
        <v>539225.9</v>
      </c>
    </row>
    <row r="174" ht="15.75" customHeight="1">
      <c r="A174" s="724" t="s">
        <v>2406</v>
      </c>
      <c r="B174" s="725" t="s">
        <v>5564</v>
      </c>
      <c r="C174" s="726">
        <v>531134.0</v>
      </c>
    </row>
    <row r="175" ht="15.75" customHeight="1">
      <c r="A175" s="724" t="s">
        <v>904</v>
      </c>
      <c r="B175" s="725" t="s">
        <v>5565</v>
      </c>
      <c r="C175" s="726">
        <v>514482.3</v>
      </c>
    </row>
    <row r="176" ht="15.75" customHeight="1">
      <c r="A176" s="724" t="s">
        <v>1283</v>
      </c>
      <c r="B176" s="725" t="s">
        <v>5566</v>
      </c>
      <c r="C176" s="726">
        <v>514289.9</v>
      </c>
    </row>
    <row r="177" ht="15.75" customHeight="1">
      <c r="A177" s="724" t="s">
        <v>1437</v>
      </c>
      <c r="B177" s="725" t="s">
        <v>5426</v>
      </c>
      <c r="C177" s="726">
        <v>514024.2</v>
      </c>
    </row>
    <row r="178" ht="15.75" customHeight="1">
      <c r="A178" s="724" t="s">
        <v>799</v>
      </c>
      <c r="B178" s="725" t="s">
        <v>5567</v>
      </c>
      <c r="C178" s="726">
        <v>508636.8</v>
      </c>
    </row>
    <row r="179" ht="15.75" customHeight="1">
      <c r="A179" s="724" t="s">
        <v>2416</v>
      </c>
      <c r="B179" s="725" t="s">
        <v>5568</v>
      </c>
      <c r="C179" s="726">
        <v>506735.5</v>
      </c>
    </row>
    <row r="180" ht="15.75" customHeight="1">
      <c r="A180" s="724" t="s">
        <v>1137</v>
      </c>
      <c r="B180" s="725" t="s">
        <v>5439</v>
      </c>
      <c r="C180" s="726">
        <v>505945.1</v>
      </c>
    </row>
    <row r="181" ht="15.75" customHeight="1">
      <c r="A181" s="724" t="s">
        <v>2269</v>
      </c>
      <c r="B181" s="725" t="s">
        <v>5569</v>
      </c>
      <c r="C181" s="726">
        <v>505881.0</v>
      </c>
    </row>
    <row r="182" ht="15.75" customHeight="1">
      <c r="A182" s="724" t="s">
        <v>1866</v>
      </c>
      <c r="B182" s="725" t="s">
        <v>5570</v>
      </c>
      <c r="C182" s="726">
        <v>499653.3</v>
      </c>
    </row>
    <row r="183" ht="15.75" customHeight="1">
      <c r="A183" s="724" t="s">
        <v>5571</v>
      </c>
      <c r="B183" s="725" t="s">
        <v>5465</v>
      </c>
      <c r="C183" s="726">
        <v>492938.2</v>
      </c>
    </row>
    <row r="184" ht="15.75" customHeight="1">
      <c r="A184" s="724" t="s">
        <v>1312</v>
      </c>
      <c r="B184" s="725" t="s">
        <v>5506</v>
      </c>
      <c r="C184" s="726">
        <v>492665.0</v>
      </c>
    </row>
    <row r="185" ht="15.75" customHeight="1">
      <c r="A185" s="724" t="s">
        <v>1243</v>
      </c>
      <c r="B185" s="725" t="s">
        <v>5572</v>
      </c>
      <c r="C185" s="726">
        <v>492092.6</v>
      </c>
    </row>
    <row r="186" ht="15.75" customHeight="1">
      <c r="A186" s="724" t="s">
        <v>1663</v>
      </c>
      <c r="B186" s="725" t="s">
        <v>5445</v>
      </c>
      <c r="C186" s="726">
        <v>487421.5</v>
      </c>
    </row>
    <row r="187" ht="15.75" customHeight="1">
      <c r="A187" s="724" t="s">
        <v>1164</v>
      </c>
      <c r="B187" s="725" t="s">
        <v>5573</v>
      </c>
      <c r="C187" s="726">
        <v>482226.2</v>
      </c>
    </row>
    <row r="188" ht="15.75" customHeight="1">
      <c r="A188" s="724" t="s">
        <v>486</v>
      </c>
      <c r="B188" s="725" t="s">
        <v>5574</v>
      </c>
      <c r="C188" s="726">
        <v>479521.1</v>
      </c>
    </row>
    <row r="189" ht="15.75" customHeight="1">
      <c r="A189" s="724" t="s">
        <v>2056</v>
      </c>
      <c r="B189" s="725" t="s">
        <v>5575</v>
      </c>
      <c r="C189" s="726">
        <v>477076.2</v>
      </c>
    </row>
    <row r="190" ht="15.75" customHeight="1">
      <c r="A190" s="724" t="s">
        <v>1987</v>
      </c>
      <c r="B190" s="725" t="s">
        <v>5455</v>
      </c>
      <c r="C190" s="726">
        <v>474587.3</v>
      </c>
    </row>
    <row r="191" ht="15.75" customHeight="1">
      <c r="A191" s="724" t="s">
        <v>5576</v>
      </c>
      <c r="B191" s="725" t="s">
        <v>5455</v>
      </c>
      <c r="C191" s="726">
        <v>473599.9</v>
      </c>
    </row>
    <row r="192" ht="15.75" customHeight="1">
      <c r="A192" s="724" t="s">
        <v>2489</v>
      </c>
      <c r="B192" s="725" t="s">
        <v>5577</v>
      </c>
      <c r="C192" s="726">
        <v>468252.1</v>
      </c>
    </row>
    <row r="193" ht="15.75" customHeight="1">
      <c r="A193" s="724" t="s">
        <v>5578</v>
      </c>
      <c r="B193" s="725" t="s">
        <v>5579</v>
      </c>
      <c r="C193" s="726">
        <v>458137.4</v>
      </c>
    </row>
    <row r="194" ht="15.75" customHeight="1">
      <c r="A194" s="724" t="s">
        <v>2286</v>
      </c>
      <c r="B194" s="725" t="s">
        <v>5580</v>
      </c>
      <c r="C194" s="726">
        <v>457983.0</v>
      </c>
    </row>
    <row r="195" ht="15.75" customHeight="1">
      <c r="A195" s="724" t="s">
        <v>1735</v>
      </c>
      <c r="B195" s="725" t="s">
        <v>5427</v>
      </c>
      <c r="C195" s="726">
        <v>456932.6</v>
      </c>
    </row>
    <row r="196" ht="15.75" customHeight="1">
      <c r="A196" s="724" t="s">
        <v>2358</v>
      </c>
      <c r="B196" s="725" t="s">
        <v>5581</v>
      </c>
      <c r="C196" s="726">
        <v>456658.1</v>
      </c>
    </row>
    <row r="197" ht="15.75" customHeight="1">
      <c r="A197" s="724" t="s">
        <v>416</v>
      </c>
      <c r="B197" s="725" t="s">
        <v>5582</v>
      </c>
      <c r="C197" s="726">
        <v>453725.4</v>
      </c>
    </row>
    <row r="198" ht="15.75" customHeight="1">
      <c r="A198" s="724" t="s">
        <v>658</v>
      </c>
      <c r="B198" s="725" t="s">
        <v>4139</v>
      </c>
      <c r="C198" s="726">
        <v>453603.7</v>
      </c>
    </row>
    <row r="199" ht="15.75" customHeight="1">
      <c r="A199" s="724" t="s">
        <v>768</v>
      </c>
      <c r="B199" s="725" t="s">
        <v>5434</v>
      </c>
      <c r="C199" s="726">
        <v>447253.5</v>
      </c>
    </row>
    <row r="200" ht="15.75" customHeight="1">
      <c r="A200" s="724" t="s">
        <v>1997</v>
      </c>
      <c r="B200" s="725" t="s">
        <v>5455</v>
      </c>
      <c r="C200" s="726">
        <v>444516.9</v>
      </c>
    </row>
    <row r="201" ht="15.75" customHeight="1">
      <c r="A201" s="724" t="s">
        <v>610</v>
      </c>
      <c r="B201" s="725" t="s">
        <v>5583</v>
      </c>
      <c r="C201" s="726">
        <v>442383.1</v>
      </c>
    </row>
    <row r="202" ht="15.75" customHeight="1">
      <c r="A202" s="724" t="s">
        <v>1915</v>
      </c>
      <c r="B202" s="725" t="s">
        <v>5584</v>
      </c>
      <c r="C202" s="726">
        <v>441284.1</v>
      </c>
    </row>
    <row r="203" ht="15.75" customHeight="1">
      <c r="A203" s="724" t="s">
        <v>1157</v>
      </c>
      <c r="B203" s="725" t="s">
        <v>5548</v>
      </c>
      <c r="C203" s="726">
        <v>437692.2</v>
      </c>
    </row>
    <row r="204" ht="15.75" customHeight="1">
      <c r="A204" s="724" t="s">
        <v>2491</v>
      </c>
      <c r="B204" s="725" t="s">
        <v>5585</v>
      </c>
      <c r="C204" s="726">
        <v>436388.8</v>
      </c>
    </row>
    <row r="205" ht="15.75" customHeight="1">
      <c r="A205" s="724" t="s">
        <v>1330</v>
      </c>
      <c r="B205" s="725" t="s">
        <v>5475</v>
      </c>
      <c r="C205" s="726">
        <v>435906.1</v>
      </c>
    </row>
    <row r="206" ht="15.75" customHeight="1">
      <c r="A206" s="724" t="s">
        <v>2037</v>
      </c>
      <c r="B206" s="725" t="s">
        <v>5586</v>
      </c>
      <c r="C206" s="726">
        <v>434582.1</v>
      </c>
    </row>
    <row r="207" ht="15.75" customHeight="1">
      <c r="A207" s="724" t="s">
        <v>1583</v>
      </c>
      <c r="B207" s="725" t="s">
        <v>5587</v>
      </c>
      <c r="C207" s="726">
        <v>432616.7</v>
      </c>
    </row>
    <row r="208" ht="15.75" customHeight="1">
      <c r="A208" s="724" t="s">
        <v>1744</v>
      </c>
      <c r="B208" s="725" t="s">
        <v>5427</v>
      </c>
      <c r="C208" s="726">
        <v>431436.5</v>
      </c>
    </row>
    <row r="209" ht="15.75" customHeight="1">
      <c r="A209" s="724" t="s">
        <v>1079</v>
      </c>
      <c r="B209" s="725" t="s">
        <v>5588</v>
      </c>
      <c r="C209" s="726">
        <v>431283.6</v>
      </c>
    </row>
    <row r="210" ht="15.75" customHeight="1">
      <c r="A210" s="724" t="s">
        <v>1054</v>
      </c>
      <c r="B210" s="725" t="s">
        <v>5589</v>
      </c>
      <c r="C210" s="726">
        <v>428712.4</v>
      </c>
    </row>
    <row r="211" ht="15.75" customHeight="1">
      <c r="A211" s="724" t="s">
        <v>1636</v>
      </c>
      <c r="B211" s="725" t="s">
        <v>5590</v>
      </c>
      <c r="C211" s="726">
        <v>426240.8</v>
      </c>
    </row>
    <row r="212" ht="15.75" customHeight="1">
      <c r="A212" s="724" t="s">
        <v>2393</v>
      </c>
      <c r="B212" s="725" t="s">
        <v>5591</v>
      </c>
      <c r="C212" s="726">
        <v>426095.5</v>
      </c>
    </row>
    <row r="213" ht="15.75" customHeight="1">
      <c r="A213" s="724" t="s">
        <v>1309</v>
      </c>
      <c r="B213" s="725" t="s">
        <v>5592</v>
      </c>
      <c r="C213" s="726">
        <v>421909.6</v>
      </c>
    </row>
    <row r="214" ht="15.75" customHeight="1">
      <c r="A214" s="724" t="s">
        <v>2339</v>
      </c>
      <c r="B214" s="725" t="s">
        <v>5593</v>
      </c>
      <c r="C214" s="726">
        <v>417276.0</v>
      </c>
    </row>
    <row r="215" ht="15.75" customHeight="1">
      <c r="A215" s="724" t="s">
        <v>654</v>
      </c>
      <c r="B215" s="725" t="s">
        <v>5594</v>
      </c>
      <c r="C215" s="726">
        <v>410748.2</v>
      </c>
    </row>
    <row r="216" ht="15.75" customHeight="1">
      <c r="A216" s="724" t="s">
        <v>1014</v>
      </c>
      <c r="B216" s="725" t="s">
        <v>5595</v>
      </c>
      <c r="C216" s="726">
        <v>408213.0</v>
      </c>
    </row>
    <row r="217" ht="15.75" customHeight="1">
      <c r="A217" s="724" t="s">
        <v>2016</v>
      </c>
      <c r="B217" s="725" t="s">
        <v>5537</v>
      </c>
      <c r="C217" s="726">
        <v>406574.5</v>
      </c>
    </row>
    <row r="218" ht="15.75" customHeight="1">
      <c r="A218" s="724" t="s">
        <v>1278</v>
      </c>
      <c r="B218" s="725" t="s">
        <v>5566</v>
      </c>
      <c r="C218" s="726">
        <v>406148.9</v>
      </c>
    </row>
    <row r="219" ht="15.75" customHeight="1">
      <c r="A219" s="724" t="s">
        <v>1267</v>
      </c>
      <c r="B219" s="725" t="s">
        <v>5596</v>
      </c>
      <c r="C219" s="726">
        <v>403269.1</v>
      </c>
    </row>
    <row r="220" ht="15.75" customHeight="1">
      <c r="A220" s="724" t="s">
        <v>1569</v>
      </c>
      <c r="B220" s="725" t="s">
        <v>5597</v>
      </c>
      <c r="C220" s="726">
        <v>401894.7</v>
      </c>
    </row>
    <row r="221" ht="15.75" customHeight="1">
      <c r="A221" s="724" t="s">
        <v>104</v>
      </c>
      <c r="B221" s="725" t="s">
        <v>5598</v>
      </c>
      <c r="C221" s="726">
        <v>401775.4</v>
      </c>
    </row>
    <row r="222" ht="15.75" customHeight="1">
      <c r="A222" s="724" t="s">
        <v>1628</v>
      </c>
      <c r="B222" s="725" t="s">
        <v>5599</v>
      </c>
      <c r="C222" s="726">
        <v>400614.0</v>
      </c>
    </row>
    <row r="223" ht="15.75" customHeight="1">
      <c r="A223" s="724" t="s">
        <v>2447</v>
      </c>
      <c r="B223" s="725" t="s">
        <v>5600</v>
      </c>
      <c r="C223" s="726">
        <v>399435.0</v>
      </c>
    </row>
    <row r="224" ht="15.75" customHeight="1">
      <c r="A224" s="724" t="s">
        <v>1319</v>
      </c>
      <c r="B224" s="725" t="s">
        <v>5475</v>
      </c>
      <c r="C224" s="726">
        <v>396450.6</v>
      </c>
    </row>
    <row r="225" ht="15.75" customHeight="1">
      <c r="A225" s="724" t="s">
        <v>1150</v>
      </c>
      <c r="B225" s="725" t="s">
        <v>5548</v>
      </c>
      <c r="C225" s="726">
        <v>393584.1</v>
      </c>
    </row>
    <row r="226" ht="15.75" customHeight="1">
      <c r="A226" s="724" t="s">
        <v>1633</v>
      </c>
      <c r="B226" s="725" t="s">
        <v>5601</v>
      </c>
      <c r="C226" s="726">
        <v>392167.2</v>
      </c>
    </row>
    <row r="227" ht="15.75" customHeight="1">
      <c r="A227" s="724" t="s">
        <v>1455</v>
      </c>
      <c r="B227" s="725" t="s">
        <v>5517</v>
      </c>
      <c r="C227" s="726">
        <v>381986.6</v>
      </c>
    </row>
    <row r="228" ht="15.75" customHeight="1">
      <c r="A228" s="724" t="s">
        <v>890</v>
      </c>
      <c r="B228" s="725" t="s">
        <v>5602</v>
      </c>
      <c r="C228" s="726">
        <v>380135.2</v>
      </c>
    </row>
    <row r="229" ht="15.75" customHeight="1">
      <c r="A229" s="724" t="s">
        <v>2165</v>
      </c>
      <c r="B229" s="725" t="s">
        <v>5603</v>
      </c>
      <c r="C229" s="726">
        <v>377223.5</v>
      </c>
    </row>
    <row r="230" ht="15.75" customHeight="1">
      <c r="A230" s="724" t="s">
        <v>1946</v>
      </c>
      <c r="B230" s="725" t="s">
        <v>5530</v>
      </c>
      <c r="C230" s="726">
        <v>374233.8</v>
      </c>
    </row>
    <row r="231" ht="15.75" customHeight="1">
      <c r="A231" s="724" t="s">
        <v>1090</v>
      </c>
      <c r="B231" s="725" t="s">
        <v>5604</v>
      </c>
      <c r="C231" s="726">
        <v>373798.9</v>
      </c>
    </row>
    <row r="232" ht="15.75" customHeight="1">
      <c r="A232" s="724" t="s">
        <v>509</v>
      </c>
      <c r="B232" s="725" t="s">
        <v>5465</v>
      </c>
      <c r="C232" s="726">
        <v>372593.5</v>
      </c>
    </row>
    <row r="233" ht="15.75" customHeight="1">
      <c r="A233" s="724" t="s">
        <v>2400</v>
      </c>
      <c r="B233" s="725" t="s">
        <v>5564</v>
      </c>
      <c r="C233" s="726">
        <v>372310.7</v>
      </c>
    </row>
    <row r="234" ht="15.75" customHeight="1">
      <c r="A234" s="724" t="s">
        <v>2247</v>
      </c>
      <c r="B234" s="725" t="s">
        <v>5555</v>
      </c>
      <c r="C234" s="726">
        <v>369235.6</v>
      </c>
    </row>
    <row r="235" ht="15.75" customHeight="1">
      <c r="A235" s="724" t="s">
        <v>559</v>
      </c>
      <c r="B235" s="725" t="s">
        <v>5605</v>
      </c>
      <c r="C235" s="726">
        <v>365124.1</v>
      </c>
    </row>
    <row r="236" ht="15.75" customHeight="1">
      <c r="A236" s="724" t="s">
        <v>1712</v>
      </c>
      <c r="B236" s="725" t="s">
        <v>5606</v>
      </c>
      <c r="C236" s="726">
        <v>363418.7</v>
      </c>
    </row>
    <row r="237" ht="15.75" customHeight="1">
      <c r="A237" s="724" t="s">
        <v>997</v>
      </c>
      <c r="B237" s="725" t="s">
        <v>5607</v>
      </c>
      <c r="C237" s="726">
        <v>362926.8</v>
      </c>
    </row>
    <row r="238" ht="15.75" customHeight="1">
      <c r="A238" s="724" t="s">
        <v>734</v>
      </c>
      <c r="B238" s="725" t="s">
        <v>5608</v>
      </c>
      <c r="C238" s="726">
        <v>361424.0</v>
      </c>
    </row>
    <row r="239" ht="15.75" customHeight="1">
      <c r="A239" s="724" t="s">
        <v>208</v>
      </c>
      <c r="B239" s="725" t="s">
        <v>5609</v>
      </c>
      <c r="C239" s="726">
        <v>360681.5</v>
      </c>
    </row>
    <row r="240" ht="15.75" customHeight="1">
      <c r="A240" s="724" t="s">
        <v>587</v>
      </c>
      <c r="B240" s="725" t="s">
        <v>5610</v>
      </c>
      <c r="C240" s="726">
        <v>352924.8</v>
      </c>
    </row>
    <row r="241" ht="15.75" customHeight="1">
      <c r="A241" s="724" t="s">
        <v>1524</v>
      </c>
      <c r="B241" s="725" t="s">
        <v>5611</v>
      </c>
      <c r="C241" s="726">
        <v>345360.9</v>
      </c>
    </row>
    <row r="242" ht="15.75" customHeight="1">
      <c r="A242" s="724" t="s">
        <v>731</v>
      </c>
      <c r="B242" s="725" t="s">
        <v>5612</v>
      </c>
      <c r="C242" s="726">
        <v>345094.3</v>
      </c>
    </row>
    <row r="243" ht="15.75" customHeight="1">
      <c r="A243" s="724" t="s">
        <v>5613</v>
      </c>
      <c r="B243" s="725" t="s">
        <v>5614</v>
      </c>
      <c r="C243" s="726">
        <v>344703.9</v>
      </c>
    </row>
    <row r="244" ht="15.75" customHeight="1">
      <c r="A244" s="724" t="s">
        <v>5615</v>
      </c>
      <c r="B244" s="725" t="s">
        <v>5616</v>
      </c>
      <c r="C244" s="726">
        <v>342876.0</v>
      </c>
    </row>
    <row r="245" ht="15.75" customHeight="1">
      <c r="A245" s="724" t="s">
        <v>1213</v>
      </c>
      <c r="B245" s="725" t="s">
        <v>5617</v>
      </c>
      <c r="C245" s="726">
        <v>339896.3</v>
      </c>
    </row>
    <row r="246" ht="15.75" customHeight="1">
      <c r="A246" s="724" t="s">
        <v>796</v>
      </c>
      <c r="B246" s="725" t="s">
        <v>5618</v>
      </c>
      <c r="C246" s="726">
        <v>339766.0</v>
      </c>
    </row>
    <row r="247" ht="15.75" customHeight="1">
      <c r="A247" s="724" t="s">
        <v>1800</v>
      </c>
      <c r="B247" s="725" t="s">
        <v>5619</v>
      </c>
      <c r="C247" s="726">
        <v>336443.5</v>
      </c>
    </row>
    <row r="248" ht="15.75" customHeight="1">
      <c r="A248" s="724" t="s">
        <v>293</v>
      </c>
      <c r="B248" s="725" t="s">
        <v>5474</v>
      </c>
      <c r="C248" s="726">
        <v>335833.2</v>
      </c>
    </row>
    <row r="249" ht="15.75" customHeight="1">
      <c r="A249" s="724" t="s">
        <v>1264</v>
      </c>
      <c r="B249" s="725" t="s">
        <v>5620</v>
      </c>
      <c r="C249" s="726">
        <v>334977.4</v>
      </c>
    </row>
    <row r="250" ht="15.75" customHeight="1">
      <c r="A250" s="724" t="s">
        <v>1693</v>
      </c>
      <c r="B250" s="725" t="s">
        <v>5479</v>
      </c>
      <c r="C250" s="726">
        <v>333210.1</v>
      </c>
    </row>
    <row r="251" ht="15.75" customHeight="1">
      <c r="A251" s="724" t="s">
        <v>2140</v>
      </c>
      <c r="B251" s="725" t="s">
        <v>5466</v>
      </c>
      <c r="C251" s="726">
        <v>329508.0</v>
      </c>
    </row>
    <row r="252" ht="15.75" customHeight="1">
      <c r="A252" s="724" t="s">
        <v>1398</v>
      </c>
      <c r="B252" s="725" t="s">
        <v>5621</v>
      </c>
      <c r="C252" s="726">
        <v>327958.0</v>
      </c>
    </row>
    <row r="253" ht="15.75" customHeight="1">
      <c r="A253" s="724" t="s">
        <v>2423</v>
      </c>
      <c r="B253" s="725" t="s">
        <v>5511</v>
      </c>
      <c r="C253" s="726">
        <v>323284.9</v>
      </c>
    </row>
    <row r="254" ht="15.75" customHeight="1">
      <c r="A254" s="724" t="s">
        <v>1470</v>
      </c>
      <c r="B254" s="725" t="s">
        <v>5622</v>
      </c>
      <c r="C254" s="726">
        <v>318896.8</v>
      </c>
    </row>
    <row r="255" ht="15.75" customHeight="1">
      <c r="A255" s="724" t="s">
        <v>5623</v>
      </c>
      <c r="B255" s="725" t="s">
        <v>5548</v>
      </c>
      <c r="C255" s="726">
        <v>318352.5</v>
      </c>
    </row>
    <row r="256" ht="15.75" customHeight="1">
      <c r="A256" s="724" t="s">
        <v>563</v>
      </c>
      <c r="B256" s="725" t="s">
        <v>5624</v>
      </c>
      <c r="C256" s="726">
        <v>315019.1</v>
      </c>
    </row>
    <row r="257" ht="15.75" customHeight="1">
      <c r="A257" s="724" t="s">
        <v>2020</v>
      </c>
      <c r="B257" s="725" t="s">
        <v>5537</v>
      </c>
      <c r="C257" s="726">
        <v>314625.8</v>
      </c>
    </row>
    <row r="258" ht="15.75" customHeight="1">
      <c r="A258" s="724" t="s">
        <v>1852</v>
      </c>
      <c r="B258" s="725" t="s">
        <v>5484</v>
      </c>
      <c r="C258" s="726">
        <v>309299.0</v>
      </c>
    </row>
    <row r="259" ht="15.75" customHeight="1">
      <c r="A259" s="724" t="s">
        <v>525</v>
      </c>
      <c r="B259" s="725" t="s">
        <v>5465</v>
      </c>
      <c r="C259" s="726">
        <v>306506.1</v>
      </c>
    </row>
    <row r="260" ht="15.75" customHeight="1">
      <c r="A260" s="724" t="s">
        <v>535</v>
      </c>
      <c r="B260" s="725" t="s">
        <v>5465</v>
      </c>
      <c r="C260" s="726">
        <v>304920.0</v>
      </c>
    </row>
    <row r="261" ht="15.75" customHeight="1">
      <c r="A261" s="724" t="s">
        <v>1250</v>
      </c>
      <c r="B261" s="725" t="s">
        <v>5625</v>
      </c>
      <c r="C261" s="726">
        <v>303741.8</v>
      </c>
    </row>
    <row r="262" ht="15.75" customHeight="1">
      <c r="A262" s="724" t="s">
        <v>355</v>
      </c>
      <c r="B262" s="725" t="s">
        <v>5626</v>
      </c>
      <c r="C262" s="726">
        <v>302478.0</v>
      </c>
    </row>
    <row r="263" ht="15.75" customHeight="1">
      <c r="A263" s="724" t="s">
        <v>676</v>
      </c>
      <c r="B263" s="725" t="s">
        <v>5516</v>
      </c>
      <c r="C263" s="726">
        <v>302265.8</v>
      </c>
    </row>
    <row r="264" ht="15.75" customHeight="1">
      <c r="A264" s="724" t="s">
        <v>1178</v>
      </c>
      <c r="B264" s="725" t="s">
        <v>5515</v>
      </c>
      <c r="C264" s="726">
        <v>301268.7</v>
      </c>
    </row>
    <row r="265" ht="15.75" customHeight="1">
      <c r="A265" s="724" t="s">
        <v>492</v>
      </c>
      <c r="B265" s="725" t="s">
        <v>5627</v>
      </c>
      <c r="C265" s="726">
        <v>300000.0</v>
      </c>
    </row>
    <row r="266" ht="15.75" customHeight="1">
      <c r="A266" s="724" t="s">
        <v>380</v>
      </c>
      <c r="B266" s="725" t="s">
        <v>5628</v>
      </c>
      <c r="C266" s="726">
        <v>298546.9</v>
      </c>
    </row>
    <row r="267" ht="15.75" customHeight="1">
      <c r="A267" s="724" t="s">
        <v>163</v>
      </c>
      <c r="B267" s="725" t="s">
        <v>5538</v>
      </c>
      <c r="C267" s="726">
        <v>297995.6</v>
      </c>
    </row>
    <row r="268" ht="15.75" customHeight="1">
      <c r="A268" s="724" t="s">
        <v>1219</v>
      </c>
      <c r="B268" s="725" t="s">
        <v>5629</v>
      </c>
      <c r="C268" s="726">
        <v>297592.0</v>
      </c>
    </row>
    <row r="269" ht="15.75" customHeight="1">
      <c r="A269" s="724" t="s">
        <v>420</v>
      </c>
      <c r="B269" s="725" t="s">
        <v>5582</v>
      </c>
      <c r="C269" s="726">
        <v>294197.7</v>
      </c>
    </row>
    <row r="270" ht="15.75" customHeight="1">
      <c r="A270" s="724" t="s">
        <v>915</v>
      </c>
      <c r="B270" s="725" t="s">
        <v>5630</v>
      </c>
      <c r="C270" s="726">
        <v>292661.2</v>
      </c>
    </row>
    <row r="271" ht="15.75" customHeight="1">
      <c r="A271" s="724" t="s">
        <v>1124</v>
      </c>
      <c r="B271" s="725" t="s">
        <v>5439</v>
      </c>
      <c r="C271" s="726">
        <v>292399.0</v>
      </c>
    </row>
    <row r="272" ht="15.75" customHeight="1">
      <c r="A272" s="724" t="s">
        <v>1011</v>
      </c>
      <c r="B272" s="725" t="s">
        <v>5595</v>
      </c>
      <c r="C272" s="726">
        <v>285960.3</v>
      </c>
    </row>
    <row r="273" ht="15.75" customHeight="1">
      <c r="A273" s="724" t="s">
        <v>1874</v>
      </c>
      <c r="B273" s="725" t="s">
        <v>5631</v>
      </c>
      <c r="C273" s="726">
        <v>281984.4</v>
      </c>
    </row>
    <row r="274" ht="15.75" customHeight="1">
      <c r="A274" s="724" t="s">
        <v>2348</v>
      </c>
      <c r="B274" s="725" t="s">
        <v>5632</v>
      </c>
      <c r="C274" s="726">
        <v>281680.2</v>
      </c>
    </row>
    <row r="275" ht="15.75" customHeight="1">
      <c r="A275" s="724" t="s">
        <v>935</v>
      </c>
      <c r="B275" s="725" t="s">
        <v>5633</v>
      </c>
      <c r="C275" s="726">
        <v>280874.6</v>
      </c>
    </row>
    <row r="276" ht="15.75" customHeight="1">
      <c r="A276" s="724" t="s">
        <v>1778</v>
      </c>
      <c r="B276" s="725" t="s">
        <v>5427</v>
      </c>
      <c r="C276" s="726">
        <v>280253.8</v>
      </c>
    </row>
    <row r="277" ht="15.75" customHeight="1">
      <c r="A277" s="724" t="s">
        <v>1566</v>
      </c>
      <c r="B277" s="725" t="s">
        <v>5634</v>
      </c>
      <c r="C277" s="726">
        <v>280132.5</v>
      </c>
    </row>
    <row r="278" ht="15.75" customHeight="1">
      <c r="A278" s="724" t="s">
        <v>932</v>
      </c>
      <c r="B278" s="725" t="s">
        <v>5633</v>
      </c>
      <c r="C278" s="726">
        <v>278295.4</v>
      </c>
    </row>
    <row r="279" ht="15.75" customHeight="1">
      <c r="A279" s="724" t="s">
        <v>1381</v>
      </c>
      <c r="B279" s="725" t="s">
        <v>5458</v>
      </c>
      <c r="C279" s="726">
        <v>276191.9</v>
      </c>
    </row>
    <row r="280" ht="15.75" customHeight="1">
      <c r="A280" s="724" t="s">
        <v>479</v>
      </c>
      <c r="B280" s="725" t="s">
        <v>5574</v>
      </c>
      <c r="C280" s="726">
        <v>272203.7</v>
      </c>
    </row>
    <row r="281" ht="15.75" customHeight="1">
      <c r="A281" s="724" t="s">
        <v>407</v>
      </c>
      <c r="B281" s="725" t="s">
        <v>5635</v>
      </c>
      <c r="C281" s="726">
        <v>271994.7</v>
      </c>
    </row>
    <row r="282" ht="15.75" customHeight="1">
      <c r="A282" s="724" t="s">
        <v>1538</v>
      </c>
      <c r="B282" s="725" t="s">
        <v>5636</v>
      </c>
      <c r="C282" s="726">
        <v>270527.0</v>
      </c>
    </row>
    <row r="283" ht="15.75" customHeight="1">
      <c r="A283" s="724" t="s">
        <v>552</v>
      </c>
      <c r="B283" s="725" t="s">
        <v>5637</v>
      </c>
      <c r="C283" s="726">
        <v>268659.1</v>
      </c>
    </row>
    <row r="284" ht="15.75" customHeight="1">
      <c r="A284" s="724" t="s">
        <v>1534</v>
      </c>
      <c r="B284" s="725" t="s">
        <v>5636</v>
      </c>
      <c r="C284" s="726">
        <v>267439.3</v>
      </c>
    </row>
    <row r="285" ht="15.75" customHeight="1">
      <c r="A285" s="724" t="s">
        <v>1225</v>
      </c>
      <c r="B285" s="725" t="s">
        <v>5638</v>
      </c>
      <c r="C285" s="726">
        <v>265156.5</v>
      </c>
    </row>
    <row r="286" ht="15.75" customHeight="1">
      <c r="A286" s="724" t="s">
        <v>644</v>
      </c>
      <c r="B286" s="725" t="s">
        <v>5639</v>
      </c>
      <c r="C286" s="726">
        <v>260418.1</v>
      </c>
    </row>
    <row r="287" ht="15.75" customHeight="1">
      <c r="A287" s="724" t="s">
        <v>2143</v>
      </c>
      <c r="B287" s="725" t="s">
        <v>5461</v>
      </c>
      <c r="C287" s="726">
        <v>260264.4</v>
      </c>
    </row>
    <row r="288" ht="15.75" customHeight="1">
      <c r="A288" s="724" t="s">
        <v>1911</v>
      </c>
      <c r="B288" s="725" t="s">
        <v>5640</v>
      </c>
      <c r="C288" s="726">
        <v>257409.0</v>
      </c>
    </row>
    <row r="289" ht="15.75" customHeight="1">
      <c r="A289" s="724" t="s">
        <v>368</v>
      </c>
      <c r="B289" s="725" t="s">
        <v>5641</v>
      </c>
      <c r="C289" s="726">
        <v>255378.6</v>
      </c>
    </row>
    <row r="290" ht="15.75" customHeight="1">
      <c r="A290" s="724" t="s">
        <v>2444</v>
      </c>
      <c r="B290" s="725" t="s">
        <v>5642</v>
      </c>
      <c r="C290" s="726">
        <v>253828.4</v>
      </c>
    </row>
    <row r="291" ht="15.75" customHeight="1">
      <c r="A291" s="724" t="s">
        <v>1228</v>
      </c>
      <c r="B291" s="725" t="s">
        <v>5643</v>
      </c>
      <c r="C291" s="726">
        <v>252687.1</v>
      </c>
    </row>
    <row r="292" ht="15.75" customHeight="1">
      <c r="A292" s="724" t="s">
        <v>453</v>
      </c>
      <c r="B292" s="725" t="s">
        <v>5449</v>
      </c>
      <c r="C292" s="726">
        <v>252338.2</v>
      </c>
    </row>
    <row r="293" ht="15.75" customHeight="1">
      <c r="A293" s="724" t="s">
        <v>744</v>
      </c>
      <c r="B293" s="725" t="s">
        <v>5644</v>
      </c>
      <c r="C293" s="726">
        <v>248754.7</v>
      </c>
    </row>
    <row r="294" ht="15.75" customHeight="1">
      <c r="A294" s="724" t="s">
        <v>1686</v>
      </c>
      <c r="B294" s="725" t="s">
        <v>5494</v>
      </c>
      <c r="C294" s="726">
        <v>248300.9</v>
      </c>
    </row>
    <row r="295" ht="15.75" customHeight="1">
      <c r="A295" s="724" t="s">
        <v>2519</v>
      </c>
      <c r="B295" s="725" t="s">
        <v>5645</v>
      </c>
      <c r="C295" s="726">
        <v>246779.2</v>
      </c>
    </row>
    <row r="296" ht="15.75" customHeight="1">
      <c r="A296" s="724" t="s">
        <v>5646</v>
      </c>
      <c r="B296" s="725" t="s">
        <v>5647</v>
      </c>
      <c r="C296" s="726">
        <v>245097.8</v>
      </c>
    </row>
    <row r="297" ht="15.75" customHeight="1">
      <c r="A297" s="724" t="s">
        <v>2096</v>
      </c>
      <c r="B297" s="725" t="s">
        <v>5648</v>
      </c>
      <c r="C297" s="726">
        <v>244595.6</v>
      </c>
    </row>
    <row r="298" ht="15.75" customHeight="1">
      <c r="A298" s="724" t="s">
        <v>172</v>
      </c>
      <c r="B298" s="725" t="s">
        <v>5649</v>
      </c>
      <c r="C298" s="726">
        <v>243588.4</v>
      </c>
    </row>
    <row r="299" ht="15.75" customHeight="1">
      <c r="A299" s="724" t="s">
        <v>2299</v>
      </c>
      <c r="B299" s="725" t="s">
        <v>5464</v>
      </c>
      <c r="C299" s="726">
        <v>243306.4</v>
      </c>
    </row>
    <row r="300" ht="15.75" customHeight="1">
      <c r="A300" s="724" t="s">
        <v>2309</v>
      </c>
      <c r="B300" s="725" t="s">
        <v>5650</v>
      </c>
      <c r="C300" s="726">
        <v>242932.6</v>
      </c>
    </row>
    <row r="301" ht="15.75" customHeight="1">
      <c r="A301" s="724" t="s">
        <v>2440</v>
      </c>
      <c r="B301" s="725" t="s">
        <v>5642</v>
      </c>
      <c r="C301" s="726">
        <v>242174.5</v>
      </c>
    </row>
    <row r="302" ht="15.75" customHeight="1">
      <c r="A302" s="724" t="s">
        <v>482</v>
      </c>
      <c r="B302" s="725" t="s">
        <v>5574</v>
      </c>
      <c r="C302" s="726">
        <v>241999.8</v>
      </c>
    </row>
    <row r="303" ht="15.75" customHeight="1">
      <c r="A303" s="724" t="s">
        <v>1950</v>
      </c>
      <c r="B303" s="725" t="s">
        <v>5530</v>
      </c>
      <c r="C303" s="726">
        <v>241744.7</v>
      </c>
    </row>
    <row r="304" ht="15.75" customHeight="1">
      <c r="A304" s="724" t="s">
        <v>670</v>
      </c>
      <c r="B304" s="725" t="s">
        <v>5516</v>
      </c>
      <c r="C304" s="726">
        <v>241375.3</v>
      </c>
    </row>
    <row r="305" ht="15.75" customHeight="1">
      <c r="A305" s="724" t="s">
        <v>875</v>
      </c>
      <c r="B305" s="725" t="s">
        <v>5651</v>
      </c>
      <c r="C305" s="726">
        <v>235701.9</v>
      </c>
    </row>
    <row r="306" ht="15.75" customHeight="1">
      <c r="A306" s="724" t="s">
        <v>775</v>
      </c>
      <c r="B306" s="725" t="s">
        <v>5652</v>
      </c>
      <c r="C306" s="726">
        <v>235481.2</v>
      </c>
    </row>
    <row r="307" ht="15.75" customHeight="1">
      <c r="A307" s="724" t="s">
        <v>528</v>
      </c>
      <c r="B307" s="725" t="s">
        <v>5465</v>
      </c>
      <c r="C307" s="726">
        <v>233003.1</v>
      </c>
    </row>
    <row r="308" ht="15.75" customHeight="1">
      <c r="A308" s="724" t="s">
        <v>661</v>
      </c>
      <c r="B308" s="725" t="s">
        <v>5653</v>
      </c>
      <c r="C308" s="726">
        <v>230665.8</v>
      </c>
    </row>
    <row r="309" ht="15.75" customHeight="1">
      <c r="A309" s="724" t="s">
        <v>1719</v>
      </c>
      <c r="B309" s="725" t="s">
        <v>5531</v>
      </c>
      <c r="C309" s="726">
        <v>227886.0</v>
      </c>
    </row>
    <row r="310" ht="15.75" customHeight="1">
      <c r="A310" s="724" t="s">
        <v>2181</v>
      </c>
      <c r="B310" s="725" t="s">
        <v>5654</v>
      </c>
      <c r="C310" s="726">
        <v>227213.6</v>
      </c>
    </row>
    <row r="311" ht="15.75" customHeight="1">
      <c r="A311" s="724" t="s">
        <v>2498</v>
      </c>
      <c r="B311" s="725" t="s">
        <v>5655</v>
      </c>
      <c r="C311" s="726">
        <v>226733.2</v>
      </c>
    </row>
    <row r="312" ht="15.75" customHeight="1">
      <c r="A312" s="724" t="s">
        <v>2237</v>
      </c>
      <c r="B312" s="725" t="s">
        <v>5656</v>
      </c>
      <c r="C312" s="726">
        <v>226354.1</v>
      </c>
    </row>
    <row r="313" ht="15.75" customHeight="1">
      <c r="A313" s="724" t="s">
        <v>1392</v>
      </c>
      <c r="B313" s="725" t="s">
        <v>5657</v>
      </c>
      <c r="C313" s="726">
        <v>224213.4</v>
      </c>
    </row>
    <row r="314" ht="15.75" customHeight="1">
      <c r="A314" s="724" t="s">
        <v>460</v>
      </c>
      <c r="B314" s="725" t="s">
        <v>5449</v>
      </c>
      <c r="C314" s="726">
        <v>223220.7</v>
      </c>
    </row>
    <row r="315" ht="15.75" customHeight="1">
      <c r="A315" s="724" t="s">
        <v>2112</v>
      </c>
      <c r="B315" s="725" t="s">
        <v>5658</v>
      </c>
      <c r="C315" s="726">
        <v>220631.6</v>
      </c>
    </row>
    <row r="316" ht="15.75" customHeight="1">
      <c r="A316" s="724" t="s">
        <v>1290</v>
      </c>
      <c r="B316" s="725" t="s">
        <v>5566</v>
      </c>
      <c r="C316" s="726">
        <v>219763.4</v>
      </c>
    </row>
    <row r="317" ht="15.75" customHeight="1">
      <c r="A317" s="724" t="s">
        <v>907</v>
      </c>
      <c r="B317" s="725" t="s">
        <v>5659</v>
      </c>
      <c r="C317" s="726">
        <v>216761.5</v>
      </c>
    </row>
    <row r="318" ht="15.75" customHeight="1">
      <c r="A318" s="724" t="s">
        <v>722</v>
      </c>
      <c r="B318" s="725" t="s">
        <v>5660</v>
      </c>
      <c r="C318" s="726">
        <v>216119.8</v>
      </c>
    </row>
    <row r="319" ht="15.75" customHeight="1">
      <c r="A319" s="724" t="s">
        <v>747</v>
      </c>
      <c r="B319" s="725" t="s">
        <v>5661</v>
      </c>
      <c r="C319" s="726">
        <v>215931.7</v>
      </c>
    </row>
    <row r="320" ht="15.75" customHeight="1">
      <c r="A320" s="724" t="s">
        <v>923</v>
      </c>
      <c r="B320" s="725" t="s">
        <v>5662</v>
      </c>
      <c r="C320" s="726">
        <v>215921.9</v>
      </c>
    </row>
    <row r="321" ht="15.75" customHeight="1">
      <c r="A321" s="724" t="s">
        <v>2071</v>
      </c>
      <c r="B321" s="725" t="s">
        <v>5441</v>
      </c>
      <c r="C321" s="726">
        <v>215874.7</v>
      </c>
    </row>
    <row r="322" ht="15.75" customHeight="1">
      <c r="A322" s="724" t="s">
        <v>2485</v>
      </c>
      <c r="B322" s="725" t="s">
        <v>5577</v>
      </c>
      <c r="C322" s="726">
        <v>215009.3</v>
      </c>
    </row>
    <row r="323" ht="15.75" customHeight="1">
      <c r="A323" s="724" t="s">
        <v>2184</v>
      </c>
      <c r="B323" s="725" t="s">
        <v>5654</v>
      </c>
      <c r="C323" s="726">
        <v>212499.1</v>
      </c>
    </row>
    <row r="324" ht="15.75" customHeight="1">
      <c r="A324" s="724" t="s">
        <v>2320</v>
      </c>
      <c r="B324" s="725" t="s">
        <v>5663</v>
      </c>
      <c r="C324" s="726">
        <v>212082.8</v>
      </c>
    </row>
    <row r="325" ht="15.75" customHeight="1">
      <c r="A325" s="724" t="s">
        <v>607</v>
      </c>
      <c r="B325" s="725" t="s">
        <v>5664</v>
      </c>
      <c r="C325" s="726">
        <v>211571.9</v>
      </c>
    </row>
    <row r="326" ht="15.75" customHeight="1">
      <c r="A326" s="724" t="s">
        <v>2053</v>
      </c>
      <c r="B326" s="725" t="s">
        <v>5485</v>
      </c>
      <c r="C326" s="726">
        <v>209815.4</v>
      </c>
    </row>
    <row r="327" ht="15.75" customHeight="1">
      <c r="A327" s="724" t="s">
        <v>157</v>
      </c>
      <c r="B327" s="725" t="s">
        <v>5538</v>
      </c>
      <c r="C327" s="726">
        <v>208330.2</v>
      </c>
    </row>
    <row r="328" ht="15.75" customHeight="1">
      <c r="A328" s="724" t="s">
        <v>1254</v>
      </c>
      <c r="B328" s="725" t="s">
        <v>5665</v>
      </c>
      <c r="C328" s="726">
        <v>207061.0</v>
      </c>
    </row>
    <row r="329" ht="15.75" customHeight="1">
      <c r="A329" s="724" t="s">
        <v>2516</v>
      </c>
      <c r="B329" s="725" t="s">
        <v>5645</v>
      </c>
      <c r="C329" s="726">
        <v>205486.7</v>
      </c>
    </row>
    <row r="330" ht="15.75" customHeight="1">
      <c r="A330" s="724" t="s">
        <v>431</v>
      </c>
      <c r="B330" s="725" t="s">
        <v>5666</v>
      </c>
      <c r="C330" s="726">
        <v>205126.9</v>
      </c>
    </row>
    <row r="331" ht="15.75" customHeight="1">
      <c r="A331" s="724" t="s">
        <v>1786</v>
      </c>
      <c r="B331" s="725" t="s">
        <v>5579</v>
      </c>
      <c r="C331" s="726">
        <v>203130.2</v>
      </c>
    </row>
    <row r="332" ht="15.75" customHeight="1">
      <c r="A332" s="724" t="s">
        <v>5667</v>
      </c>
      <c r="B332" s="725" t="s">
        <v>5427</v>
      </c>
      <c r="C332" s="726">
        <v>201049.7</v>
      </c>
    </row>
    <row r="333" ht="15.75" customHeight="1">
      <c r="A333" s="724" t="s">
        <v>2488</v>
      </c>
      <c r="B333" s="725" t="s">
        <v>5577</v>
      </c>
      <c r="C333" s="726">
        <v>200897.9</v>
      </c>
    </row>
    <row r="334" ht="15.75" customHeight="1">
      <c r="A334" s="724" t="s">
        <v>1073</v>
      </c>
      <c r="B334" s="725" t="s">
        <v>5668</v>
      </c>
      <c r="C334" s="726">
        <v>200678.0</v>
      </c>
    </row>
    <row r="335" ht="15.75" customHeight="1">
      <c r="A335" s="724" t="s">
        <v>1222</v>
      </c>
      <c r="B335" s="725" t="s">
        <v>5638</v>
      </c>
      <c r="C335" s="726">
        <v>200329.7</v>
      </c>
    </row>
    <row r="336" ht="15.75" customHeight="1">
      <c r="A336" s="724" t="s">
        <v>422</v>
      </c>
      <c r="B336" s="725" t="s">
        <v>5582</v>
      </c>
      <c r="C336" s="726">
        <v>199036.3</v>
      </c>
    </row>
    <row r="337" ht="15.75" customHeight="1">
      <c r="A337" s="724" t="s">
        <v>1559</v>
      </c>
      <c r="B337" s="725" t="s">
        <v>5669</v>
      </c>
      <c r="C337" s="726">
        <v>196195.9</v>
      </c>
    </row>
    <row r="338" ht="15.75" customHeight="1">
      <c r="A338" s="724" t="s">
        <v>1060</v>
      </c>
      <c r="B338" s="725" t="s">
        <v>5589</v>
      </c>
      <c r="C338" s="726">
        <v>195427.5</v>
      </c>
    </row>
    <row r="339" ht="15.75" customHeight="1">
      <c r="A339" s="724" t="s">
        <v>1076</v>
      </c>
      <c r="B339" s="725" t="s">
        <v>5670</v>
      </c>
      <c r="C339" s="726">
        <v>192213.3</v>
      </c>
    </row>
    <row r="340" ht="15.75" customHeight="1">
      <c r="A340" s="724" t="s">
        <v>2172</v>
      </c>
      <c r="B340" s="725" t="s">
        <v>5671</v>
      </c>
      <c r="C340" s="726">
        <v>192016.0</v>
      </c>
    </row>
    <row r="341" ht="15.75" customHeight="1">
      <c r="A341" s="724" t="s">
        <v>727</v>
      </c>
      <c r="B341" s="725" t="s">
        <v>5660</v>
      </c>
      <c r="C341" s="726">
        <v>190476.4</v>
      </c>
    </row>
    <row r="342" ht="15.75" customHeight="1">
      <c r="A342" s="724" t="s">
        <v>1384</v>
      </c>
      <c r="B342" s="725" t="s">
        <v>5657</v>
      </c>
      <c r="C342" s="726">
        <v>189274.6</v>
      </c>
    </row>
    <row r="343" ht="15.75" customHeight="1">
      <c r="A343" s="724" t="s">
        <v>2027</v>
      </c>
      <c r="B343" s="725" t="s">
        <v>5537</v>
      </c>
      <c r="C343" s="726">
        <v>187160.9</v>
      </c>
    </row>
    <row r="344" ht="15.75" customHeight="1">
      <c r="A344" s="724" t="s">
        <v>1872</v>
      </c>
      <c r="B344" s="725" t="s">
        <v>5672</v>
      </c>
      <c r="C344" s="726">
        <v>185679.7</v>
      </c>
    </row>
    <row r="345" ht="15.75" customHeight="1">
      <c r="A345" s="724" t="s">
        <v>1106</v>
      </c>
      <c r="B345" s="725" t="s">
        <v>5673</v>
      </c>
      <c r="C345" s="726">
        <v>183272.5</v>
      </c>
    </row>
    <row r="346" ht="15.75" customHeight="1">
      <c r="A346" s="724" t="s">
        <v>521</v>
      </c>
      <c r="B346" s="725" t="s">
        <v>5465</v>
      </c>
      <c r="C346" s="726">
        <v>181737.0</v>
      </c>
    </row>
    <row r="347" ht="15.75" customHeight="1">
      <c r="A347" s="724" t="s">
        <v>628</v>
      </c>
      <c r="B347" s="725" t="s">
        <v>5674</v>
      </c>
      <c r="C347" s="726">
        <v>178558.3</v>
      </c>
    </row>
    <row r="348" ht="15.75" customHeight="1">
      <c r="A348" s="724" t="s">
        <v>2475</v>
      </c>
      <c r="B348" s="725" t="s">
        <v>5675</v>
      </c>
      <c r="C348" s="726">
        <v>175797.2</v>
      </c>
    </row>
    <row r="349" ht="15.75" customHeight="1">
      <c r="A349" s="724" t="s">
        <v>583</v>
      </c>
      <c r="B349" s="725" t="s">
        <v>5676</v>
      </c>
      <c r="C349" s="726">
        <v>173386.0</v>
      </c>
    </row>
    <row r="350" ht="15.75" customHeight="1">
      <c r="A350" s="724" t="s">
        <v>689</v>
      </c>
      <c r="B350" s="725" t="s">
        <v>5677</v>
      </c>
      <c r="C350" s="726">
        <v>173270.9</v>
      </c>
    </row>
    <row r="351" ht="15.75" customHeight="1">
      <c r="A351" s="724" t="s">
        <v>2478</v>
      </c>
      <c r="B351" s="725" t="s">
        <v>5675</v>
      </c>
      <c r="C351" s="726">
        <v>172917.1</v>
      </c>
    </row>
    <row r="352" ht="15.75" customHeight="1">
      <c r="A352" s="724" t="s">
        <v>1117</v>
      </c>
      <c r="B352" s="725" t="s">
        <v>5439</v>
      </c>
      <c r="C352" s="726">
        <v>172586.1</v>
      </c>
    </row>
    <row r="353" ht="15.75" customHeight="1">
      <c r="A353" s="724" t="s">
        <v>512</v>
      </c>
      <c r="B353" s="725" t="s">
        <v>5465</v>
      </c>
      <c r="C353" s="726">
        <v>171056.9</v>
      </c>
    </row>
    <row r="354" ht="15.75" customHeight="1">
      <c r="A354" s="724" t="s">
        <v>2272</v>
      </c>
      <c r="B354" s="725" t="s">
        <v>5678</v>
      </c>
      <c r="C354" s="726">
        <v>170806.6</v>
      </c>
    </row>
    <row r="355" ht="15.75" customHeight="1">
      <c r="A355" s="724" t="s">
        <v>2031</v>
      </c>
      <c r="B355" s="725" t="s">
        <v>5537</v>
      </c>
      <c r="C355" s="726">
        <v>170372.5</v>
      </c>
    </row>
    <row r="356" ht="15.75" customHeight="1">
      <c r="A356" s="724" t="s">
        <v>1489</v>
      </c>
      <c r="B356" s="725" t="s">
        <v>5679</v>
      </c>
      <c r="C356" s="726">
        <v>170152.8</v>
      </c>
    </row>
    <row r="357" ht="15.75" customHeight="1">
      <c r="A357" s="724" t="s">
        <v>2370</v>
      </c>
      <c r="B357" s="725" t="s">
        <v>5680</v>
      </c>
      <c r="C357" s="726">
        <v>168022.2</v>
      </c>
    </row>
    <row r="358" ht="15.75" customHeight="1">
      <c r="A358" s="724" t="s">
        <v>2230</v>
      </c>
      <c r="B358" s="725" t="s">
        <v>5681</v>
      </c>
      <c r="C358" s="726">
        <v>165458.7</v>
      </c>
    </row>
    <row r="359" ht="15.75" customHeight="1">
      <c r="A359" s="724" t="s">
        <v>961</v>
      </c>
      <c r="B359" s="725" t="s">
        <v>5682</v>
      </c>
      <c r="C359" s="726">
        <v>164832.5</v>
      </c>
    </row>
    <row r="360" ht="15.75" customHeight="1">
      <c r="A360" s="724" t="s">
        <v>251</v>
      </c>
      <c r="B360" s="725" t="s">
        <v>5480</v>
      </c>
      <c r="C360" s="726">
        <v>164403.3</v>
      </c>
    </row>
    <row r="361" ht="15.75" customHeight="1">
      <c r="A361" s="724" t="s">
        <v>2137</v>
      </c>
      <c r="B361" s="725" t="s">
        <v>5466</v>
      </c>
      <c r="C361" s="726">
        <v>164169.5</v>
      </c>
    </row>
    <row r="362" ht="15.75" customHeight="1">
      <c r="A362" s="724" t="s">
        <v>805</v>
      </c>
      <c r="B362" s="725" t="s">
        <v>5437</v>
      </c>
      <c r="C362" s="726">
        <v>162762.3</v>
      </c>
    </row>
    <row r="363" ht="15.75" customHeight="1">
      <c r="A363" s="724" t="s">
        <v>226</v>
      </c>
      <c r="B363" s="725" t="s">
        <v>5480</v>
      </c>
      <c r="C363" s="726">
        <v>162636.9</v>
      </c>
    </row>
    <row r="364" ht="15.75" customHeight="1">
      <c r="A364" s="724" t="s">
        <v>242</v>
      </c>
      <c r="B364" s="725" t="s">
        <v>5480</v>
      </c>
      <c r="C364" s="726">
        <v>162489.2</v>
      </c>
    </row>
    <row r="365" ht="15.75" customHeight="1">
      <c r="A365" s="724" t="s">
        <v>1954</v>
      </c>
      <c r="B365" s="725" t="s">
        <v>5530</v>
      </c>
      <c r="C365" s="726">
        <v>162202.3</v>
      </c>
    </row>
    <row r="366" ht="15.75" customHeight="1">
      <c r="A366" s="724" t="s">
        <v>2501</v>
      </c>
      <c r="B366" s="725" t="s">
        <v>5683</v>
      </c>
      <c r="C366" s="726">
        <v>160061.8</v>
      </c>
    </row>
    <row r="367" ht="15.75" customHeight="1">
      <c r="A367" s="724" t="s">
        <v>1659</v>
      </c>
      <c r="B367" s="725" t="s">
        <v>5445</v>
      </c>
      <c r="C367" s="726">
        <v>160009.4</v>
      </c>
    </row>
    <row r="368" ht="15.75" customHeight="1">
      <c r="A368" s="724" t="s">
        <v>1695</v>
      </c>
      <c r="B368" s="725" t="s">
        <v>5479</v>
      </c>
      <c r="C368" s="726">
        <v>157134.8</v>
      </c>
    </row>
    <row r="369" ht="15.75" customHeight="1">
      <c r="A369" s="724" t="s">
        <v>1425</v>
      </c>
      <c r="B369" s="725" t="s">
        <v>5684</v>
      </c>
      <c r="C369" s="726">
        <v>156244.5</v>
      </c>
    </row>
    <row r="370" ht="15.75" customHeight="1">
      <c r="A370" s="724" t="s">
        <v>1387</v>
      </c>
      <c r="B370" s="725" t="s">
        <v>5657</v>
      </c>
      <c r="C370" s="726">
        <v>153376.4</v>
      </c>
    </row>
    <row r="371" ht="15.75" customHeight="1">
      <c r="A371" s="724" t="s">
        <v>1833</v>
      </c>
      <c r="B371" s="725" t="s">
        <v>5685</v>
      </c>
      <c r="C371" s="726">
        <v>148555.4</v>
      </c>
    </row>
    <row r="372" ht="15.75" customHeight="1">
      <c r="A372" s="724" t="s">
        <v>1794</v>
      </c>
      <c r="B372" s="725" t="s">
        <v>5686</v>
      </c>
      <c r="C372" s="726">
        <v>146688.0</v>
      </c>
    </row>
    <row r="373" ht="15.75" customHeight="1">
      <c r="A373" s="724" t="s">
        <v>1314</v>
      </c>
      <c r="B373" s="725" t="s">
        <v>5506</v>
      </c>
      <c r="C373" s="726">
        <v>144181.6</v>
      </c>
    </row>
    <row r="374" ht="15.75" customHeight="1">
      <c r="A374" s="724" t="s">
        <v>1402</v>
      </c>
      <c r="B374" s="725" t="s">
        <v>5687</v>
      </c>
      <c r="C374" s="726">
        <v>143896.8</v>
      </c>
    </row>
    <row r="375" ht="15.75" customHeight="1">
      <c r="A375" s="724" t="s">
        <v>573</v>
      </c>
      <c r="B375" s="725" t="s">
        <v>5688</v>
      </c>
      <c r="C375" s="726">
        <v>143068.1</v>
      </c>
    </row>
    <row r="376" ht="15.75" customHeight="1">
      <c r="A376" s="724" t="s">
        <v>1499</v>
      </c>
      <c r="B376" s="725" t="s">
        <v>5689</v>
      </c>
      <c r="C376" s="726">
        <v>142907.5</v>
      </c>
    </row>
    <row r="377" ht="15.75" customHeight="1">
      <c r="A377" s="724" t="s">
        <v>835</v>
      </c>
      <c r="B377" s="725" t="s">
        <v>5490</v>
      </c>
      <c r="C377" s="726">
        <v>142851.7</v>
      </c>
    </row>
    <row r="378" ht="15.75" customHeight="1">
      <c r="A378" s="724" t="s">
        <v>2306</v>
      </c>
      <c r="B378" s="725" t="s">
        <v>5690</v>
      </c>
      <c r="C378" s="726">
        <v>142834.9</v>
      </c>
    </row>
    <row r="379" ht="15.75" customHeight="1">
      <c r="A379" s="724" t="s">
        <v>1144</v>
      </c>
      <c r="B379" s="725" t="s">
        <v>5548</v>
      </c>
      <c r="C379" s="726">
        <v>142279.0</v>
      </c>
    </row>
    <row r="380" ht="15.75" customHeight="1">
      <c r="A380" s="724" t="s">
        <v>1896</v>
      </c>
      <c r="B380" s="725" t="s">
        <v>5510</v>
      </c>
      <c r="C380" s="726">
        <v>141682.7</v>
      </c>
    </row>
    <row r="381" ht="15.75" customHeight="1">
      <c r="A381" s="724" t="s">
        <v>1369</v>
      </c>
      <c r="B381" s="725" t="s">
        <v>5691</v>
      </c>
      <c r="C381" s="726">
        <v>141667.0</v>
      </c>
    </row>
    <row r="382" ht="15.75" customHeight="1">
      <c r="A382" s="724" t="s">
        <v>1968</v>
      </c>
      <c r="B382" s="725" t="s">
        <v>5453</v>
      </c>
      <c r="C382" s="726">
        <v>141453.7</v>
      </c>
    </row>
    <row r="383" ht="15.75" customHeight="1">
      <c r="A383" s="724" t="s">
        <v>1480</v>
      </c>
      <c r="B383" s="725" t="s">
        <v>5679</v>
      </c>
      <c r="C383" s="726">
        <v>140594.8</v>
      </c>
    </row>
    <row r="384" ht="15.75" customHeight="1">
      <c r="A384" s="724" t="s">
        <v>2333</v>
      </c>
      <c r="B384" s="725" t="s">
        <v>5692</v>
      </c>
      <c r="C384" s="726">
        <v>139271.8</v>
      </c>
    </row>
    <row r="385" ht="15.75" customHeight="1">
      <c r="A385" s="724" t="s">
        <v>2090</v>
      </c>
      <c r="B385" s="725" t="s">
        <v>5693</v>
      </c>
      <c r="C385" s="726">
        <v>138192.4</v>
      </c>
    </row>
    <row r="386" ht="15.75" customHeight="1">
      <c r="A386" s="724" t="s">
        <v>2274</v>
      </c>
      <c r="B386" s="725" t="s">
        <v>5678</v>
      </c>
      <c r="C386" s="726">
        <v>136725.4</v>
      </c>
    </row>
    <row r="387" ht="15.75" customHeight="1">
      <c r="A387" s="724" t="s">
        <v>1467</v>
      </c>
      <c r="B387" s="725" t="s">
        <v>5694</v>
      </c>
      <c r="C387" s="726">
        <v>134167.4</v>
      </c>
    </row>
    <row r="388" ht="15.75" customHeight="1">
      <c r="A388" s="724" t="s">
        <v>2523</v>
      </c>
      <c r="B388" s="725" t="s">
        <v>5695</v>
      </c>
      <c r="C388" s="726">
        <v>132898.0</v>
      </c>
    </row>
    <row r="389" ht="15.75" customHeight="1">
      <c r="A389" s="724" t="s">
        <v>760</v>
      </c>
      <c r="B389" s="725" t="s">
        <v>5563</v>
      </c>
      <c r="C389" s="726">
        <v>132896.2</v>
      </c>
    </row>
    <row r="390" ht="15.75" customHeight="1">
      <c r="A390" s="724" t="s">
        <v>1676</v>
      </c>
      <c r="B390" s="725" t="s">
        <v>5494</v>
      </c>
      <c r="C390" s="726">
        <v>132415.5</v>
      </c>
    </row>
    <row r="391" ht="15.75" customHeight="1">
      <c r="A391" s="724" t="s">
        <v>750</v>
      </c>
      <c r="B391" s="725" t="s">
        <v>5563</v>
      </c>
      <c r="C391" s="726">
        <v>132196.8</v>
      </c>
    </row>
    <row r="392" ht="15.75" customHeight="1">
      <c r="A392" s="724" t="s">
        <v>74</v>
      </c>
      <c r="B392" s="725" t="s">
        <v>5696</v>
      </c>
      <c r="C392" s="726">
        <v>131676.0</v>
      </c>
    </row>
    <row r="393" ht="15.75" customHeight="1">
      <c r="A393" s="724" t="s">
        <v>1653</v>
      </c>
      <c r="B393" s="725" t="s">
        <v>5445</v>
      </c>
      <c r="C393" s="726">
        <v>130204.4</v>
      </c>
    </row>
    <row r="394" ht="15.75" customHeight="1">
      <c r="A394" s="724" t="s">
        <v>1453</v>
      </c>
      <c r="B394" s="725" t="s">
        <v>5517</v>
      </c>
      <c r="C394" s="726">
        <v>129434.5</v>
      </c>
    </row>
    <row r="395" ht="15.75" customHeight="1">
      <c r="A395" s="724" t="s">
        <v>2000</v>
      </c>
      <c r="B395" s="725" t="s">
        <v>5455</v>
      </c>
      <c r="C395" s="726">
        <v>127965.1</v>
      </c>
    </row>
    <row r="396" ht="15.75" customHeight="1">
      <c r="A396" s="724" t="s">
        <v>954</v>
      </c>
      <c r="B396" s="725" t="s">
        <v>5697</v>
      </c>
      <c r="C396" s="726">
        <v>127828.7</v>
      </c>
    </row>
    <row r="397" ht="15.75" customHeight="1">
      <c r="A397" s="724" t="s">
        <v>1048</v>
      </c>
      <c r="B397" s="725" t="s">
        <v>5589</v>
      </c>
      <c r="C397" s="726">
        <v>126168.9</v>
      </c>
    </row>
    <row r="398" ht="15.75" customHeight="1">
      <c r="A398" s="724" t="s">
        <v>5698</v>
      </c>
      <c r="B398" s="725" t="s">
        <v>5699</v>
      </c>
      <c r="C398" s="726">
        <v>125909.6</v>
      </c>
    </row>
    <row r="399" ht="15.75" customHeight="1">
      <c r="A399" s="724" t="s">
        <v>1527</v>
      </c>
      <c r="B399" s="725" t="s">
        <v>5700</v>
      </c>
      <c r="C399" s="726">
        <v>125730.2</v>
      </c>
    </row>
    <row r="400" ht="15.75" customHeight="1">
      <c r="A400" s="724" t="s">
        <v>2364</v>
      </c>
      <c r="B400" s="725" t="s">
        <v>5701</v>
      </c>
      <c r="C400" s="726">
        <v>124065.6</v>
      </c>
    </row>
    <row r="401" ht="15.75" customHeight="1">
      <c r="A401" s="724" t="s">
        <v>947</v>
      </c>
      <c r="B401" s="725" t="s">
        <v>5702</v>
      </c>
      <c r="C401" s="726">
        <v>123587.4</v>
      </c>
    </row>
    <row r="402" ht="15.75" customHeight="1">
      <c r="A402" s="724" t="s">
        <v>112</v>
      </c>
      <c r="B402" s="725" t="s">
        <v>5703</v>
      </c>
      <c r="C402" s="726">
        <v>122786.0</v>
      </c>
    </row>
    <row r="403" ht="15.75" customHeight="1">
      <c r="A403" s="724" t="s">
        <v>1940</v>
      </c>
      <c r="B403" s="725" t="s">
        <v>5704</v>
      </c>
      <c r="C403" s="726">
        <v>121287.8</v>
      </c>
    </row>
    <row r="404" ht="15.75" customHeight="1">
      <c r="A404" s="724" t="s">
        <v>1640</v>
      </c>
      <c r="B404" s="725" t="s">
        <v>5705</v>
      </c>
      <c r="C404" s="726">
        <v>121114.0</v>
      </c>
    </row>
    <row r="405" ht="15.75" customHeight="1">
      <c r="A405" s="724" t="s">
        <v>2275</v>
      </c>
      <c r="B405" s="725" t="s">
        <v>5678</v>
      </c>
      <c r="C405" s="726">
        <v>121015.3</v>
      </c>
    </row>
    <row r="406" ht="15.75" customHeight="1">
      <c r="A406" s="724" t="s">
        <v>377</v>
      </c>
      <c r="B406" s="725" t="s">
        <v>5706</v>
      </c>
      <c r="C406" s="726">
        <v>120996.0</v>
      </c>
    </row>
    <row r="407" ht="15.75" customHeight="1">
      <c r="A407" s="724" t="s">
        <v>555</v>
      </c>
      <c r="B407" s="725" t="s">
        <v>5707</v>
      </c>
      <c r="C407" s="726">
        <v>120976.8</v>
      </c>
    </row>
    <row r="408" ht="15.75" customHeight="1">
      <c r="A408" s="724" t="s">
        <v>828</v>
      </c>
      <c r="B408" s="725" t="s">
        <v>5490</v>
      </c>
      <c r="C408" s="726">
        <v>120894.8</v>
      </c>
    </row>
    <row r="409" ht="15.75" customHeight="1">
      <c r="A409" s="724" t="s">
        <v>994</v>
      </c>
      <c r="B409" s="725" t="s">
        <v>5607</v>
      </c>
      <c r="C409" s="726">
        <v>120844.7</v>
      </c>
    </row>
    <row r="410" ht="15.75" customHeight="1">
      <c r="A410" s="724" t="s">
        <v>2068</v>
      </c>
      <c r="B410" s="725" t="s">
        <v>5441</v>
      </c>
      <c r="C410" s="726">
        <v>120450.3</v>
      </c>
    </row>
    <row r="411" ht="15.75" customHeight="1">
      <c r="A411" s="724" t="s">
        <v>988</v>
      </c>
      <c r="B411" s="725" t="s">
        <v>5607</v>
      </c>
      <c r="C411" s="726">
        <v>120086.8</v>
      </c>
    </row>
    <row r="412" ht="15.75" customHeight="1">
      <c r="A412" s="724" t="s">
        <v>2342</v>
      </c>
      <c r="B412" s="725" t="s">
        <v>5632</v>
      </c>
      <c r="C412" s="726">
        <v>117490.0</v>
      </c>
    </row>
    <row r="413" ht="15.75" customHeight="1">
      <c r="A413" s="724" t="s">
        <v>2403</v>
      </c>
      <c r="B413" s="725" t="s">
        <v>5564</v>
      </c>
      <c r="C413" s="726">
        <v>116951.0</v>
      </c>
    </row>
    <row r="414" ht="15.75" customHeight="1">
      <c r="A414" s="724" t="s">
        <v>2043</v>
      </c>
      <c r="B414" s="725" t="s">
        <v>5708</v>
      </c>
      <c r="C414" s="726">
        <v>116403.9</v>
      </c>
    </row>
    <row r="415" ht="15.75" customHeight="1">
      <c r="A415" s="724" t="s">
        <v>1984</v>
      </c>
      <c r="B415" s="725" t="s">
        <v>5455</v>
      </c>
      <c r="C415" s="726">
        <v>116297.2</v>
      </c>
    </row>
    <row r="416" ht="15.75" customHeight="1">
      <c r="A416" s="724" t="s">
        <v>592</v>
      </c>
      <c r="B416" s="725" t="s">
        <v>5709</v>
      </c>
      <c r="C416" s="726">
        <v>116281.8</v>
      </c>
    </row>
    <row r="417" ht="15.75" customHeight="1">
      <c r="A417" s="724" t="s">
        <v>957</v>
      </c>
      <c r="B417" s="725" t="s">
        <v>5682</v>
      </c>
      <c r="C417" s="726">
        <v>115478.9</v>
      </c>
    </row>
    <row r="418" ht="15.75" customHeight="1">
      <c r="A418" s="724" t="s">
        <v>692</v>
      </c>
      <c r="B418" s="725" t="s">
        <v>5677</v>
      </c>
      <c r="C418" s="726">
        <v>114477.9</v>
      </c>
    </row>
    <row r="419" ht="15.75" customHeight="1">
      <c r="A419" s="724" t="s">
        <v>518</v>
      </c>
      <c r="B419" s="725" t="s">
        <v>5465</v>
      </c>
      <c r="C419" s="726">
        <v>114460.0</v>
      </c>
    </row>
    <row r="420" ht="15.75" customHeight="1">
      <c r="A420" s="724" t="s">
        <v>1337</v>
      </c>
      <c r="B420" s="725" t="s">
        <v>5475</v>
      </c>
      <c r="C420" s="726">
        <v>112942.1</v>
      </c>
    </row>
    <row r="421" ht="15.75" customHeight="1">
      <c r="A421" s="724" t="s">
        <v>2132</v>
      </c>
      <c r="B421" s="725" t="s">
        <v>5466</v>
      </c>
      <c r="C421" s="726">
        <v>112083.8</v>
      </c>
    </row>
    <row r="422" ht="15.75" customHeight="1">
      <c r="A422" s="724" t="s">
        <v>298</v>
      </c>
      <c r="B422" s="725" t="s">
        <v>5474</v>
      </c>
      <c r="C422" s="726">
        <v>109269.8</v>
      </c>
    </row>
    <row r="423" ht="15.75" customHeight="1">
      <c r="A423" s="724" t="s">
        <v>5710</v>
      </c>
      <c r="B423" s="725" t="s">
        <v>5525</v>
      </c>
      <c r="C423" s="726">
        <v>109131.6</v>
      </c>
    </row>
    <row r="424" ht="15.75" customHeight="1">
      <c r="A424" s="724" t="s">
        <v>499</v>
      </c>
      <c r="B424" s="725" t="s">
        <v>5562</v>
      </c>
      <c r="C424" s="726">
        <v>108377.1</v>
      </c>
    </row>
    <row r="425" ht="15.75" customHeight="1">
      <c r="A425" s="724" t="s">
        <v>1546</v>
      </c>
      <c r="B425" s="725" t="s">
        <v>5486</v>
      </c>
      <c r="C425" s="726">
        <v>107901.7</v>
      </c>
    </row>
    <row r="426" ht="15.75" customHeight="1">
      <c r="A426" s="724" t="s">
        <v>515</v>
      </c>
      <c r="B426" s="725" t="s">
        <v>5465</v>
      </c>
      <c r="C426" s="726">
        <v>106624.3</v>
      </c>
    </row>
    <row r="427" ht="15.75" customHeight="1">
      <c r="A427" s="724" t="s">
        <v>1099</v>
      </c>
      <c r="B427" s="725" t="s">
        <v>5535</v>
      </c>
      <c r="C427" s="726">
        <v>106054.9</v>
      </c>
    </row>
    <row r="428" ht="15.75" customHeight="1">
      <c r="A428" s="724" t="s">
        <v>2121</v>
      </c>
      <c r="B428" s="725" t="s">
        <v>5711</v>
      </c>
      <c r="C428" s="726">
        <v>105971.2</v>
      </c>
    </row>
    <row r="429" ht="15.75" customHeight="1">
      <c r="A429" s="724" t="s">
        <v>2435</v>
      </c>
      <c r="B429" s="725" t="s">
        <v>5456</v>
      </c>
      <c r="C429" s="726">
        <v>105773.7</v>
      </c>
    </row>
    <row r="430" ht="15.75" customHeight="1">
      <c r="A430" s="724" t="s">
        <v>1849</v>
      </c>
      <c r="B430" s="725" t="s">
        <v>5484</v>
      </c>
      <c r="C430" s="726">
        <v>105566.8</v>
      </c>
    </row>
    <row r="431" ht="15.75" customHeight="1">
      <c r="A431" s="724" t="s">
        <v>1784</v>
      </c>
      <c r="B431" s="725" t="s">
        <v>5579</v>
      </c>
      <c r="C431" s="726">
        <v>104934.0</v>
      </c>
    </row>
    <row r="432" ht="15.75" customHeight="1">
      <c r="A432" s="724" t="s">
        <v>870</v>
      </c>
      <c r="B432" s="725" t="s">
        <v>5712</v>
      </c>
      <c r="C432" s="726">
        <v>104337.3</v>
      </c>
    </row>
    <row r="433" ht="15.75" customHeight="1">
      <c r="A433" s="724" t="s">
        <v>2240</v>
      </c>
      <c r="B433" s="725" t="s">
        <v>5656</v>
      </c>
      <c r="C433" s="726">
        <v>104153.9</v>
      </c>
    </row>
    <row r="434" ht="15.75" customHeight="1">
      <c r="A434" s="724" t="s">
        <v>1303</v>
      </c>
      <c r="B434" s="725" t="s">
        <v>5713</v>
      </c>
      <c r="C434" s="726">
        <v>103939.4</v>
      </c>
    </row>
    <row r="435" ht="15.75" customHeight="1">
      <c r="A435" s="724" t="s">
        <v>616</v>
      </c>
      <c r="B435" s="725" t="s">
        <v>5469</v>
      </c>
      <c r="C435" s="726">
        <v>103433.7</v>
      </c>
    </row>
    <row r="436" ht="15.75" customHeight="1">
      <c r="A436" s="724" t="s">
        <v>1612</v>
      </c>
      <c r="B436" s="725" t="s">
        <v>5497</v>
      </c>
      <c r="C436" s="726">
        <v>103215.6</v>
      </c>
    </row>
    <row r="437" ht="15.75" customHeight="1">
      <c r="A437" s="724" t="s">
        <v>2527</v>
      </c>
      <c r="B437" s="725" t="s">
        <v>5714</v>
      </c>
      <c r="C437" s="726">
        <v>102095.6</v>
      </c>
    </row>
    <row r="438" ht="15.75" customHeight="1">
      <c r="A438" s="724" t="s">
        <v>825</v>
      </c>
      <c r="B438" s="725" t="s">
        <v>5490</v>
      </c>
      <c r="C438" s="726">
        <v>102050.3</v>
      </c>
    </row>
    <row r="439" ht="15.75" customHeight="1">
      <c r="A439" s="724" t="s">
        <v>1840</v>
      </c>
      <c r="B439" s="725" t="s">
        <v>5715</v>
      </c>
      <c r="C439" s="726">
        <v>101925.5</v>
      </c>
    </row>
    <row r="440" ht="15.75" customHeight="1">
      <c r="A440" s="724" t="s">
        <v>937</v>
      </c>
      <c r="B440" s="725" t="s">
        <v>5716</v>
      </c>
      <c r="C440" s="726">
        <v>101686.0</v>
      </c>
    </row>
    <row r="441" ht="15.75" customHeight="1">
      <c r="A441" s="724" t="s">
        <v>182</v>
      </c>
      <c r="B441" s="725" t="s">
        <v>5696</v>
      </c>
      <c r="C441" s="726">
        <v>101672.1</v>
      </c>
    </row>
    <row r="442" ht="15.75" customHeight="1">
      <c r="A442" s="724" t="s">
        <v>565</v>
      </c>
      <c r="B442" s="725" t="s">
        <v>5624</v>
      </c>
      <c r="C442" s="726">
        <v>101346.0</v>
      </c>
    </row>
    <row r="443" ht="15.75" customHeight="1">
      <c r="A443" s="724" t="s">
        <v>1063</v>
      </c>
      <c r="B443" s="725" t="s">
        <v>5717</v>
      </c>
      <c r="C443" s="726">
        <v>101144.9</v>
      </c>
    </row>
    <row r="444" ht="15.75" customHeight="1">
      <c r="A444" s="724" t="s">
        <v>1007</v>
      </c>
      <c r="B444" s="725" t="s">
        <v>5718</v>
      </c>
      <c r="C444" s="726">
        <v>101110.3</v>
      </c>
    </row>
    <row r="445" ht="15.75" customHeight="1">
      <c r="A445" s="724" t="s">
        <v>539</v>
      </c>
      <c r="B445" s="725" t="s">
        <v>5719</v>
      </c>
      <c r="C445" s="726">
        <v>100453.3</v>
      </c>
    </row>
    <row r="446" ht="15.75" customHeight="1">
      <c r="A446" s="724" t="s">
        <v>138</v>
      </c>
      <c r="B446" s="725" t="s">
        <v>5720</v>
      </c>
      <c r="C446" s="726">
        <v>99981.06</v>
      </c>
    </row>
    <row r="447" ht="15.75" customHeight="1">
      <c r="A447" s="724" t="s">
        <v>641</v>
      </c>
      <c r="B447" s="725" t="s">
        <v>5639</v>
      </c>
      <c r="C447" s="726">
        <v>99889.69</v>
      </c>
    </row>
    <row r="448" ht="15.75" customHeight="1">
      <c r="A448" s="724" t="s">
        <v>1556</v>
      </c>
      <c r="B448" s="725" t="s">
        <v>5669</v>
      </c>
      <c r="C448" s="726">
        <v>99658.37</v>
      </c>
    </row>
    <row r="449" ht="15.75" customHeight="1">
      <c r="A449" s="724" t="s">
        <v>2191</v>
      </c>
      <c r="B449" s="725" t="s">
        <v>5721</v>
      </c>
      <c r="C449" s="726">
        <v>99613.34</v>
      </c>
    </row>
    <row r="450" ht="15.75" customHeight="1">
      <c r="A450" s="724" t="s">
        <v>475</v>
      </c>
      <c r="B450" s="725" t="s">
        <v>5449</v>
      </c>
      <c r="C450" s="726">
        <v>98241.16</v>
      </c>
    </row>
    <row r="451" ht="15.75" customHeight="1">
      <c r="A451" s="724" t="s">
        <v>1530</v>
      </c>
      <c r="B451" s="725" t="s">
        <v>5636</v>
      </c>
      <c r="C451" s="726">
        <v>97464.81</v>
      </c>
    </row>
    <row r="452" ht="15.75" customHeight="1">
      <c r="A452" s="724" t="s">
        <v>1961</v>
      </c>
      <c r="B452" s="725" t="s">
        <v>5530</v>
      </c>
      <c r="C452" s="726">
        <v>95310.58</v>
      </c>
    </row>
    <row r="453" ht="15.75" customHeight="1">
      <c r="A453" s="724" t="s">
        <v>2003</v>
      </c>
      <c r="B453" s="725" t="s">
        <v>5455</v>
      </c>
      <c r="C453" s="726">
        <v>94116.02</v>
      </c>
    </row>
    <row r="454" ht="15.75" customHeight="1">
      <c r="A454" s="724" t="s">
        <v>2352</v>
      </c>
      <c r="B454" s="725" t="s">
        <v>5632</v>
      </c>
      <c r="C454" s="726">
        <v>92498.68</v>
      </c>
    </row>
    <row r="455" ht="15.75" customHeight="1">
      <c r="A455" s="724" t="s">
        <v>2345</v>
      </c>
      <c r="B455" s="725" t="s">
        <v>5632</v>
      </c>
      <c r="C455" s="726">
        <v>92010.37</v>
      </c>
    </row>
    <row r="456" ht="15.75" customHeight="1">
      <c r="A456" s="724" t="s">
        <v>647</v>
      </c>
      <c r="B456" s="725" t="s">
        <v>5722</v>
      </c>
      <c r="C456" s="726">
        <v>90374.63</v>
      </c>
    </row>
    <row r="457" ht="15.75" customHeight="1">
      <c r="A457" s="724" t="s">
        <v>2376</v>
      </c>
      <c r="B457" s="725" t="s">
        <v>5429</v>
      </c>
      <c r="C457" s="726">
        <v>88611.33</v>
      </c>
    </row>
    <row r="458" ht="15.75" customHeight="1">
      <c r="A458" s="724" t="s">
        <v>2152</v>
      </c>
      <c r="B458" s="725" t="s">
        <v>5461</v>
      </c>
      <c r="C458" s="726">
        <v>86573.2</v>
      </c>
    </row>
    <row r="459" ht="15.75" customHeight="1">
      <c r="A459" s="724" t="s">
        <v>1405</v>
      </c>
      <c r="B459" s="725" t="s">
        <v>5723</v>
      </c>
      <c r="C459" s="726">
        <v>86393.4</v>
      </c>
    </row>
    <row r="460" ht="15.75" customHeight="1">
      <c r="A460" s="724" t="s">
        <v>991</v>
      </c>
      <c r="B460" s="725" t="s">
        <v>5607</v>
      </c>
      <c r="C460" s="726">
        <v>86180.49</v>
      </c>
    </row>
    <row r="461" ht="15.75" customHeight="1">
      <c r="A461" s="724" t="s">
        <v>281</v>
      </c>
      <c r="B461" s="725" t="s">
        <v>5474</v>
      </c>
      <c r="C461" s="726">
        <v>82154.73</v>
      </c>
    </row>
    <row r="462" ht="15.75" customHeight="1">
      <c r="A462" s="724" t="s">
        <v>1345</v>
      </c>
      <c r="B462" s="725" t="s">
        <v>5475</v>
      </c>
      <c r="C462" s="726">
        <v>80940.03</v>
      </c>
    </row>
    <row r="463" ht="15.75" customHeight="1">
      <c r="A463" s="724" t="s">
        <v>319</v>
      </c>
      <c r="B463" s="725" t="s">
        <v>5724</v>
      </c>
      <c r="C463" s="726">
        <v>80611.77</v>
      </c>
    </row>
    <row r="464" ht="15.75" customHeight="1">
      <c r="A464" s="724" t="s">
        <v>893</v>
      </c>
      <c r="B464" s="725" t="s">
        <v>5725</v>
      </c>
      <c r="C464" s="726">
        <v>79910.29</v>
      </c>
    </row>
    <row r="465" ht="15.75" customHeight="1">
      <c r="A465" s="724" t="s">
        <v>2327</v>
      </c>
      <c r="B465" s="725" t="s">
        <v>5726</v>
      </c>
      <c r="C465" s="726">
        <v>79567.18</v>
      </c>
    </row>
    <row r="466" ht="15.75" customHeight="1">
      <c r="A466" s="724" t="s">
        <v>2175</v>
      </c>
      <c r="B466" s="725" t="s">
        <v>5654</v>
      </c>
      <c r="C466" s="726">
        <v>78108.92</v>
      </c>
    </row>
    <row r="467" ht="15.75" customHeight="1">
      <c r="A467" s="724" t="s">
        <v>260</v>
      </c>
      <c r="B467" s="725" t="s">
        <v>5480</v>
      </c>
      <c r="C467" s="726">
        <v>77655.67</v>
      </c>
    </row>
    <row r="468" ht="15.75" customHeight="1">
      <c r="A468" s="724" t="s">
        <v>383</v>
      </c>
      <c r="B468" s="725" t="s">
        <v>5727</v>
      </c>
      <c r="C468" s="726">
        <v>76661.89</v>
      </c>
    </row>
    <row r="469" ht="15.75" customHeight="1">
      <c r="A469" s="724" t="s">
        <v>1333</v>
      </c>
      <c r="B469" s="725" t="s">
        <v>5475</v>
      </c>
      <c r="C469" s="726">
        <v>75667.2</v>
      </c>
    </row>
    <row r="470" ht="15.75" customHeight="1">
      <c r="A470" s="724" t="s">
        <v>1763</v>
      </c>
      <c r="B470" s="725" t="s">
        <v>5427</v>
      </c>
      <c r="C470" s="726">
        <v>75631.32</v>
      </c>
    </row>
    <row r="471" ht="15.75" customHeight="1">
      <c r="A471" s="724" t="s">
        <v>1231</v>
      </c>
      <c r="B471" s="725" t="s">
        <v>5643</v>
      </c>
      <c r="C471" s="726">
        <v>75234.81</v>
      </c>
    </row>
    <row r="472" ht="15.75" customHeight="1">
      <c r="A472" s="724" t="s">
        <v>845</v>
      </c>
      <c r="B472" s="725" t="s">
        <v>5490</v>
      </c>
      <c r="C472" s="726">
        <v>74501.55</v>
      </c>
    </row>
    <row r="473" ht="15.75" customHeight="1">
      <c r="A473" s="724" t="s">
        <v>2468</v>
      </c>
      <c r="B473" s="725" t="s">
        <v>5728</v>
      </c>
      <c r="C473" s="726">
        <v>70588.2</v>
      </c>
    </row>
    <row r="474" ht="15.75" customHeight="1">
      <c r="A474" s="724" t="s">
        <v>741</v>
      </c>
      <c r="B474" s="725" t="s">
        <v>5729</v>
      </c>
      <c r="C474" s="726">
        <v>70091.27</v>
      </c>
    </row>
    <row r="475" ht="15.75" customHeight="1">
      <c r="A475" s="724" t="s">
        <v>212</v>
      </c>
      <c r="B475" s="725" t="s">
        <v>5730</v>
      </c>
      <c r="C475" s="726">
        <v>70025.08</v>
      </c>
    </row>
    <row r="476" ht="15.75" customHeight="1">
      <c r="A476" s="724" t="s">
        <v>1473</v>
      </c>
      <c r="B476" s="725" t="s">
        <v>5679</v>
      </c>
      <c r="C476" s="726">
        <v>69125.2</v>
      </c>
    </row>
    <row r="477" ht="15.75" customHeight="1">
      <c r="A477" s="724" t="s">
        <v>1352</v>
      </c>
      <c r="B477" s="725" t="s">
        <v>5475</v>
      </c>
      <c r="C477" s="726">
        <v>67917.53</v>
      </c>
    </row>
    <row r="478" ht="15.75" customHeight="1">
      <c r="A478" s="724" t="s">
        <v>2390</v>
      </c>
      <c r="B478" s="725" t="s">
        <v>5591</v>
      </c>
      <c r="C478" s="726">
        <v>67856.33</v>
      </c>
    </row>
    <row r="479" ht="15.75" customHeight="1">
      <c r="A479" s="724" t="s">
        <v>2199</v>
      </c>
      <c r="B479" s="725" t="s">
        <v>5721</v>
      </c>
      <c r="C479" s="726">
        <v>67182.01</v>
      </c>
    </row>
    <row r="480" ht="15.75" customHeight="1">
      <c r="A480" s="724" t="s">
        <v>1066</v>
      </c>
      <c r="B480" s="725" t="s">
        <v>5717</v>
      </c>
      <c r="C480" s="726">
        <v>67151.01</v>
      </c>
    </row>
    <row r="481" ht="15.75" customHeight="1">
      <c r="A481" s="724" t="s">
        <v>1965</v>
      </c>
      <c r="B481" s="725" t="s">
        <v>5530</v>
      </c>
      <c r="C481" s="726">
        <v>66658.45</v>
      </c>
    </row>
    <row r="482" ht="15.75" customHeight="1">
      <c r="A482" s="724" t="s">
        <v>1679</v>
      </c>
      <c r="B482" s="725" t="s">
        <v>5494</v>
      </c>
      <c r="C482" s="726">
        <v>65746.39</v>
      </c>
    </row>
    <row r="483" ht="15.75" customHeight="1">
      <c r="A483" s="724" t="s">
        <v>713</v>
      </c>
      <c r="B483" s="725" t="s">
        <v>5731</v>
      </c>
      <c r="C483" s="726">
        <v>64444.87</v>
      </c>
    </row>
    <row r="484" ht="15.75" customHeight="1">
      <c r="A484" s="724" t="s">
        <v>1236</v>
      </c>
      <c r="B484" s="725" t="s">
        <v>5732</v>
      </c>
      <c r="C484" s="726">
        <v>64380.36</v>
      </c>
    </row>
    <row r="485" ht="15.75" customHeight="1">
      <c r="A485" s="724" t="s">
        <v>1860</v>
      </c>
      <c r="B485" s="725" t="s">
        <v>5733</v>
      </c>
      <c r="C485" s="726">
        <v>64111.54</v>
      </c>
    </row>
    <row r="486" ht="15.75" customHeight="1">
      <c r="A486" s="724" t="s">
        <v>1414</v>
      </c>
      <c r="B486" s="725" t="s">
        <v>5734</v>
      </c>
      <c r="C486" s="726">
        <v>61477.04</v>
      </c>
    </row>
    <row r="487" ht="15.75" customHeight="1">
      <c r="A487" s="724" t="s">
        <v>2531</v>
      </c>
      <c r="B487" s="725" t="s">
        <v>5735</v>
      </c>
      <c r="C487" s="726">
        <v>61283.31</v>
      </c>
    </row>
    <row r="488" ht="15.75" customHeight="1">
      <c r="A488" s="724" t="s">
        <v>1275</v>
      </c>
      <c r="B488" s="725" t="s">
        <v>5566</v>
      </c>
      <c r="C488" s="726">
        <v>60280.82</v>
      </c>
    </row>
    <row r="489" ht="15.75" customHeight="1">
      <c r="A489" s="724" t="s">
        <v>2396</v>
      </c>
      <c r="B489" s="725" t="s">
        <v>5736</v>
      </c>
      <c r="C489" s="726">
        <v>60208.77</v>
      </c>
    </row>
    <row r="490" ht="15.75" customHeight="1">
      <c r="A490" s="724" t="s">
        <v>2202</v>
      </c>
      <c r="B490" s="725" t="s">
        <v>5721</v>
      </c>
      <c r="C490" s="726">
        <v>57447.16</v>
      </c>
    </row>
    <row r="491" ht="15.75" customHeight="1">
      <c r="A491" s="724" t="s">
        <v>1673</v>
      </c>
      <c r="B491" s="725" t="s">
        <v>5494</v>
      </c>
      <c r="C491" s="726">
        <v>54709.84</v>
      </c>
    </row>
    <row r="492" ht="15.75" customHeight="1">
      <c r="A492" s="724" t="s">
        <v>1615</v>
      </c>
      <c r="B492" s="725" t="s">
        <v>5497</v>
      </c>
      <c r="C492" s="726">
        <v>52069.64</v>
      </c>
    </row>
    <row r="493" ht="15.75" customHeight="1">
      <c r="A493" s="724" t="s">
        <v>852</v>
      </c>
      <c r="B493" s="725" t="s">
        <v>5737</v>
      </c>
      <c r="C493" s="726">
        <v>51842.34</v>
      </c>
    </row>
    <row r="494" ht="15.75" customHeight="1">
      <c r="A494" s="724" t="s">
        <v>2208</v>
      </c>
      <c r="B494" s="725" t="s">
        <v>5721</v>
      </c>
      <c r="C494" s="726">
        <v>51186.75</v>
      </c>
    </row>
    <row r="495" ht="15.75" customHeight="1">
      <c r="A495" s="724" t="s">
        <v>1625</v>
      </c>
      <c r="B495" s="725" t="s">
        <v>5738</v>
      </c>
      <c r="C495" s="726">
        <v>51117.57</v>
      </c>
    </row>
    <row r="496" ht="15.75" customHeight="1">
      <c r="A496" s="724" t="s">
        <v>793</v>
      </c>
      <c r="B496" s="725" t="s">
        <v>5739</v>
      </c>
      <c r="C496" s="726">
        <v>51097.54</v>
      </c>
    </row>
    <row r="497" ht="15.75" customHeight="1">
      <c r="A497" s="724" t="s">
        <v>1922</v>
      </c>
      <c r="B497" s="725" t="s">
        <v>5740</v>
      </c>
      <c r="C497" s="726">
        <v>50883.2</v>
      </c>
    </row>
    <row r="498" ht="15.75" customHeight="1">
      <c r="A498" s="724" t="s">
        <v>866</v>
      </c>
      <c r="B498" s="725" t="s">
        <v>5472</v>
      </c>
      <c r="C498" s="726">
        <v>50465.08</v>
      </c>
    </row>
    <row r="499" ht="15.75" customHeight="1">
      <c r="A499" s="724" t="s">
        <v>1492</v>
      </c>
      <c r="B499" s="725" t="s">
        <v>5679</v>
      </c>
      <c r="C499" s="726">
        <v>49508.0</v>
      </c>
    </row>
    <row r="500" ht="15.75" customHeight="1">
      <c r="A500" s="724" t="s">
        <v>1450</v>
      </c>
      <c r="B500" s="725" t="s">
        <v>5517</v>
      </c>
      <c r="C500" s="726">
        <v>48479.02</v>
      </c>
    </row>
    <row r="501" ht="15.75" customHeight="1">
      <c r="A501" s="724" t="s">
        <v>1883</v>
      </c>
      <c r="B501" s="725" t="s">
        <v>5741</v>
      </c>
      <c r="C501" s="726">
        <v>47820.2</v>
      </c>
    </row>
    <row r="502" ht="15.75" customHeight="1">
      <c r="A502" s="724" t="s">
        <v>418</v>
      </c>
      <c r="B502" s="725" t="s">
        <v>5582</v>
      </c>
      <c r="C502" s="726">
        <v>47320.13</v>
      </c>
    </row>
    <row r="503" ht="15.75" customHeight="1">
      <c r="A503" s="724" t="s">
        <v>546</v>
      </c>
      <c r="B503" s="725" t="s">
        <v>5742</v>
      </c>
      <c r="C503" s="726">
        <v>47285.27</v>
      </c>
    </row>
    <row r="504" ht="15.75" customHeight="1">
      <c r="A504" s="724" t="s">
        <v>1824</v>
      </c>
      <c r="B504" s="725" t="s">
        <v>5559</v>
      </c>
      <c r="C504" s="726">
        <v>46780.24</v>
      </c>
    </row>
    <row r="505" ht="15.75" customHeight="1">
      <c r="A505" s="724" t="s">
        <v>1069</v>
      </c>
      <c r="B505" s="725" t="s">
        <v>5743</v>
      </c>
      <c r="C505" s="726">
        <v>43983.54</v>
      </c>
    </row>
    <row r="506" ht="15.75" customHeight="1">
      <c r="A506" s="724" t="s">
        <v>2066</v>
      </c>
      <c r="B506" s="725" t="s">
        <v>5441</v>
      </c>
      <c r="C506" s="726">
        <v>43856.45</v>
      </c>
    </row>
    <row r="507" ht="15.75" customHeight="1">
      <c r="A507" s="724" t="s">
        <v>1153</v>
      </c>
      <c r="B507" s="725" t="s">
        <v>5548</v>
      </c>
      <c r="C507" s="726">
        <v>43716.94</v>
      </c>
    </row>
    <row r="508" ht="15.75" customHeight="1">
      <c r="A508" s="724" t="s">
        <v>2263</v>
      </c>
      <c r="B508" s="725" t="s">
        <v>5542</v>
      </c>
      <c r="C508" s="726">
        <v>43624.82</v>
      </c>
    </row>
    <row r="509" ht="15.75" customHeight="1">
      <c r="A509" s="724" t="s">
        <v>620</v>
      </c>
      <c r="B509" s="725" t="s">
        <v>5469</v>
      </c>
      <c r="C509" s="726">
        <v>43506.55</v>
      </c>
    </row>
    <row r="510" ht="15.75" customHeight="1">
      <c r="A510" s="724" t="s">
        <v>1619</v>
      </c>
      <c r="B510" s="725" t="s">
        <v>5744</v>
      </c>
      <c r="C510" s="726">
        <v>41938.18</v>
      </c>
    </row>
    <row r="511" ht="15.75" customHeight="1">
      <c r="A511" s="724" t="s">
        <v>703</v>
      </c>
      <c r="B511" s="725" t="s">
        <v>5436</v>
      </c>
      <c r="C511" s="726">
        <v>41133.69</v>
      </c>
    </row>
    <row r="512" ht="15.75" customHeight="1">
      <c r="A512" s="724" t="s">
        <v>1541</v>
      </c>
      <c r="B512" s="725" t="s">
        <v>5636</v>
      </c>
      <c r="C512" s="726">
        <v>38519.09</v>
      </c>
    </row>
    <row r="513" ht="15.75" customHeight="1">
      <c r="A513" s="724" t="s">
        <v>1990</v>
      </c>
      <c r="B513" s="725" t="s">
        <v>5455</v>
      </c>
      <c r="C513" s="726">
        <v>38084.03</v>
      </c>
    </row>
    <row r="514" ht="15.75" customHeight="1">
      <c r="A514" s="724" t="s">
        <v>862</v>
      </c>
      <c r="B514" s="725" t="s">
        <v>5472</v>
      </c>
      <c r="C514" s="726">
        <v>36812.26</v>
      </c>
    </row>
    <row r="515" ht="15.75" customHeight="1">
      <c r="A515" s="724" t="s">
        <v>330</v>
      </c>
      <c r="B515" s="725" t="s">
        <v>5745</v>
      </c>
      <c r="C515" s="726">
        <v>36623.36</v>
      </c>
    </row>
    <row r="516" ht="15.75" customHeight="1">
      <c r="A516" s="724" t="s">
        <v>1443</v>
      </c>
      <c r="B516" s="725" t="s">
        <v>5426</v>
      </c>
      <c r="C516" s="726">
        <v>36287.91</v>
      </c>
    </row>
    <row r="517" ht="15.75" customHeight="1">
      <c r="A517" s="724" t="s">
        <v>5746</v>
      </c>
      <c r="B517" s="725" t="s">
        <v>5747</v>
      </c>
      <c r="C517" s="726">
        <v>36130.78</v>
      </c>
    </row>
    <row r="518" ht="15.75" customHeight="1">
      <c r="A518" s="724" t="s">
        <v>1461</v>
      </c>
      <c r="B518" s="725" t="s">
        <v>5471</v>
      </c>
      <c r="C518" s="726">
        <v>35574.34</v>
      </c>
    </row>
    <row r="519" ht="15.75" customHeight="1">
      <c r="A519" s="724" t="s">
        <v>1780</v>
      </c>
      <c r="B519" s="725" t="s">
        <v>5748</v>
      </c>
      <c r="C519" s="726">
        <v>35500.08</v>
      </c>
    </row>
    <row r="520" ht="15.75" customHeight="1">
      <c r="A520" s="724" t="s">
        <v>1239</v>
      </c>
      <c r="B520" s="725" t="s">
        <v>5732</v>
      </c>
      <c r="C520" s="726">
        <v>34772.41</v>
      </c>
    </row>
    <row r="521" ht="15.75" customHeight="1">
      <c r="A521" s="724" t="s">
        <v>2465</v>
      </c>
      <c r="B521" s="725" t="s">
        <v>5749</v>
      </c>
      <c r="C521" s="726">
        <v>33138.54</v>
      </c>
    </row>
    <row r="522" ht="15.75" customHeight="1">
      <c r="A522" s="724" t="s">
        <v>2010</v>
      </c>
      <c r="B522" s="725" t="s">
        <v>5537</v>
      </c>
      <c r="C522" s="726">
        <v>32814.45</v>
      </c>
    </row>
    <row r="523" ht="15.75" customHeight="1">
      <c r="A523" s="724" t="s">
        <v>5750</v>
      </c>
      <c r="B523" s="725" t="s">
        <v>5637</v>
      </c>
      <c r="C523" s="726">
        <v>30230.31</v>
      </c>
    </row>
    <row r="524" ht="15.75" customHeight="1">
      <c r="A524" s="724" t="s">
        <v>822</v>
      </c>
      <c r="B524" s="725" t="s">
        <v>5751</v>
      </c>
      <c r="C524" s="726">
        <v>29852.14</v>
      </c>
    </row>
    <row r="525" ht="15.75" customHeight="1">
      <c r="A525" s="724" t="s">
        <v>577</v>
      </c>
      <c r="B525" s="725" t="s">
        <v>5676</v>
      </c>
      <c r="C525" s="726">
        <v>29258.67</v>
      </c>
    </row>
    <row r="526" ht="15.75" customHeight="1">
      <c r="A526" s="724" t="s">
        <v>716</v>
      </c>
      <c r="B526" s="725" t="s">
        <v>5752</v>
      </c>
      <c r="C526" s="726">
        <v>28671.13</v>
      </c>
    </row>
    <row r="527" ht="15.75" customHeight="1">
      <c r="A527" s="724" t="s">
        <v>305</v>
      </c>
      <c r="B527" s="725" t="s">
        <v>5532</v>
      </c>
      <c r="C527" s="726">
        <v>28007.68</v>
      </c>
    </row>
    <row r="528" ht="15.75" customHeight="1">
      <c r="A528" s="724" t="s">
        <v>1216</v>
      </c>
      <c r="B528" s="725" t="s">
        <v>5753</v>
      </c>
      <c r="C528" s="726">
        <v>27471.55</v>
      </c>
    </row>
    <row r="529" ht="15.75" customHeight="1">
      <c r="A529" s="724" t="s">
        <v>1041</v>
      </c>
      <c r="B529" s="725" t="s">
        <v>5589</v>
      </c>
      <c r="C529" s="726">
        <v>26059.95</v>
      </c>
    </row>
    <row r="530" ht="15.75" customHeight="1">
      <c r="A530" s="724" t="s">
        <v>1495</v>
      </c>
      <c r="B530" s="725" t="s">
        <v>5679</v>
      </c>
      <c r="C530" s="726">
        <v>25316.44</v>
      </c>
    </row>
    <row r="531" ht="15.75" customHeight="1">
      <c r="A531" s="724" t="s">
        <v>446</v>
      </c>
      <c r="B531" s="725" t="s">
        <v>5754</v>
      </c>
      <c r="C531" s="726">
        <v>25250.63</v>
      </c>
    </row>
    <row r="532" ht="15.75" customHeight="1">
      <c r="A532" s="724" t="s">
        <v>1358</v>
      </c>
      <c r="B532" s="725" t="s">
        <v>5475</v>
      </c>
      <c r="C532" s="726">
        <v>24022.54</v>
      </c>
    </row>
    <row r="533" ht="15.75" customHeight="1">
      <c r="A533" s="724" t="s">
        <v>5755</v>
      </c>
      <c r="B533" s="725" t="s">
        <v>5566</v>
      </c>
      <c r="C533" s="726">
        <v>23593.91</v>
      </c>
    </row>
    <row r="534" ht="15.75" customHeight="1">
      <c r="A534" s="724" t="s">
        <v>175</v>
      </c>
      <c r="B534" s="725" t="s">
        <v>5696</v>
      </c>
      <c r="C534" s="726">
        <v>23069.76</v>
      </c>
    </row>
    <row r="535" ht="15.75" customHeight="1">
      <c r="A535" s="724" t="s">
        <v>364</v>
      </c>
      <c r="B535" s="725" t="s">
        <v>5419</v>
      </c>
      <c r="C535" s="729">
        <v>22213.14</v>
      </c>
    </row>
    <row r="536" ht="15.75" customHeight="1">
      <c r="A536" s="724" t="s">
        <v>2123</v>
      </c>
      <c r="B536" s="725" t="s">
        <v>5533</v>
      </c>
      <c r="C536" s="729">
        <v>21304.86</v>
      </c>
    </row>
    <row r="537" ht="15.75" customHeight="1">
      <c r="A537" s="724" t="s">
        <v>1820</v>
      </c>
      <c r="B537" s="725" t="s">
        <v>5559</v>
      </c>
      <c r="C537" s="729">
        <v>21198.1</v>
      </c>
    </row>
    <row r="538" ht="15.75" customHeight="1">
      <c r="A538" s="724" t="s">
        <v>235</v>
      </c>
      <c r="B538" s="725" t="s">
        <v>5480</v>
      </c>
      <c r="C538" s="729">
        <v>21137.27</v>
      </c>
    </row>
    <row r="539" ht="15.75" customHeight="1">
      <c r="A539" s="724" t="s">
        <v>1588</v>
      </c>
      <c r="B539" s="725" t="s">
        <v>5587</v>
      </c>
      <c r="C539" s="729">
        <v>20028.56</v>
      </c>
    </row>
    <row r="540" ht="15.75" customHeight="1">
      <c r="A540" s="724" t="s">
        <v>437</v>
      </c>
      <c r="B540" s="725" t="s">
        <v>5756</v>
      </c>
      <c r="C540" s="729">
        <v>18228.91</v>
      </c>
    </row>
    <row r="541" ht="15.75" customHeight="1">
      <c r="A541" s="724" t="s">
        <v>1000</v>
      </c>
      <c r="B541" s="725" t="s">
        <v>5607</v>
      </c>
      <c r="C541" s="729">
        <v>18210.77</v>
      </c>
    </row>
    <row r="542" ht="15.75" customHeight="1">
      <c r="A542" s="724" t="s">
        <v>2078</v>
      </c>
      <c r="B542" s="725" t="s">
        <v>5441</v>
      </c>
      <c r="C542" s="729">
        <v>16727.76</v>
      </c>
    </row>
    <row r="543" ht="15.75" customHeight="1">
      <c r="A543" s="724" t="s">
        <v>2013</v>
      </c>
      <c r="B543" s="725" t="s">
        <v>5537</v>
      </c>
      <c r="C543" s="729">
        <v>15769.76</v>
      </c>
    </row>
    <row r="544" ht="15.75" customHeight="1">
      <c r="A544" s="724" t="s">
        <v>1802</v>
      </c>
      <c r="B544" s="725" t="s">
        <v>5619</v>
      </c>
      <c r="C544" s="729">
        <v>14928.5</v>
      </c>
    </row>
    <row r="545" ht="15.75" customHeight="1">
      <c r="A545" s="724" t="s">
        <v>1051</v>
      </c>
      <c r="B545" s="725" t="s">
        <v>5589</v>
      </c>
      <c r="C545" s="729">
        <v>14794.93</v>
      </c>
    </row>
    <row r="546" ht="15.75" customHeight="1">
      <c r="A546" s="724" t="s">
        <v>596</v>
      </c>
      <c r="B546" s="725" t="s">
        <v>5757</v>
      </c>
      <c r="C546" s="729">
        <v>14598.4</v>
      </c>
    </row>
    <row r="547" ht="15.75" customHeight="1">
      <c r="A547" s="724" t="s">
        <v>755</v>
      </c>
      <c r="B547" s="725" t="s">
        <v>5563</v>
      </c>
      <c r="C547" s="729">
        <v>14324.04</v>
      </c>
    </row>
    <row r="548" ht="15.75" customHeight="1">
      <c r="A548" s="724" t="s">
        <v>398</v>
      </c>
      <c r="B548" s="725" t="s">
        <v>5635</v>
      </c>
      <c r="C548" s="729">
        <v>12278.53</v>
      </c>
    </row>
    <row r="549" ht="15.75" customHeight="1">
      <c r="A549" s="724" t="s">
        <v>1843</v>
      </c>
      <c r="B549" s="725" t="s">
        <v>5758</v>
      </c>
      <c r="C549" s="729">
        <v>11660.33</v>
      </c>
    </row>
    <row r="550" ht="15.75" customHeight="1">
      <c r="A550" s="724" t="s">
        <v>1813</v>
      </c>
      <c r="B550" s="725" t="s">
        <v>5759</v>
      </c>
      <c r="C550" s="729">
        <v>11660.33</v>
      </c>
    </row>
    <row r="551" ht="15.75" customHeight="1">
      <c r="A551" s="724" t="s">
        <v>1590</v>
      </c>
      <c r="B551" s="725" t="s">
        <v>5447</v>
      </c>
      <c r="C551" s="729">
        <v>11637.22</v>
      </c>
    </row>
    <row r="552" ht="15.75" customHeight="1">
      <c r="A552" s="724" t="s">
        <v>5760</v>
      </c>
      <c r="B552" s="725" t="s">
        <v>5761</v>
      </c>
      <c r="C552" s="729">
        <v>10622.05</v>
      </c>
    </row>
    <row r="553" ht="15.75" customHeight="1">
      <c r="A553" s="724" t="s">
        <v>1606</v>
      </c>
      <c r="B553" s="725" t="s">
        <v>5497</v>
      </c>
      <c r="C553" s="729">
        <v>10563.05</v>
      </c>
    </row>
    <row r="554" ht="15.75" customHeight="1">
      <c r="A554" s="724" t="s">
        <v>154</v>
      </c>
      <c r="B554" s="725" t="s">
        <v>5554</v>
      </c>
      <c r="C554" s="729">
        <v>10037.61</v>
      </c>
    </row>
    <row r="555" ht="15.75" customHeight="1">
      <c r="A555" s="724" t="s">
        <v>2205</v>
      </c>
      <c r="B555" s="725" t="s">
        <v>5721</v>
      </c>
      <c r="C555" s="729">
        <v>10036.26</v>
      </c>
    </row>
    <row r="556" ht="15.75" customHeight="1">
      <c r="A556" s="724" t="s">
        <v>1198</v>
      </c>
      <c r="B556" s="725" t="s">
        <v>5417</v>
      </c>
      <c r="C556" s="729">
        <v>9829.53</v>
      </c>
    </row>
    <row r="557" ht="15.75" customHeight="1">
      <c r="A557" s="724" t="s">
        <v>5762</v>
      </c>
      <c r="B557" s="725" t="s">
        <v>5458</v>
      </c>
      <c r="C557" s="729">
        <v>9431.09</v>
      </c>
    </row>
    <row r="558" ht="15.75" customHeight="1">
      <c r="A558" s="724" t="s">
        <v>1038</v>
      </c>
      <c r="B558" s="725" t="s">
        <v>5589</v>
      </c>
      <c r="C558" s="729">
        <v>9349.91</v>
      </c>
    </row>
    <row r="559" ht="15.75" customHeight="1">
      <c r="A559" s="724" t="s">
        <v>5763</v>
      </c>
      <c r="B559" s="725" t="s">
        <v>5764</v>
      </c>
      <c r="C559" s="729">
        <v>8391.65</v>
      </c>
    </row>
    <row r="560" ht="15.75" customHeight="1">
      <c r="A560" s="724" t="s">
        <v>2266</v>
      </c>
      <c r="B560" s="725" t="s">
        <v>5765</v>
      </c>
      <c r="C560" s="729">
        <v>7825.33</v>
      </c>
    </row>
    <row r="561" ht="15.75" customHeight="1">
      <c r="A561" s="724" t="s">
        <v>2450</v>
      </c>
      <c r="B561" s="725" t="s">
        <v>5766</v>
      </c>
      <c r="C561" s="729">
        <v>7480.62</v>
      </c>
    </row>
    <row r="562" ht="15.75" customHeight="1">
      <c r="A562" s="724" t="s">
        <v>404</v>
      </c>
      <c r="B562" s="725" t="s">
        <v>5635</v>
      </c>
      <c r="C562" s="729">
        <v>7356.79</v>
      </c>
    </row>
    <row r="563" ht="15.75" customHeight="1">
      <c r="A563" s="724" t="s">
        <v>1366</v>
      </c>
      <c r="B563" s="725" t="s">
        <v>5691</v>
      </c>
      <c r="C563" s="729">
        <v>7069.85</v>
      </c>
    </row>
    <row r="564" ht="15.75" customHeight="1">
      <c r="A564" s="724" t="s">
        <v>2355</v>
      </c>
      <c r="B564" s="725" t="s">
        <v>5767</v>
      </c>
      <c r="C564" s="729">
        <v>7008.93</v>
      </c>
    </row>
    <row r="565" ht="15.75" customHeight="1">
      <c r="A565" s="724" t="s">
        <v>1373</v>
      </c>
      <c r="B565" s="725" t="s">
        <v>5768</v>
      </c>
      <c r="C565" s="729">
        <v>5735.17</v>
      </c>
    </row>
    <row r="566" ht="15.75" customHeight="1">
      <c r="A566" s="724" t="s">
        <v>5769</v>
      </c>
      <c r="B566" s="725" t="s">
        <v>5465</v>
      </c>
      <c r="C566" s="729">
        <v>5236.34</v>
      </c>
    </row>
    <row r="567" ht="15.75" customHeight="1">
      <c r="A567" s="724" t="s">
        <v>1870</v>
      </c>
      <c r="B567" s="725" t="s">
        <v>5672</v>
      </c>
      <c r="C567" s="729">
        <v>4827.44</v>
      </c>
    </row>
    <row r="568" ht="15.75" customHeight="1">
      <c r="A568" s="724" t="s">
        <v>5770</v>
      </c>
      <c r="B568" s="725" t="s">
        <v>5771</v>
      </c>
      <c r="C568" s="729">
        <v>4575.45</v>
      </c>
    </row>
    <row r="569" ht="15.75" customHeight="1">
      <c r="A569" s="724" t="s">
        <v>971</v>
      </c>
      <c r="B569" s="725" t="s">
        <v>5534</v>
      </c>
      <c r="C569" s="729">
        <v>4404.61</v>
      </c>
    </row>
    <row r="570" ht="15.75" customHeight="1">
      <c r="A570" s="724" t="s">
        <v>302</v>
      </c>
      <c r="B570" s="725" t="s">
        <v>5532</v>
      </c>
      <c r="C570" s="729">
        <v>4176.48</v>
      </c>
    </row>
    <row r="571" ht="15.75" customHeight="1">
      <c r="A571" s="724" t="s">
        <v>1902</v>
      </c>
      <c r="B571" s="725" t="s">
        <v>5772</v>
      </c>
      <c r="C571" s="729">
        <v>3718.75</v>
      </c>
    </row>
    <row r="572" ht="15.75" customHeight="1">
      <c r="A572" s="724" t="s">
        <v>1597</v>
      </c>
      <c r="B572" s="725" t="s">
        <v>5497</v>
      </c>
      <c r="C572" s="729">
        <v>3684.22</v>
      </c>
    </row>
    <row r="573" ht="15.75" customHeight="1">
      <c r="A573" s="724" t="s">
        <v>127</v>
      </c>
      <c r="B573" s="725" t="s">
        <v>5773</v>
      </c>
      <c r="C573" s="729">
        <v>3681.62</v>
      </c>
    </row>
    <row r="574" ht="15.75" customHeight="1">
      <c r="A574" s="724" t="s">
        <v>457</v>
      </c>
      <c r="B574" s="725" t="s">
        <v>5449</v>
      </c>
      <c r="C574" s="729">
        <v>3579.11</v>
      </c>
    </row>
    <row r="575" ht="15.75" customHeight="1">
      <c r="A575" s="724" t="s">
        <v>5774</v>
      </c>
      <c r="B575" s="725" t="s">
        <v>5447</v>
      </c>
      <c r="C575" s="729">
        <v>3423.95</v>
      </c>
    </row>
    <row r="576" ht="15.75" customHeight="1">
      <c r="A576" s="724" t="s">
        <v>2257</v>
      </c>
      <c r="B576" s="725" t="s">
        <v>5775</v>
      </c>
      <c r="C576" s="729">
        <v>3041.51</v>
      </c>
    </row>
    <row r="577" ht="15.75" customHeight="1">
      <c r="A577" s="724" t="s">
        <v>5776</v>
      </c>
      <c r="B577" s="725" t="s">
        <v>5545</v>
      </c>
      <c r="C577" s="729">
        <v>2898.45</v>
      </c>
    </row>
    <row r="578" ht="15.75" customHeight="1">
      <c r="A578" s="724" t="s">
        <v>1168</v>
      </c>
      <c r="B578" s="725" t="s">
        <v>5573</v>
      </c>
      <c r="C578" s="729">
        <v>2543.36</v>
      </c>
    </row>
    <row r="579" ht="15.75" customHeight="1">
      <c r="A579" s="724" t="s">
        <v>5777</v>
      </c>
      <c r="B579" s="725" t="s">
        <v>5537</v>
      </c>
      <c r="C579" s="729">
        <v>2424.07</v>
      </c>
    </row>
    <row r="580" ht="15.75" customHeight="1">
      <c r="A580" s="724" t="s">
        <v>1622</v>
      </c>
      <c r="B580" s="725" t="s">
        <v>5778</v>
      </c>
      <c r="C580" s="729">
        <v>2376.18</v>
      </c>
    </row>
    <row r="581" ht="15.75" customHeight="1">
      <c r="A581" s="724" t="s">
        <v>753</v>
      </c>
      <c r="B581" s="725" t="s">
        <v>5563</v>
      </c>
      <c r="C581" s="729">
        <v>1518.07</v>
      </c>
    </row>
    <row r="582" ht="15.75" customHeight="1">
      <c r="A582" s="724" t="s">
        <v>807</v>
      </c>
      <c r="B582" s="725" t="s">
        <v>5437</v>
      </c>
      <c r="C582" s="729">
        <v>1494.68</v>
      </c>
    </row>
    <row r="583" ht="15.75" customHeight="1">
      <c r="A583" s="724" t="s">
        <v>2115</v>
      </c>
      <c r="B583" s="725" t="s">
        <v>5711</v>
      </c>
      <c r="C583" s="729">
        <v>1318.62</v>
      </c>
    </row>
    <row r="584" ht="15.75" customHeight="1">
      <c r="A584" s="724" t="s">
        <v>5779</v>
      </c>
      <c r="B584" s="725" t="s">
        <v>5780</v>
      </c>
      <c r="C584" s="729">
        <v>1231.17</v>
      </c>
    </row>
    <row r="585" ht="15.75" customHeight="1">
      <c r="A585" s="724" t="s">
        <v>686</v>
      </c>
      <c r="B585" s="725" t="s">
        <v>5677</v>
      </c>
      <c r="C585" s="729">
        <v>1133.46</v>
      </c>
    </row>
    <row r="586" ht="15.75" customHeight="1">
      <c r="A586" s="724" t="s">
        <v>1905</v>
      </c>
      <c r="B586" s="725" t="s">
        <v>5781</v>
      </c>
      <c r="C586" s="729">
        <v>1130.99</v>
      </c>
    </row>
    <row r="587" ht="15.75" customHeight="1">
      <c r="A587" s="724" t="s">
        <v>2074</v>
      </c>
      <c r="B587" s="725" t="s">
        <v>5441</v>
      </c>
      <c r="C587" s="729">
        <v>967.08</v>
      </c>
    </row>
    <row r="588" ht="15.75" customHeight="1">
      <c r="A588" s="724" t="s">
        <v>291</v>
      </c>
      <c r="B588" s="725" t="s">
        <v>5474</v>
      </c>
      <c r="C588" s="729">
        <v>910.15</v>
      </c>
    </row>
    <row r="589" ht="15.75" customHeight="1">
      <c r="A589" s="724" t="s">
        <v>2212</v>
      </c>
      <c r="B589" s="725" t="s">
        <v>5721</v>
      </c>
      <c r="C589" s="729">
        <v>902.31</v>
      </c>
    </row>
    <row r="590" ht="15.75" customHeight="1">
      <c r="A590" s="724" t="s">
        <v>2118</v>
      </c>
      <c r="B590" s="725" t="s">
        <v>5711</v>
      </c>
      <c r="C590" s="729">
        <v>778.06</v>
      </c>
    </row>
    <row r="591" ht="15.75" customHeight="1">
      <c r="A591" s="724" t="s">
        <v>549</v>
      </c>
      <c r="B591" s="725" t="s">
        <v>5742</v>
      </c>
      <c r="C591" s="729">
        <v>735.11</v>
      </c>
    </row>
    <row r="592" ht="15.75" customHeight="1">
      <c r="A592" s="724" t="s">
        <v>5782</v>
      </c>
      <c r="B592" s="725" t="s">
        <v>5528</v>
      </c>
      <c r="C592" s="729">
        <v>713.11</v>
      </c>
    </row>
    <row r="593" ht="15.75" customHeight="1">
      <c r="A593" s="724" t="s">
        <v>5783</v>
      </c>
      <c r="B593" s="725" t="s">
        <v>5528</v>
      </c>
      <c r="C593" s="729">
        <v>707.17</v>
      </c>
    </row>
    <row r="594" ht="15.75" customHeight="1">
      <c r="A594" s="724" t="s">
        <v>5784</v>
      </c>
      <c r="B594" s="725" t="s">
        <v>5785</v>
      </c>
      <c r="C594" s="729">
        <v>704.54</v>
      </c>
    </row>
    <row r="595" ht="15.75" customHeight="1">
      <c r="A595" s="724" t="s">
        <v>145</v>
      </c>
      <c r="B595" s="725" t="s">
        <v>5554</v>
      </c>
      <c r="C595" s="729">
        <v>557.5</v>
      </c>
    </row>
    <row r="596" ht="15.75" customHeight="1">
      <c r="A596" s="724" t="s">
        <v>232</v>
      </c>
      <c r="B596" s="725" t="s">
        <v>5480</v>
      </c>
      <c r="C596" s="729">
        <v>462.39</v>
      </c>
    </row>
    <row r="597" ht="15.75" customHeight="1">
      <c r="A597" s="724" t="s">
        <v>1715</v>
      </c>
      <c r="B597" s="725" t="s">
        <v>5531</v>
      </c>
      <c r="C597" s="729">
        <v>454.77</v>
      </c>
    </row>
    <row r="598" ht="15.75" customHeight="1">
      <c r="A598" s="724" t="s">
        <v>1260</v>
      </c>
      <c r="B598" s="725" t="s">
        <v>5786</v>
      </c>
      <c r="C598" s="729">
        <v>436.8</v>
      </c>
    </row>
    <row r="599" ht="15.75" customHeight="1">
      <c r="A599" s="724" t="s">
        <v>1579</v>
      </c>
      <c r="B599" s="725" t="s">
        <v>5587</v>
      </c>
      <c r="C599" s="729">
        <v>417.64</v>
      </c>
    </row>
    <row r="600" ht="15.75" customHeight="1">
      <c r="A600" s="724" t="s">
        <v>2155</v>
      </c>
      <c r="B600" s="725" t="s">
        <v>5461</v>
      </c>
      <c r="C600" s="729">
        <v>367.42</v>
      </c>
    </row>
    <row r="601" ht="15.75" customHeight="1">
      <c r="A601" s="724" t="s">
        <v>387</v>
      </c>
      <c r="B601" s="725" t="s">
        <v>5787</v>
      </c>
      <c r="C601" s="729">
        <v>300.87</v>
      </c>
    </row>
    <row r="602" ht="15.75" customHeight="1">
      <c r="A602" s="724" t="s">
        <v>1575</v>
      </c>
      <c r="B602" s="725" t="s">
        <v>5587</v>
      </c>
      <c r="C602" s="729">
        <v>263.83</v>
      </c>
    </row>
    <row r="603" ht="15.75" customHeight="1">
      <c r="A603" s="724" t="s">
        <v>2254</v>
      </c>
      <c r="B603" s="725" t="s">
        <v>5788</v>
      </c>
      <c r="C603" s="729">
        <v>253.33</v>
      </c>
    </row>
    <row r="604" ht="15.75" customHeight="1">
      <c r="A604" s="724" t="s">
        <v>1130</v>
      </c>
      <c r="B604" s="725" t="s">
        <v>5439</v>
      </c>
      <c r="C604" s="729">
        <v>231.35</v>
      </c>
    </row>
    <row r="605" ht="15.75" customHeight="1">
      <c r="A605" s="724" t="s">
        <v>1433</v>
      </c>
      <c r="B605" s="725" t="s">
        <v>5789</v>
      </c>
      <c r="C605" s="729">
        <v>224.34</v>
      </c>
    </row>
    <row r="606" ht="15.75" customHeight="1">
      <c r="A606" s="724" t="s">
        <v>711</v>
      </c>
      <c r="B606" s="725" t="s">
        <v>5436</v>
      </c>
      <c r="C606" s="729">
        <v>213.66</v>
      </c>
    </row>
    <row r="607" ht="15.75" customHeight="1">
      <c r="A607" s="724" t="s">
        <v>2513</v>
      </c>
      <c r="B607" s="725" t="s">
        <v>5790</v>
      </c>
      <c r="C607" s="729">
        <v>175.09</v>
      </c>
    </row>
    <row r="608" ht="15.75" customHeight="1">
      <c r="A608" s="724" t="s">
        <v>268</v>
      </c>
      <c r="B608" s="725" t="s">
        <v>5480</v>
      </c>
      <c r="C608" s="729">
        <v>171.31</v>
      </c>
    </row>
    <row r="609" ht="15.75" customHeight="1">
      <c r="A609" s="724" t="s">
        <v>5791</v>
      </c>
      <c r="B609" s="725" t="s">
        <v>5696</v>
      </c>
      <c r="C609" s="729">
        <v>164.08</v>
      </c>
    </row>
    <row r="610" ht="15.75" customHeight="1">
      <c r="A610" s="724" t="s">
        <v>1121</v>
      </c>
      <c r="B610" s="725" t="s">
        <v>5439</v>
      </c>
      <c r="C610" s="729">
        <v>149.02</v>
      </c>
    </row>
    <row r="611" ht="15.75" customHeight="1">
      <c r="A611" s="724" t="s">
        <v>2250</v>
      </c>
      <c r="B611" s="725" t="s">
        <v>5555</v>
      </c>
      <c r="C611" s="729">
        <v>143.88</v>
      </c>
    </row>
    <row r="612" ht="15.75" customHeight="1">
      <c r="A612" s="724" t="s">
        <v>1025</v>
      </c>
      <c r="B612" s="725" t="s">
        <v>5792</v>
      </c>
      <c r="C612" s="729">
        <v>140.89</v>
      </c>
    </row>
    <row r="613" ht="15.75" customHeight="1">
      <c r="A613" s="724" t="s">
        <v>570</v>
      </c>
      <c r="B613" s="725" t="s">
        <v>5688</v>
      </c>
      <c r="C613" s="729">
        <v>112.72</v>
      </c>
    </row>
    <row r="614" ht="15.75" customHeight="1">
      <c r="A614" s="724" t="s">
        <v>1808</v>
      </c>
      <c r="B614" s="725" t="s">
        <v>5463</v>
      </c>
      <c r="C614" s="729">
        <v>94.24</v>
      </c>
    </row>
    <row r="615" ht="15.75" customHeight="1">
      <c r="A615" s="724" t="s">
        <v>1271</v>
      </c>
      <c r="B615" s="725" t="s">
        <v>5566</v>
      </c>
      <c r="C615" s="729">
        <v>86.38</v>
      </c>
    </row>
    <row r="616" ht="15.75" customHeight="1">
      <c r="A616" s="724" t="s">
        <v>1689</v>
      </c>
      <c r="B616" s="725" t="s">
        <v>5479</v>
      </c>
      <c r="C616" s="729">
        <v>68.43</v>
      </c>
    </row>
    <row r="617" ht="15.75" customHeight="1">
      <c r="A617" s="724" t="s">
        <v>975</v>
      </c>
      <c r="B617" s="725" t="s">
        <v>5534</v>
      </c>
      <c r="C617" s="729">
        <v>51.44</v>
      </c>
    </row>
    <row r="618" ht="15.75" customHeight="1">
      <c r="A618" s="724" t="s">
        <v>2278</v>
      </c>
      <c r="B618" s="725" t="s">
        <v>5793</v>
      </c>
      <c r="C618" s="729">
        <v>50.29</v>
      </c>
    </row>
    <row r="619" ht="15.75" customHeight="1">
      <c r="A619" s="724" t="s">
        <v>5794</v>
      </c>
      <c r="B619" s="725" t="s">
        <v>5694</v>
      </c>
      <c r="C619" s="729">
        <v>50.0</v>
      </c>
    </row>
    <row r="620" ht="15.75" customHeight="1">
      <c r="A620" s="724" t="s">
        <v>2226</v>
      </c>
      <c r="B620" s="725" t="s">
        <v>5795</v>
      </c>
      <c r="C620" s="729">
        <v>39.91</v>
      </c>
    </row>
    <row r="621" ht="15.75" customHeight="1">
      <c r="A621" s="724" t="s">
        <v>1650</v>
      </c>
      <c r="B621" s="725" t="s">
        <v>5445</v>
      </c>
      <c r="C621" s="729">
        <v>35.29</v>
      </c>
    </row>
    <row r="622" ht="15.75" customHeight="1">
      <c r="A622" s="724" t="s">
        <v>1464</v>
      </c>
      <c r="B622" s="725" t="s">
        <v>5796</v>
      </c>
      <c r="C622" s="729">
        <v>30.02</v>
      </c>
    </row>
    <row r="623" ht="15.75" customHeight="1">
      <c r="A623" s="724" t="s">
        <v>316</v>
      </c>
      <c r="B623" s="725" t="s">
        <v>5797</v>
      </c>
      <c r="C623" s="729">
        <v>28.73</v>
      </c>
    </row>
    <row r="624" ht="15.75" customHeight="1">
      <c r="A624" s="724" t="s">
        <v>2510</v>
      </c>
      <c r="B624" s="725" t="s">
        <v>5798</v>
      </c>
      <c r="C624" s="729">
        <v>20.89</v>
      </c>
    </row>
    <row r="625" ht="15.75" customHeight="1">
      <c r="A625" s="724" t="s">
        <v>1772</v>
      </c>
      <c r="B625" s="725" t="s">
        <v>5427</v>
      </c>
      <c r="C625" s="729">
        <v>20.75</v>
      </c>
    </row>
    <row r="626" ht="15.75" customHeight="1">
      <c r="A626" s="724" t="s">
        <v>1057</v>
      </c>
      <c r="B626" s="725" t="s">
        <v>5589</v>
      </c>
      <c r="C626" s="729">
        <v>19.2</v>
      </c>
    </row>
    <row r="627" ht="15.75" customHeight="1">
      <c r="A627" s="724" t="s">
        <v>217</v>
      </c>
      <c r="B627" s="725" t="s">
        <v>5799</v>
      </c>
      <c r="C627" s="729">
        <v>18.77</v>
      </c>
    </row>
    <row r="628" ht="15.75" customHeight="1">
      <c r="A628" s="724" t="s">
        <v>2386</v>
      </c>
      <c r="B628" s="725" t="s">
        <v>5591</v>
      </c>
      <c r="C628" s="729">
        <v>18.37</v>
      </c>
    </row>
    <row r="629" ht="15.75" customHeight="1">
      <c r="A629" s="724" t="s">
        <v>2495</v>
      </c>
      <c r="B629" s="725" t="s">
        <v>5800</v>
      </c>
      <c r="C629" s="729">
        <v>14.67</v>
      </c>
    </row>
    <row r="630" ht="15.75" customHeight="1">
      <c r="A630" s="724" t="s">
        <v>1700</v>
      </c>
      <c r="B630" s="725" t="s">
        <v>5479</v>
      </c>
      <c r="C630" s="729">
        <v>10.89</v>
      </c>
    </row>
    <row r="631" ht="15.75" customHeight="1">
      <c r="A631" s="724" t="s">
        <v>543</v>
      </c>
      <c r="B631" s="725" t="s">
        <v>5742</v>
      </c>
      <c r="C631" s="729">
        <v>10.0</v>
      </c>
    </row>
    <row r="632" ht="15.75" customHeight="1">
      <c r="A632" s="724" t="s">
        <v>1018</v>
      </c>
      <c r="B632" s="725" t="s">
        <v>5801</v>
      </c>
      <c r="C632" s="729">
        <v>9.77</v>
      </c>
    </row>
    <row r="633" ht="15.75" customHeight="1">
      <c r="A633" s="724" t="s">
        <v>1293</v>
      </c>
      <c r="B633" s="725" t="s">
        <v>5566</v>
      </c>
      <c r="C633" s="729">
        <v>5.55</v>
      </c>
    </row>
    <row r="634" ht="15.75" customHeight="1">
      <c r="A634" s="724" t="s">
        <v>1717</v>
      </c>
      <c r="B634" s="725" t="s">
        <v>5531</v>
      </c>
      <c r="C634" s="729">
        <v>4.4</v>
      </c>
    </row>
    <row r="635" ht="15.75" customHeight="1">
      <c r="A635" s="724" t="s">
        <v>185</v>
      </c>
      <c r="B635" s="725" t="s">
        <v>5696</v>
      </c>
      <c r="C635" s="729">
        <v>1.7</v>
      </c>
    </row>
    <row r="636" ht="15.75" customHeight="1">
      <c r="A636" s="724" t="s">
        <v>249</v>
      </c>
      <c r="B636" s="725" t="s">
        <v>5480</v>
      </c>
      <c r="C636" s="729">
        <v>1.61</v>
      </c>
    </row>
    <row r="637" ht="15.75" customHeight="1">
      <c r="A637" s="724" t="s">
        <v>1127</v>
      </c>
      <c r="B637" s="725" t="s">
        <v>5439</v>
      </c>
      <c r="C637" s="729">
        <v>1.1</v>
      </c>
    </row>
    <row r="638" ht="15.75" customHeight="1">
      <c r="A638" s="724" t="s">
        <v>1161</v>
      </c>
      <c r="B638" s="725" t="s">
        <v>5802</v>
      </c>
      <c r="C638" s="729">
        <v>0.86</v>
      </c>
    </row>
    <row r="639" ht="15.75" customHeight="1">
      <c r="A639" s="724" t="s">
        <v>450</v>
      </c>
      <c r="B639" s="725" t="s">
        <v>5803</v>
      </c>
      <c r="C639" s="729">
        <v>0.78</v>
      </c>
    </row>
    <row r="640" ht="15.75" customHeight="1">
      <c r="A640" s="724" t="s">
        <v>679</v>
      </c>
      <c r="B640" s="725" t="s">
        <v>5804</v>
      </c>
      <c r="C640" s="729">
        <v>0.62</v>
      </c>
    </row>
    <row r="641" ht="15.75" customHeight="1">
      <c r="A641" s="724" t="s">
        <v>1233</v>
      </c>
      <c r="B641" s="725" t="s">
        <v>5732</v>
      </c>
      <c r="C641" s="729">
        <v>0.39</v>
      </c>
    </row>
    <row r="642" ht="15.75" customHeight="1">
      <c r="A642" s="724" t="s">
        <v>1553</v>
      </c>
      <c r="B642" s="725" t="s">
        <v>5669</v>
      </c>
      <c r="C642" s="729">
        <v>0.17</v>
      </c>
    </row>
    <row r="643" ht="15.75" customHeight="1">
      <c r="A643" s="724" t="s">
        <v>2100</v>
      </c>
      <c r="B643" s="725" t="s">
        <v>5805</v>
      </c>
      <c r="C643" s="729">
        <v>0.16</v>
      </c>
    </row>
    <row r="644" ht="15.75" customHeight="1">
      <c r="A644" s="724" t="s">
        <v>1286</v>
      </c>
      <c r="B644" s="725" t="s">
        <v>5566</v>
      </c>
      <c r="C644" s="729">
        <v>0.15</v>
      </c>
    </row>
    <row r="645" ht="15.75" customHeight="1">
      <c r="A645" s="724" t="s">
        <v>1886</v>
      </c>
      <c r="B645" s="725" t="s">
        <v>5510</v>
      </c>
      <c r="C645" s="729">
        <v>0.14</v>
      </c>
    </row>
    <row r="646" ht="15.75" customHeight="1">
      <c r="A646" s="724" t="s">
        <v>1045</v>
      </c>
      <c r="B646" s="725" t="s">
        <v>5589</v>
      </c>
      <c r="C646" s="729">
        <v>0.09</v>
      </c>
    </row>
    <row r="647" ht="15.75" customHeight="1">
      <c r="A647" s="724" t="s">
        <v>1139</v>
      </c>
      <c r="B647" s="725" t="s">
        <v>5439</v>
      </c>
      <c r="C647" s="729">
        <v>0.01</v>
      </c>
    </row>
    <row r="648" ht="15.75" customHeight="1">
      <c r="A648" s="724" t="s">
        <v>2456</v>
      </c>
      <c r="B648" s="725" t="s">
        <v>5806</v>
      </c>
      <c r="C648" s="729">
        <v>0.01</v>
      </c>
    </row>
    <row r="649" ht="15.75" customHeight="1">
      <c r="A649" s="730"/>
    </row>
    <row r="650" ht="15.75" customHeight="1">
      <c r="A650" s="730"/>
    </row>
    <row r="651" ht="15.75" customHeight="1">
      <c r="A651" s="730"/>
    </row>
    <row r="652" ht="15.75" customHeight="1">
      <c r="A652" s="730"/>
    </row>
    <row r="653" ht="15.75" customHeight="1">
      <c r="A653" s="730"/>
    </row>
    <row r="654" ht="15.75" customHeight="1">
      <c r="A654" s="730"/>
    </row>
    <row r="655" ht="15.75" customHeight="1">
      <c r="A655" s="730"/>
    </row>
    <row r="656" ht="15.75" customHeight="1">
      <c r="A656" s="730"/>
    </row>
    <row r="657" ht="15.75" customHeight="1">
      <c r="A657" s="730"/>
    </row>
    <row r="658" ht="15.75" customHeight="1">
      <c r="A658" s="730"/>
    </row>
    <row r="659" ht="15.75" customHeight="1">
      <c r="A659" s="730"/>
    </row>
    <row r="660" ht="15.75" customHeight="1">
      <c r="A660" s="730"/>
    </row>
    <row r="661" ht="15.75" customHeight="1">
      <c r="A661" s="730"/>
    </row>
    <row r="662" ht="15.75" customHeight="1">
      <c r="A662" s="730"/>
    </row>
    <row r="663" ht="15.75" customHeight="1">
      <c r="A663" s="730"/>
    </row>
    <row r="664" ht="15.75" customHeight="1">
      <c r="A664" s="730"/>
    </row>
    <row r="665" ht="15.75" customHeight="1">
      <c r="A665" s="730"/>
    </row>
    <row r="666" ht="15.75" customHeight="1">
      <c r="A666" s="730"/>
    </row>
    <row r="667" ht="15.75" customHeight="1">
      <c r="A667" s="730"/>
    </row>
    <row r="668" ht="15.75" customHeight="1">
      <c r="A668" s="730"/>
    </row>
    <row r="669" ht="15.75" customHeight="1">
      <c r="A669" s="730"/>
    </row>
    <row r="670" ht="15.75" customHeight="1">
      <c r="A670" s="730"/>
    </row>
    <row r="671" ht="15.75" customHeight="1">
      <c r="A671" s="730"/>
    </row>
    <row r="672" ht="15.75" customHeight="1">
      <c r="A672" s="730"/>
    </row>
    <row r="673" ht="15.75" customHeight="1">
      <c r="A673" s="730"/>
    </row>
    <row r="674" ht="15.75" customHeight="1">
      <c r="A674" s="730"/>
    </row>
    <row r="675" ht="15.75" customHeight="1">
      <c r="A675" s="730"/>
    </row>
    <row r="676" ht="15.75" customHeight="1">
      <c r="A676" s="730"/>
    </row>
    <row r="677" ht="15.75" customHeight="1">
      <c r="A677" s="730"/>
    </row>
    <row r="678" ht="15.75" customHeight="1">
      <c r="A678" s="730"/>
    </row>
    <row r="679" ht="15.75" customHeight="1">
      <c r="A679" s="730"/>
    </row>
    <row r="680" ht="15.75" customHeight="1">
      <c r="A680" s="730"/>
    </row>
    <row r="681" ht="15.75" customHeight="1">
      <c r="A681" s="730"/>
    </row>
    <row r="682" ht="15.75" customHeight="1">
      <c r="A682" s="730"/>
    </row>
    <row r="683" ht="15.75" customHeight="1">
      <c r="A683" s="730"/>
    </row>
    <row r="684" ht="15.75" customHeight="1">
      <c r="A684" s="730"/>
    </row>
    <row r="685" ht="15.75" customHeight="1">
      <c r="A685" s="730"/>
    </row>
    <row r="686" ht="15.75" customHeight="1">
      <c r="A686" s="730"/>
    </row>
    <row r="687" ht="15.75" customHeight="1">
      <c r="A687" s="730"/>
    </row>
    <row r="688" ht="15.75" customHeight="1">
      <c r="A688" s="730"/>
    </row>
    <row r="689" ht="15.75" customHeight="1">
      <c r="A689" s="730"/>
    </row>
    <row r="690" ht="15.75" customHeight="1">
      <c r="A690" s="730"/>
    </row>
    <row r="691" ht="15.75" customHeight="1">
      <c r="A691" s="730"/>
    </row>
    <row r="692" ht="15.75" customHeight="1">
      <c r="A692" s="730"/>
    </row>
    <row r="693" ht="15.75" customHeight="1">
      <c r="A693" s="730"/>
    </row>
    <row r="694" ht="15.75" customHeight="1">
      <c r="A694" s="730"/>
    </row>
    <row r="695" ht="15.75" customHeight="1">
      <c r="A695" s="730"/>
    </row>
    <row r="696" ht="15.75" customHeight="1">
      <c r="A696" s="730"/>
    </row>
    <row r="697" ht="15.75" customHeight="1">
      <c r="A697" s="730"/>
    </row>
    <row r="698" ht="15.75" customHeight="1">
      <c r="A698" s="730"/>
    </row>
    <row r="699" ht="15.75" customHeight="1">
      <c r="A699" s="730"/>
    </row>
    <row r="700" ht="15.75" customHeight="1">
      <c r="A700" s="730"/>
    </row>
    <row r="701" ht="15.75" customHeight="1">
      <c r="A701" s="730"/>
    </row>
    <row r="702" ht="15.75" customHeight="1">
      <c r="A702" s="730"/>
    </row>
    <row r="703" ht="15.75" customHeight="1">
      <c r="A703" s="730"/>
    </row>
    <row r="704" ht="15.75" customHeight="1">
      <c r="A704" s="730"/>
    </row>
    <row r="705" ht="15.75" customHeight="1">
      <c r="A705" s="730"/>
    </row>
    <row r="706" ht="15.75" customHeight="1">
      <c r="A706" s="730"/>
    </row>
    <row r="707" ht="15.75" customHeight="1">
      <c r="A707" s="730"/>
    </row>
    <row r="708" ht="15.75" customHeight="1">
      <c r="A708" s="730"/>
    </row>
    <row r="709" ht="15.75" customHeight="1">
      <c r="A709" s="730"/>
    </row>
    <row r="710" ht="15.75" customHeight="1">
      <c r="A710" s="730"/>
    </row>
    <row r="711" ht="15.75" customHeight="1">
      <c r="A711" s="730"/>
    </row>
    <row r="712" ht="15.75" customHeight="1">
      <c r="A712" s="730"/>
    </row>
    <row r="713" ht="15.75" customHeight="1">
      <c r="A713" s="730"/>
    </row>
    <row r="714" ht="15.75" customHeight="1">
      <c r="A714" s="730"/>
    </row>
    <row r="715" ht="15.75" customHeight="1">
      <c r="A715" s="730"/>
    </row>
    <row r="716" ht="15.75" customHeight="1">
      <c r="A716" s="730"/>
    </row>
    <row r="717" ht="15.75" customHeight="1">
      <c r="A717" s="730"/>
    </row>
    <row r="718" ht="15.75" customHeight="1">
      <c r="A718" s="730"/>
    </row>
    <row r="719" ht="15.75" customHeight="1">
      <c r="A719" s="730"/>
    </row>
    <row r="720" ht="15.75" customHeight="1">
      <c r="A720" s="730"/>
    </row>
    <row r="721" ht="15.75" customHeight="1">
      <c r="A721" s="730"/>
    </row>
    <row r="722" ht="15.75" customHeight="1">
      <c r="A722" s="730"/>
    </row>
    <row r="723" ht="15.75" customHeight="1">
      <c r="A723" s="730"/>
    </row>
    <row r="724" ht="15.75" customHeight="1">
      <c r="A724" s="730"/>
    </row>
    <row r="725" ht="15.75" customHeight="1">
      <c r="A725" s="730"/>
    </row>
    <row r="726" ht="15.75" customHeight="1">
      <c r="A726" s="730"/>
    </row>
    <row r="727" ht="15.75" customHeight="1">
      <c r="A727" s="730"/>
    </row>
    <row r="728" ht="15.75" customHeight="1">
      <c r="A728" s="730"/>
    </row>
    <row r="729" ht="15.75" customHeight="1">
      <c r="A729" s="730"/>
    </row>
    <row r="730" ht="15.75" customHeight="1">
      <c r="A730" s="730"/>
    </row>
    <row r="731" ht="15.75" customHeight="1">
      <c r="A731" s="730"/>
    </row>
    <row r="732" ht="15.75" customHeight="1">
      <c r="A732" s="730"/>
    </row>
    <row r="733" ht="15.75" customHeight="1">
      <c r="A733" s="730"/>
    </row>
    <row r="734" ht="15.75" customHeight="1">
      <c r="A734" s="730"/>
    </row>
    <row r="735" ht="15.75" customHeight="1">
      <c r="A735" s="730"/>
    </row>
    <row r="736" ht="15.75" customHeight="1">
      <c r="A736" s="730"/>
    </row>
    <row r="737" ht="15.75" customHeight="1">
      <c r="A737" s="730"/>
    </row>
    <row r="738" ht="15.75" customHeight="1">
      <c r="A738" s="730"/>
    </row>
    <row r="739" ht="15.75" customHeight="1">
      <c r="A739" s="730"/>
    </row>
    <row r="740" ht="15.75" customHeight="1">
      <c r="A740" s="730"/>
    </row>
    <row r="741" ht="15.75" customHeight="1">
      <c r="A741" s="730"/>
    </row>
    <row r="742" ht="15.75" customHeight="1">
      <c r="A742" s="730"/>
    </row>
    <row r="743" ht="15.75" customHeight="1">
      <c r="A743" s="730"/>
    </row>
    <row r="744" ht="15.75" customHeight="1">
      <c r="A744" s="730"/>
    </row>
    <row r="745" ht="15.75" customHeight="1">
      <c r="A745" s="730"/>
    </row>
    <row r="746" ht="15.75" customHeight="1">
      <c r="A746" s="730"/>
    </row>
    <row r="747" ht="15.75" customHeight="1">
      <c r="A747" s="730"/>
    </row>
    <row r="748" ht="15.75" customHeight="1">
      <c r="A748" s="730"/>
    </row>
    <row r="749" ht="15.75" customHeight="1">
      <c r="A749" s="730"/>
    </row>
    <row r="750" ht="15.75" customHeight="1">
      <c r="A750" s="730"/>
    </row>
    <row r="751" ht="15.75" customHeight="1">
      <c r="A751" s="730"/>
    </row>
    <row r="752" ht="15.75" customHeight="1">
      <c r="A752" s="730"/>
    </row>
    <row r="753" ht="15.75" customHeight="1">
      <c r="A753" s="730"/>
    </row>
    <row r="754" ht="15.75" customHeight="1">
      <c r="A754" s="730"/>
    </row>
    <row r="755" ht="15.75" customHeight="1">
      <c r="A755" s="730"/>
    </row>
    <row r="756" ht="15.75" customHeight="1">
      <c r="A756" s="730"/>
    </row>
    <row r="757" ht="15.75" customHeight="1">
      <c r="A757" s="730"/>
    </row>
    <row r="758" ht="15.75" customHeight="1">
      <c r="A758" s="730"/>
    </row>
    <row r="759" ht="15.75" customHeight="1">
      <c r="A759" s="730"/>
    </row>
    <row r="760" ht="15.75" customHeight="1">
      <c r="A760" s="730"/>
    </row>
    <row r="761" ht="15.75" customHeight="1">
      <c r="A761" s="730"/>
    </row>
    <row r="762" ht="15.75" customHeight="1">
      <c r="A762" s="730"/>
    </row>
    <row r="763" ht="15.75" customHeight="1">
      <c r="A763" s="730"/>
    </row>
    <row r="764" ht="15.75" customHeight="1">
      <c r="A764" s="730"/>
    </row>
    <row r="765" ht="15.75" customHeight="1">
      <c r="A765" s="730"/>
    </row>
    <row r="766" ht="15.75" customHeight="1">
      <c r="A766" s="730"/>
    </row>
    <row r="767" ht="15.75" customHeight="1">
      <c r="A767" s="730"/>
    </row>
    <row r="768" ht="15.75" customHeight="1">
      <c r="A768" s="730"/>
    </row>
    <row r="769" ht="15.75" customHeight="1">
      <c r="A769" s="730"/>
    </row>
    <row r="770" ht="15.75" customHeight="1">
      <c r="A770" s="730"/>
    </row>
    <row r="771" ht="15.75" customHeight="1">
      <c r="A771" s="730"/>
    </row>
    <row r="772" ht="15.75" customHeight="1">
      <c r="A772" s="730"/>
    </row>
    <row r="773" ht="15.75" customHeight="1">
      <c r="A773" s="730"/>
    </row>
    <row r="774" ht="15.75" customHeight="1">
      <c r="A774" s="730"/>
    </row>
    <row r="775" ht="15.75" customHeight="1">
      <c r="A775" s="730"/>
    </row>
    <row r="776" ht="15.75" customHeight="1">
      <c r="A776" s="730"/>
    </row>
    <row r="777" ht="15.75" customHeight="1">
      <c r="A777" s="730"/>
    </row>
    <row r="778" ht="15.75" customHeight="1">
      <c r="A778" s="730"/>
    </row>
    <row r="779" ht="15.75" customHeight="1">
      <c r="A779" s="730"/>
    </row>
    <row r="780" ht="15.75" customHeight="1">
      <c r="A780" s="730"/>
    </row>
    <row r="781" ht="15.75" customHeight="1">
      <c r="A781" s="730"/>
    </row>
    <row r="782" ht="15.75" customHeight="1">
      <c r="A782" s="730"/>
    </row>
    <row r="783" ht="15.75" customHeight="1">
      <c r="A783" s="730"/>
    </row>
    <row r="784" ht="15.75" customHeight="1">
      <c r="A784" s="730"/>
    </row>
    <row r="785" ht="15.75" customHeight="1">
      <c r="A785" s="730"/>
    </row>
    <row r="786" ht="15.75" customHeight="1">
      <c r="A786" s="730"/>
    </row>
    <row r="787" ht="15.75" customHeight="1">
      <c r="A787" s="730"/>
    </row>
    <row r="788" ht="15.75" customHeight="1">
      <c r="A788" s="730"/>
    </row>
    <row r="789" ht="15.75" customHeight="1">
      <c r="A789" s="730"/>
    </row>
    <row r="790" ht="15.75" customHeight="1">
      <c r="A790" s="730"/>
    </row>
    <row r="791" ht="15.75" customHeight="1">
      <c r="A791" s="730"/>
    </row>
    <row r="792" ht="15.75" customHeight="1">
      <c r="A792" s="730"/>
    </row>
    <row r="793" ht="15.75" customHeight="1">
      <c r="A793" s="730"/>
    </row>
    <row r="794" ht="15.75" customHeight="1">
      <c r="A794" s="730"/>
    </row>
    <row r="795" ht="15.75" customHeight="1">
      <c r="A795" s="730"/>
    </row>
    <row r="796" ht="15.75" customHeight="1">
      <c r="A796" s="730"/>
    </row>
    <row r="797" ht="15.75" customHeight="1">
      <c r="A797" s="730"/>
    </row>
    <row r="798" ht="15.75" customHeight="1">
      <c r="A798" s="730"/>
    </row>
    <row r="799" ht="15.75" customHeight="1">
      <c r="A799" s="730"/>
    </row>
    <row r="800" ht="15.75" customHeight="1">
      <c r="A800" s="730"/>
    </row>
    <row r="801" ht="15.75" customHeight="1">
      <c r="A801" s="730"/>
    </row>
    <row r="802" ht="15.75" customHeight="1">
      <c r="A802" s="730"/>
    </row>
    <row r="803" ht="15.75" customHeight="1">
      <c r="A803" s="730"/>
    </row>
    <row r="804" ht="15.75" customHeight="1">
      <c r="A804" s="730"/>
    </row>
    <row r="805" ht="15.75" customHeight="1">
      <c r="A805" s="730"/>
    </row>
    <row r="806" ht="15.75" customHeight="1">
      <c r="A806" s="730"/>
    </row>
    <row r="807" ht="15.75" customHeight="1">
      <c r="A807" s="730"/>
    </row>
    <row r="808" ht="15.75" customHeight="1">
      <c r="A808" s="730"/>
    </row>
    <row r="809" ht="15.75" customHeight="1">
      <c r="A809" s="730"/>
    </row>
    <row r="810" ht="15.75" customHeight="1">
      <c r="A810" s="730"/>
    </row>
    <row r="811" ht="15.75" customHeight="1">
      <c r="A811" s="730"/>
    </row>
    <row r="812" ht="15.75" customHeight="1">
      <c r="A812" s="730"/>
    </row>
    <row r="813" ht="15.75" customHeight="1">
      <c r="A813" s="730"/>
    </row>
    <row r="814" ht="15.75" customHeight="1">
      <c r="A814" s="730"/>
    </row>
    <row r="815" ht="15.75" customHeight="1">
      <c r="A815" s="730"/>
    </row>
    <row r="816" ht="15.75" customHeight="1">
      <c r="A816" s="730"/>
    </row>
    <row r="817" ht="15.75" customHeight="1">
      <c r="A817" s="730"/>
    </row>
    <row r="818" ht="15.75" customHeight="1">
      <c r="A818" s="730"/>
    </row>
    <row r="819" ht="15.75" customHeight="1">
      <c r="A819" s="730"/>
    </row>
    <row r="820" ht="15.75" customHeight="1">
      <c r="A820" s="730"/>
    </row>
    <row r="821" ht="15.75" customHeight="1">
      <c r="A821" s="730"/>
    </row>
    <row r="822" ht="15.75" customHeight="1">
      <c r="A822" s="730"/>
    </row>
    <row r="823" ht="15.75" customHeight="1">
      <c r="A823" s="730"/>
    </row>
    <row r="824" ht="15.75" customHeight="1">
      <c r="A824" s="730"/>
    </row>
    <row r="825" ht="15.75" customHeight="1">
      <c r="A825" s="730"/>
    </row>
    <row r="826" ht="15.75" customHeight="1">
      <c r="A826" s="730"/>
    </row>
    <row r="827" ht="15.75" customHeight="1">
      <c r="A827" s="730"/>
    </row>
    <row r="828" ht="15.75" customHeight="1">
      <c r="A828" s="730"/>
    </row>
    <row r="829" ht="15.75" customHeight="1">
      <c r="A829" s="730"/>
    </row>
    <row r="830" ht="15.75" customHeight="1">
      <c r="A830" s="730"/>
    </row>
    <row r="831" ht="15.75" customHeight="1">
      <c r="A831" s="730"/>
    </row>
    <row r="832" ht="15.75" customHeight="1">
      <c r="A832" s="730"/>
    </row>
    <row r="833" ht="15.75" customHeight="1">
      <c r="A833" s="730"/>
    </row>
    <row r="834" ht="15.75" customHeight="1">
      <c r="A834" s="730"/>
    </row>
    <row r="835" ht="15.75" customHeight="1">
      <c r="A835" s="730"/>
    </row>
    <row r="836" ht="15.75" customHeight="1">
      <c r="A836" s="730"/>
    </row>
    <row r="837" ht="15.75" customHeight="1">
      <c r="A837" s="730"/>
    </row>
    <row r="838" ht="15.75" customHeight="1">
      <c r="A838" s="730"/>
    </row>
    <row r="839" ht="15.75" customHeight="1">
      <c r="A839" s="730"/>
    </row>
    <row r="840" ht="15.75" customHeight="1">
      <c r="A840" s="730"/>
    </row>
    <row r="841" ht="15.75" customHeight="1">
      <c r="A841" s="730"/>
    </row>
    <row r="842" ht="15.75" customHeight="1">
      <c r="A842" s="730"/>
    </row>
    <row r="843" ht="15.75" customHeight="1">
      <c r="A843" s="730"/>
    </row>
    <row r="844" ht="15.75" customHeight="1">
      <c r="A844" s="730"/>
    </row>
    <row r="845" ht="15.75" customHeight="1">
      <c r="A845" s="730"/>
    </row>
    <row r="846" ht="15.75" customHeight="1">
      <c r="A846" s="730"/>
    </row>
    <row r="847" ht="15.75" customHeight="1">
      <c r="A847" s="730"/>
    </row>
    <row r="848" ht="15.75" customHeight="1">
      <c r="A848" s="730"/>
    </row>
    <row r="849" ht="15.75" customHeight="1">
      <c r="A849" s="730"/>
    </row>
    <row r="850" ht="15.75" customHeight="1">
      <c r="A850" s="730"/>
    </row>
    <row r="851" ht="15.75" customHeight="1">
      <c r="A851" s="730"/>
    </row>
    <row r="852" ht="15.75" customHeight="1">
      <c r="A852" s="730"/>
    </row>
    <row r="853" ht="15.75" customHeight="1">
      <c r="A853" s="730"/>
    </row>
    <row r="854" ht="15.75" customHeight="1">
      <c r="A854" s="730"/>
    </row>
    <row r="855" ht="15.75" customHeight="1">
      <c r="A855" s="730"/>
    </row>
    <row r="856" ht="15.75" customHeight="1">
      <c r="A856" s="730"/>
    </row>
    <row r="857" ht="15.75" customHeight="1">
      <c r="A857" s="730"/>
    </row>
    <row r="858" ht="15.75" customHeight="1">
      <c r="A858" s="730"/>
    </row>
    <row r="859" ht="15.75" customHeight="1">
      <c r="A859" s="730"/>
    </row>
    <row r="860" ht="15.75" customHeight="1">
      <c r="A860" s="730"/>
    </row>
    <row r="861" ht="15.75" customHeight="1">
      <c r="A861" s="730"/>
    </row>
    <row r="862" ht="15.75" customHeight="1">
      <c r="A862" s="730"/>
    </row>
    <row r="863" ht="15.75" customHeight="1">
      <c r="A863" s="730"/>
    </row>
    <row r="864" ht="15.75" customHeight="1">
      <c r="A864" s="730"/>
    </row>
    <row r="865" ht="15.75" customHeight="1">
      <c r="A865" s="730"/>
    </row>
    <row r="866" ht="15.75" customHeight="1">
      <c r="A866" s="730"/>
    </row>
    <row r="867" ht="15.75" customHeight="1">
      <c r="A867" s="730"/>
    </row>
    <row r="868" ht="15.75" customHeight="1">
      <c r="A868" s="730"/>
    </row>
    <row r="869" ht="15.75" customHeight="1">
      <c r="A869" s="730"/>
    </row>
    <row r="870" ht="15.75" customHeight="1">
      <c r="A870" s="730"/>
    </row>
    <row r="871" ht="15.75" customHeight="1">
      <c r="A871" s="730"/>
    </row>
    <row r="872" ht="15.75" customHeight="1">
      <c r="A872" s="730"/>
    </row>
    <row r="873" ht="15.75" customHeight="1">
      <c r="A873" s="730"/>
    </row>
    <row r="874" ht="15.75" customHeight="1">
      <c r="A874" s="730"/>
    </row>
    <row r="875" ht="15.75" customHeight="1">
      <c r="A875" s="730"/>
    </row>
    <row r="876" ht="15.75" customHeight="1">
      <c r="A876" s="730"/>
    </row>
    <row r="877" ht="15.75" customHeight="1">
      <c r="A877" s="730"/>
    </row>
    <row r="878" ht="15.75" customHeight="1">
      <c r="A878" s="730"/>
    </row>
    <row r="879" ht="15.75" customHeight="1">
      <c r="A879" s="730"/>
    </row>
    <row r="880" ht="15.75" customHeight="1">
      <c r="A880" s="730"/>
    </row>
    <row r="881" ht="15.75" customHeight="1">
      <c r="A881" s="730"/>
    </row>
    <row r="882" ht="15.75" customHeight="1">
      <c r="A882" s="730"/>
    </row>
    <row r="883" ht="15.75" customHeight="1">
      <c r="A883" s="730"/>
    </row>
    <row r="884" ht="15.75" customHeight="1">
      <c r="A884" s="730"/>
    </row>
    <row r="885" ht="15.75" customHeight="1">
      <c r="A885" s="730"/>
    </row>
    <row r="886" ht="15.75" customHeight="1">
      <c r="A886" s="730"/>
    </row>
    <row r="887" ht="15.75" customHeight="1">
      <c r="A887" s="730"/>
    </row>
    <row r="888" ht="15.75" customHeight="1">
      <c r="A888" s="730"/>
    </row>
    <row r="889" ht="15.75" customHeight="1">
      <c r="A889" s="730"/>
    </row>
    <row r="890" ht="15.75" customHeight="1">
      <c r="A890" s="730"/>
    </row>
    <row r="891" ht="15.75" customHeight="1">
      <c r="A891" s="730"/>
    </row>
    <row r="892" ht="15.75" customHeight="1">
      <c r="A892" s="730"/>
    </row>
    <row r="893" ht="15.75" customHeight="1">
      <c r="A893" s="730"/>
    </row>
    <row r="894" ht="15.75" customHeight="1">
      <c r="A894" s="730"/>
    </row>
    <row r="895" ht="15.75" customHeight="1">
      <c r="A895" s="730"/>
    </row>
    <row r="896" ht="15.75" customHeight="1">
      <c r="A896" s="730"/>
    </row>
    <row r="897" ht="15.75" customHeight="1">
      <c r="A897" s="730"/>
    </row>
    <row r="898" ht="15.75" customHeight="1">
      <c r="A898" s="730"/>
    </row>
    <row r="899" ht="15.75" customHeight="1">
      <c r="A899" s="730"/>
    </row>
    <row r="900" ht="15.75" customHeight="1">
      <c r="A900" s="730"/>
    </row>
    <row r="901" ht="15.75" customHeight="1">
      <c r="A901" s="730"/>
    </row>
    <row r="902" ht="15.75" customHeight="1">
      <c r="A902" s="730"/>
    </row>
    <row r="903" ht="15.75" customHeight="1">
      <c r="A903" s="730"/>
    </row>
    <row r="904" ht="15.75" customHeight="1">
      <c r="A904" s="730"/>
    </row>
    <row r="905" ht="15.75" customHeight="1">
      <c r="A905" s="730"/>
    </row>
    <row r="906" ht="15.75" customHeight="1">
      <c r="A906" s="730"/>
    </row>
    <row r="907" ht="15.75" customHeight="1">
      <c r="A907" s="730"/>
    </row>
    <row r="908" ht="15.75" customHeight="1">
      <c r="A908" s="730"/>
    </row>
    <row r="909" ht="15.75" customHeight="1">
      <c r="A909" s="730"/>
    </row>
    <row r="910" ht="15.75" customHeight="1">
      <c r="A910" s="730"/>
    </row>
    <row r="911" ht="15.75" customHeight="1">
      <c r="A911" s="730"/>
    </row>
    <row r="912" ht="15.75" customHeight="1">
      <c r="A912" s="730"/>
    </row>
    <row r="913" ht="15.75" customHeight="1">
      <c r="A913" s="730"/>
    </row>
    <row r="914" ht="15.75" customHeight="1">
      <c r="A914" s="730"/>
    </row>
    <row r="915" ht="15.75" customHeight="1">
      <c r="A915" s="730"/>
    </row>
    <row r="916" ht="15.75" customHeight="1">
      <c r="A916" s="730"/>
    </row>
    <row r="917" ht="15.75" customHeight="1">
      <c r="A917" s="730"/>
    </row>
    <row r="918" ht="15.75" customHeight="1">
      <c r="A918" s="730"/>
    </row>
    <row r="919" ht="15.75" customHeight="1">
      <c r="A919" s="730"/>
    </row>
    <row r="920" ht="15.75" customHeight="1">
      <c r="A920" s="730"/>
    </row>
    <row r="921" ht="15.75" customHeight="1">
      <c r="A921" s="730"/>
    </row>
    <row r="922" ht="15.75" customHeight="1">
      <c r="A922" s="730"/>
    </row>
    <row r="923" ht="15.75" customHeight="1">
      <c r="A923" s="730"/>
    </row>
    <row r="924" ht="15.75" customHeight="1">
      <c r="A924" s="730"/>
    </row>
    <row r="925" ht="15.75" customHeight="1">
      <c r="A925" s="730"/>
    </row>
    <row r="926" ht="15.75" customHeight="1">
      <c r="A926" s="730"/>
    </row>
    <row r="927" ht="15.75" customHeight="1">
      <c r="A927" s="730"/>
    </row>
    <row r="928" ht="15.75" customHeight="1">
      <c r="A928" s="730"/>
    </row>
    <row r="929" ht="15.75" customHeight="1">
      <c r="A929" s="730"/>
    </row>
    <row r="930" ht="15.75" customHeight="1">
      <c r="A930" s="730"/>
    </row>
    <row r="931" ht="15.75" customHeight="1">
      <c r="A931" s="730"/>
    </row>
    <row r="932" ht="15.75" customHeight="1">
      <c r="A932" s="730"/>
    </row>
    <row r="933" ht="15.75" customHeight="1">
      <c r="A933" s="730"/>
    </row>
    <row r="934" ht="15.75" customHeight="1">
      <c r="A934" s="730"/>
    </row>
    <row r="935" ht="15.75" customHeight="1">
      <c r="A935" s="730"/>
    </row>
    <row r="936" ht="15.75" customHeight="1">
      <c r="A936" s="730"/>
    </row>
    <row r="937" ht="15.75" customHeight="1">
      <c r="A937" s="730"/>
    </row>
    <row r="938" ht="15.75" customHeight="1">
      <c r="A938" s="730"/>
    </row>
    <row r="939" ht="15.75" customHeight="1">
      <c r="A939" s="730"/>
    </row>
    <row r="940" ht="15.75" customHeight="1">
      <c r="A940" s="730"/>
    </row>
    <row r="941" ht="15.75" customHeight="1">
      <c r="A941" s="730"/>
    </row>
    <row r="942" ht="15.75" customHeight="1">
      <c r="A942" s="730"/>
    </row>
    <row r="943" ht="15.75" customHeight="1">
      <c r="A943" s="730"/>
    </row>
    <row r="944" ht="15.75" customHeight="1">
      <c r="A944" s="730"/>
    </row>
    <row r="945" ht="15.75" customHeight="1">
      <c r="A945" s="730"/>
    </row>
    <row r="946" ht="15.75" customHeight="1">
      <c r="A946" s="730"/>
    </row>
    <row r="947" ht="15.75" customHeight="1">
      <c r="A947" s="730"/>
    </row>
    <row r="948" ht="15.75" customHeight="1">
      <c r="A948" s="730"/>
    </row>
    <row r="949" ht="15.75" customHeight="1">
      <c r="A949" s="730"/>
    </row>
    <row r="950" ht="15.75" customHeight="1">
      <c r="A950" s="730"/>
    </row>
    <row r="951" ht="15.75" customHeight="1">
      <c r="A951" s="730"/>
    </row>
    <row r="952" ht="15.75" customHeight="1">
      <c r="A952" s="730"/>
    </row>
    <row r="953" ht="15.75" customHeight="1">
      <c r="A953" s="730"/>
    </row>
    <row r="954" ht="15.75" customHeight="1">
      <c r="A954" s="730"/>
    </row>
    <row r="955" ht="15.75" customHeight="1">
      <c r="A955" s="730"/>
    </row>
    <row r="956" ht="15.75" customHeight="1">
      <c r="A956" s="730"/>
    </row>
    <row r="957" ht="15.75" customHeight="1">
      <c r="A957" s="730"/>
    </row>
    <row r="958" ht="15.75" customHeight="1">
      <c r="A958" s="730"/>
    </row>
    <row r="959" ht="15.75" customHeight="1">
      <c r="A959" s="730"/>
    </row>
    <row r="960" ht="15.75" customHeight="1">
      <c r="A960" s="730"/>
    </row>
    <row r="961" ht="15.75" customHeight="1">
      <c r="A961" s="730"/>
    </row>
    <row r="962" ht="15.75" customHeight="1">
      <c r="A962" s="730"/>
    </row>
    <row r="963" ht="15.75" customHeight="1">
      <c r="A963" s="730"/>
    </row>
    <row r="964" ht="15.75" customHeight="1">
      <c r="A964" s="730"/>
    </row>
    <row r="965" ht="15.75" customHeight="1">
      <c r="A965" s="730"/>
    </row>
    <row r="966" ht="15.75" customHeight="1">
      <c r="A966" s="730"/>
    </row>
    <row r="967" ht="15.75" customHeight="1">
      <c r="A967" s="730"/>
    </row>
    <row r="968" ht="15.75" customHeight="1">
      <c r="A968" s="730"/>
    </row>
    <row r="969" ht="15.75" customHeight="1">
      <c r="A969" s="730"/>
    </row>
    <row r="970" ht="15.75" customHeight="1">
      <c r="A970" s="730"/>
    </row>
    <row r="971" ht="15.75" customHeight="1">
      <c r="A971" s="730"/>
    </row>
    <row r="972" ht="15.75" customHeight="1">
      <c r="A972" s="730"/>
    </row>
    <row r="973" ht="15.75" customHeight="1">
      <c r="A973" s="730"/>
    </row>
    <row r="974" ht="15.75" customHeight="1">
      <c r="A974" s="730"/>
    </row>
    <row r="975" ht="15.75" customHeight="1">
      <c r="A975" s="730"/>
    </row>
    <row r="976" ht="15.75" customHeight="1">
      <c r="A976" s="730"/>
    </row>
    <row r="977" ht="15.75" customHeight="1">
      <c r="A977" s="730"/>
    </row>
    <row r="978" ht="15.75" customHeight="1">
      <c r="A978" s="730"/>
    </row>
    <row r="979" ht="15.75" customHeight="1">
      <c r="A979" s="730"/>
    </row>
    <row r="980" ht="15.75" customHeight="1">
      <c r="A980" s="730"/>
    </row>
    <row r="981" ht="15.75" customHeight="1">
      <c r="A981" s="730"/>
    </row>
    <row r="982" ht="15.75" customHeight="1">
      <c r="A982" s="730"/>
    </row>
    <row r="983" ht="15.75" customHeight="1">
      <c r="A983" s="730"/>
    </row>
    <row r="984" ht="15.75" customHeight="1">
      <c r="A984" s="730"/>
    </row>
    <row r="985" ht="15.75" customHeight="1">
      <c r="A985" s="730"/>
    </row>
    <row r="986" ht="15.75" customHeight="1">
      <c r="A986" s="730"/>
    </row>
    <row r="987" ht="15.75" customHeight="1">
      <c r="A987" s="730"/>
    </row>
    <row r="988" ht="15.75" customHeight="1">
      <c r="A988" s="730"/>
    </row>
    <row r="989" ht="15.75" customHeight="1">
      <c r="A989" s="730"/>
    </row>
    <row r="990" ht="15.75" customHeight="1">
      <c r="A990" s="730"/>
    </row>
    <row r="991" ht="15.75" customHeight="1">
      <c r="A991" s="730"/>
    </row>
    <row r="992" ht="15.75" customHeight="1">
      <c r="A992" s="730"/>
    </row>
    <row r="993" ht="15.75" customHeight="1">
      <c r="A993" s="730"/>
    </row>
    <row r="994" ht="15.75" customHeight="1">
      <c r="A994" s="730"/>
    </row>
    <row r="995" ht="15.75" customHeight="1">
      <c r="A995" s="730"/>
    </row>
    <row r="996" ht="15.75" customHeight="1">
      <c r="A996" s="73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1">
        <v>9183025.0</v>
      </c>
      <c r="B1" s="732" t="s">
        <v>5807</v>
      </c>
      <c r="C1" s="733">
        <v>0.0</v>
      </c>
    </row>
    <row r="2">
      <c r="A2" s="731">
        <v>6852608.0</v>
      </c>
      <c r="B2" s="732" t="s">
        <v>5808</v>
      </c>
      <c r="C2" s="733">
        <v>0.0</v>
      </c>
    </row>
    <row r="3">
      <c r="A3" s="731">
        <v>226343.0</v>
      </c>
      <c r="B3" s="732" t="s">
        <v>5809</v>
      </c>
      <c r="C3" s="733">
        <v>0.0</v>
      </c>
    </row>
    <row r="4">
      <c r="A4" s="731">
        <v>6188251.0</v>
      </c>
      <c r="B4" s="732" t="s">
        <v>5810</v>
      </c>
      <c r="C4" s="733">
        <v>0.0</v>
      </c>
    </row>
    <row r="5">
      <c r="A5" s="731">
        <v>4841428.0</v>
      </c>
      <c r="B5" s="732" t="s">
        <v>5811</v>
      </c>
      <c r="C5" s="733">
        <v>0.0</v>
      </c>
    </row>
    <row r="6">
      <c r="A6" s="731">
        <v>2096281.0</v>
      </c>
      <c r="B6" s="732" t="s">
        <v>5812</v>
      </c>
      <c r="C6" s="733">
        <v>341628.73</v>
      </c>
    </row>
    <row r="7">
      <c r="A7" s="731">
        <v>4848711.0</v>
      </c>
      <c r="B7" s="732" t="s">
        <v>5813</v>
      </c>
      <c r="C7" s="733">
        <v>0.0</v>
      </c>
    </row>
    <row r="8">
      <c r="A8" s="731">
        <v>4783402.0</v>
      </c>
      <c r="B8" s="732" t="s">
        <v>5814</v>
      </c>
      <c r="C8" s="733">
        <v>0.0</v>
      </c>
    </row>
    <row r="9">
      <c r="A9" s="731">
        <v>7783008.0</v>
      </c>
      <c r="B9" s="732" t="s">
        <v>5815</v>
      </c>
      <c r="C9" s="733">
        <v>0.0</v>
      </c>
    </row>
    <row r="10">
      <c r="A10" s="731">
        <v>4831456.0</v>
      </c>
      <c r="B10" s="732" t="s">
        <v>5816</v>
      </c>
      <c r="C10" s="733">
        <v>0.0</v>
      </c>
    </row>
    <row r="11">
      <c r="A11" s="731">
        <v>447631.0</v>
      </c>
      <c r="B11" s="732" t="s">
        <v>5817</v>
      </c>
      <c r="C11" s="733">
        <v>0.0</v>
      </c>
    </row>
    <row r="12">
      <c r="A12" s="731">
        <v>4805165.0</v>
      </c>
      <c r="B12" s="732" t="s">
        <v>5818</v>
      </c>
      <c r="C12" s="733">
        <v>2563.59</v>
      </c>
    </row>
    <row r="13">
      <c r="A13" s="731">
        <v>4358218.0</v>
      </c>
      <c r="B13" s="732" t="s">
        <v>5819</v>
      </c>
      <c r="C13" s="733">
        <v>0.0</v>
      </c>
    </row>
    <row r="14">
      <c r="A14" s="731">
        <v>58954.0</v>
      </c>
      <c r="B14" s="732" t="s">
        <v>5820</v>
      </c>
      <c r="C14" s="733">
        <v>154434.58</v>
      </c>
    </row>
    <row r="15">
      <c r="A15" s="731">
        <v>4598320.0</v>
      </c>
      <c r="B15" s="732" t="s">
        <v>5821</v>
      </c>
      <c r="C15" s="733">
        <v>0.0</v>
      </c>
    </row>
    <row r="16">
      <c r="A16" s="731">
        <v>3774100.0</v>
      </c>
      <c r="B16" s="732" t="s">
        <v>5822</v>
      </c>
      <c r="C16" s="733">
        <v>0.0</v>
      </c>
    </row>
    <row r="17">
      <c r="A17" s="731">
        <v>4652696.0</v>
      </c>
      <c r="B17" s="732" t="s">
        <v>5823</v>
      </c>
      <c r="C17" s="733">
        <v>63222.06</v>
      </c>
    </row>
    <row r="18">
      <c r="A18" s="731">
        <v>6032020.0</v>
      </c>
      <c r="B18" s="732" t="s">
        <v>5824</v>
      </c>
      <c r="C18" s="733">
        <v>0.0</v>
      </c>
    </row>
    <row r="19">
      <c r="A19" s="731">
        <v>4988368.0</v>
      </c>
      <c r="B19" s="732" t="s">
        <v>5825</v>
      </c>
      <c r="C19" s="733">
        <v>106000.54</v>
      </c>
    </row>
    <row r="20">
      <c r="A20" s="731">
        <v>4416642.0</v>
      </c>
      <c r="B20" s="732" t="s">
        <v>5826</v>
      </c>
      <c r="C20" s="733">
        <v>0.0</v>
      </c>
    </row>
    <row r="21">
      <c r="A21" s="731">
        <v>4903270.0</v>
      </c>
      <c r="B21" s="732" t="s">
        <v>5827</v>
      </c>
      <c r="C21" s="733">
        <v>0.0</v>
      </c>
    </row>
    <row r="22">
      <c r="A22" s="731">
        <v>8155858.0</v>
      </c>
      <c r="B22" s="732" t="s">
        <v>5828</v>
      </c>
      <c r="C22" s="733">
        <v>0.0</v>
      </c>
    </row>
    <row r="23">
      <c r="A23" s="731">
        <v>5661723.0</v>
      </c>
      <c r="B23" s="732" t="s">
        <v>5829</v>
      </c>
      <c r="C23" s="733">
        <v>0.0</v>
      </c>
    </row>
    <row r="24">
      <c r="A24" s="731">
        <v>4459682.0</v>
      </c>
      <c r="B24" s="732" t="s">
        <v>5830</v>
      </c>
      <c r="C24" s="733">
        <v>239.21</v>
      </c>
    </row>
    <row r="25">
      <c r="A25" s="731">
        <v>8233833.0</v>
      </c>
      <c r="B25" s="732" t="s">
        <v>5831</v>
      </c>
      <c r="C25" s="733">
        <v>0.0</v>
      </c>
    </row>
    <row r="26">
      <c r="A26" s="731">
        <v>2289902.0</v>
      </c>
      <c r="B26" s="732" t="s">
        <v>5832</v>
      </c>
      <c r="C26" s="733">
        <v>0.0</v>
      </c>
    </row>
    <row r="27">
      <c r="A27" s="731">
        <v>4398585.0</v>
      </c>
      <c r="B27" s="732" t="s">
        <v>5833</v>
      </c>
      <c r="C27" s="733">
        <v>0.0</v>
      </c>
    </row>
    <row r="28">
      <c r="A28" s="731">
        <v>2889018.0</v>
      </c>
      <c r="B28" s="732" t="s">
        <v>5834</v>
      </c>
      <c r="C28" s="733">
        <v>21397.62</v>
      </c>
    </row>
    <row r="29">
      <c r="A29" s="731">
        <v>4488691.0</v>
      </c>
      <c r="B29" s="732" t="s">
        <v>5835</v>
      </c>
      <c r="C29" s="733">
        <v>0.0</v>
      </c>
    </row>
    <row r="30">
      <c r="A30" s="731">
        <v>4793812.0</v>
      </c>
      <c r="B30" s="732" t="s">
        <v>5814</v>
      </c>
      <c r="C30" s="733">
        <v>0.0</v>
      </c>
    </row>
    <row r="31">
      <c r="A31" s="731">
        <v>4637696.0</v>
      </c>
      <c r="B31" s="732" t="s">
        <v>5836</v>
      </c>
      <c r="C31" s="733">
        <v>0.0</v>
      </c>
    </row>
    <row r="32">
      <c r="A32" s="731">
        <v>6320705.0</v>
      </c>
      <c r="B32" s="732" t="s">
        <v>5837</v>
      </c>
      <c r="C32" s="733">
        <v>0.14</v>
      </c>
    </row>
    <row r="33">
      <c r="A33" s="731">
        <v>7782720.0</v>
      </c>
      <c r="B33" s="732" t="s">
        <v>5838</v>
      </c>
      <c r="C33" s="733">
        <v>-21.91</v>
      </c>
    </row>
    <row r="34">
      <c r="A34" s="731">
        <v>7518857.0</v>
      </c>
      <c r="B34" s="732" t="s">
        <v>5839</v>
      </c>
      <c r="C34" s="733">
        <v>0.0</v>
      </c>
    </row>
    <row r="35">
      <c r="A35" s="731">
        <v>8588911.0</v>
      </c>
      <c r="B35" s="732" t="s">
        <v>5840</v>
      </c>
      <c r="C35" s="733">
        <v>0.0</v>
      </c>
    </row>
    <row r="36">
      <c r="A36" s="731">
        <v>2699859.0</v>
      </c>
      <c r="B36" s="732" t="s">
        <v>5841</v>
      </c>
      <c r="C36" s="733">
        <v>0.0</v>
      </c>
    </row>
    <row r="37">
      <c r="A37" s="731">
        <v>6480340.0</v>
      </c>
      <c r="B37" s="732" t="s">
        <v>5842</v>
      </c>
      <c r="C37" s="733">
        <v>0.0</v>
      </c>
    </row>
    <row r="38">
      <c r="A38" s="731">
        <v>8118585.0</v>
      </c>
      <c r="B38" s="732" t="s">
        <v>5843</v>
      </c>
      <c r="C38" s="733">
        <v>0.0</v>
      </c>
    </row>
    <row r="39">
      <c r="A39" s="731">
        <v>2660830.0</v>
      </c>
      <c r="B39" s="732" t="s">
        <v>5844</v>
      </c>
      <c r="C39" s="733">
        <v>0.0</v>
      </c>
    </row>
    <row r="40">
      <c r="A40" s="731">
        <v>2551563.0</v>
      </c>
      <c r="B40" s="732" t="s">
        <v>5845</v>
      </c>
      <c r="C40" s="733">
        <v>55559.82</v>
      </c>
    </row>
    <row r="41">
      <c r="A41" s="731">
        <v>4608802.0</v>
      </c>
      <c r="B41" s="732" t="s">
        <v>5846</v>
      </c>
      <c r="C41" s="733">
        <v>101644.2</v>
      </c>
    </row>
    <row r="42">
      <c r="A42" s="731">
        <v>4680045.0</v>
      </c>
      <c r="B42" s="732" t="s">
        <v>5847</v>
      </c>
      <c r="C42" s="733">
        <v>4565.1</v>
      </c>
    </row>
    <row r="43">
      <c r="A43" s="731">
        <v>4559307.0</v>
      </c>
      <c r="B43" s="732" t="s">
        <v>5848</v>
      </c>
      <c r="C43" s="733">
        <v>0.0</v>
      </c>
    </row>
    <row r="44">
      <c r="A44" s="731">
        <v>6486558.0</v>
      </c>
      <c r="B44" s="732" t="s">
        <v>5849</v>
      </c>
      <c r="C44" s="733">
        <v>146502.75</v>
      </c>
    </row>
    <row r="45">
      <c r="A45" s="731">
        <v>6029791.0</v>
      </c>
      <c r="B45" s="732" t="s">
        <v>5850</v>
      </c>
      <c r="C45" s="733">
        <v>0.0</v>
      </c>
    </row>
    <row r="46">
      <c r="A46" s="731">
        <v>4416789.0</v>
      </c>
      <c r="B46" s="732" t="s">
        <v>5851</v>
      </c>
      <c r="C46" s="733">
        <v>0.0</v>
      </c>
    </row>
    <row r="47">
      <c r="A47" s="731">
        <v>5682953.0</v>
      </c>
      <c r="B47" s="732" t="s">
        <v>5852</v>
      </c>
      <c r="C47" s="733">
        <v>52525.83</v>
      </c>
    </row>
    <row r="48">
      <c r="A48" s="731">
        <v>2214585.0</v>
      </c>
      <c r="B48" s="732" t="s">
        <v>5853</v>
      </c>
      <c r="C48" s="733">
        <v>0.0</v>
      </c>
    </row>
    <row r="49">
      <c r="A49" s="731">
        <v>7854925.0</v>
      </c>
      <c r="B49" s="732" t="s">
        <v>5854</v>
      </c>
      <c r="C49" s="733">
        <v>0.0</v>
      </c>
    </row>
    <row r="50">
      <c r="A50" s="731">
        <v>8524764.0</v>
      </c>
      <c r="B50" s="732" t="s">
        <v>5855</v>
      </c>
      <c r="C50" s="733">
        <v>0.0</v>
      </c>
    </row>
    <row r="51">
      <c r="A51" s="731">
        <v>5648950.0</v>
      </c>
      <c r="B51" s="732" t="s">
        <v>5856</v>
      </c>
      <c r="C51" s="733">
        <v>0.0</v>
      </c>
    </row>
    <row r="52">
      <c r="A52" s="731">
        <v>8023410.0</v>
      </c>
      <c r="B52" s="732" t="s">
        <v>5857</v>
      </c>
      <c r="C52" s="733">
        <v>0.0</v>
      </c>
    </row>
    <row r="53">
      <c r="A53" s="731">
        <v>7443645.0</v>
      </c>
      <c r="B53" s="732" t="s">
        <v>5858</v>
      </c>
      <c r="C53" s="733">
        <v>0.0</v>
      </c>
    </row>
    <row r="54">
      <c r="A54" s="731">
        <v>4418396.0</v>
      </c>
      <c r="B54" s="732" t="s">
        <v>5859</v>
      </c>
      <c r="C54" s="733">
        <v>0.0</v>
      </c>
    </row>
    <row r="55">
      <c r="A55" s="731">
        <v>3241823.0</v>
      </c>
      <c r="B55" s="732" t="s">
        <v>5860</v>
      </c>
      <c r="C55" s="733">
        <v>0.0</v>
      </c>
    </row>
    <row r="56">
      <c r="A56" s="731">
        <v>2720929.0</v>
      </c>
      <c r="B56" s="732" t="s">
        <v>5831</v>
      </c>
      <c r="C56" s="733">
        <v>0.0</v>
      </c>
    </row>
    <row r="57">
      <c r="A57" s="731">
        <v>6889397.0</v>
      </c>
      <c r="B57" s="732" t="s">
        <v>5861</v>
      </c>
      <c r="C57" s="733">
        <v>0.0</v>
      </c>
    </row>
    <row r="58">
      <c r="A58" s="731">
        <v>8598875.0</v>
      </c>
      <c r="B58" s="732" t="s">
        <v>5855</v>
      </c>
      <c r="C58" s="733">
        <v>0.0</v>
      </c>
    </row>
    <row r="59">
      <c r="A59" s="731">
        <v>429563.0</v>
      </c>
      <c r="B59" s="732" t="s">
        <v>5862</v>
      </c>
      <c r="C59" s="733">
        <v>0.0</v>
      </c>
    </row>
    <row r="60">
      <c r="A60" s="731">
        <v>7032839.0</v>
      </c>
      <c r="B60" s="732" t="s">
        <v>5863</v>
      </c>
      <c r="C60" s="733">
        <v>0.0</v>
      </c>
    </row>
    <row r="61">
      <c r="A61" s="731">
        <v>7667659.0</v>
      </c>
      <c r="B61" s="732" t="s">
        <v>5864</v>
      </c>
      <c r="C61" s="733">
        <v>22419.55</v>
      </c>
    </row>
    <row r="62">
      <c r="A62" s="731">
        <v>4634086.0</v>
      </c>
      <c r="B62" s="732" t="s">
        <v>5865</v>
      </c>
      <c r="C62" s="733">
        <v>0.0</v>
      </c>
    </row>
    <row r="63">
      <c r="A63" s="731">
        <v>4145752.0</v>
      </c>
      <c r="B63" s="732" t="s">
        <v>5866</v>
      </c>
      <c r="C63" s="733">
        <v>20.0</v>
      </c>
    </row>
    <row r="64">
      <c r="A64" s="731">
        <v>9215559.0</v>
      </c>
      <c r="B64" s="732" t="s">
        <v>5867</v>
      </c>
      <c r="C64" s="733">
        <v>0.0</v>
      </c>
    </row>
    <row r="65">
      <c r="A65" s="731">
        <v>4945025.0</v>
      </c>
      <c r="B65" s="732" t="s">
        <v>5868</v>
      </c>
      <c r="C65" s="733">
        <v>0.0</v>
      </c>
    </row>
    <row r="66">
      <c r="A66" s="731">
        <v>3081966.0</v>
      </c>
      <c r="B66" s="732" t="s">
        <v>5869</v>
      </c>
      <c r="C66" s="733">
        <v>0.0</v>
      </c>
    </row>
    <row r="67">
      <c r="A67" s="731">
        <v>7046512.0</v>
      </c>
      <c r="B67" s="732" t="s">
        <v>5870</v>
      </c>
      <c r="C67" s="733">
        <v>0.0</v>
      </c>
    </row>
    <row r="68">
      <c r="A68" s="731">
        <v>8742121.0</v>
      </c>
      <c r="B68" s="732" t="s">
        <v>5871</v>
      </c>
      <c r="C68" s="733">
        <v>0.0</v>
      </c>
    </row>
    <row r="69">
      <c r="A69" s="731">
        <v>8685427.0</v>
      </c>
      <c r="B69" s="732" t="s">
        <v>5872</v>
      </c>
      <c r="C69" s="733">
        <v>0.0</v>
      </c>
    </row>
    <row r="70">
      <c r="A70" s="731">
        <v>4307232.0</v>
      </c>
      <c r="B70" s="732" t="s">
        <v>5873</v>
      </c>
      <c r="C70" s="733">
        <v>0.0</v>
      </c>
    </row>
    <row r="71">
      <c r="A71" s="731">
        <v>4847953.0</v>
      </c>
      <c r="B71" s="732" t="s">
        <v>5874</v>
      </c>
      <c r="C71" s="733">
        <v>108148.44</v>
      </c>
    </row>
    <row r="72">
      <c r="A72" s="731">
        <v>4571776.0</v>
      </c>
      <c r="B72" s="732" t="s">
        <v>5875</v>
      </c>
      <c r="C72" s="733">
        <v>0.0</v>
      </c>
    </row>
    <row r="73">
      <c r="A73" s="731">
        <v>4425564.0</v>
      </c>
      <c r="B73" s="732" t="s">
        <v>5876</v>
      </c>
      <c r="C73" s="733">
        <v>0.0</v>
      </c>
    </row>
    <row r="74">
      <c r="A74" s="731">
        <v>4548330.0</v>
      </c>
      <c r="B74" s="732" t="s">
        <v>5877</v>
      </c>
      <c r="C74" s="733">
        <v>0.0</v>
      </c>
    </row>
    <row r="75">
      <c r="A75" s="731">
        <v>417444.0</v>
      </c>
      <c r="B75" s="732" t="s">
        <v>5878</v>
      </c>
      <c r="C75" s="733">
        <v>1547.29</v>
      </c>
    </row>
    <row r="76">
      <c r="A76" s="731">
        <v>515215.0</v>
      </c>
      <c r="B76" s="732" t="s">
        <v>5879</v>
      </c>
      <c r="C76" s="733">
        <v>0.0</v>
      </c>
    </row>
    <row r="77">
      <c r="A77" s="731">
        <v>4750693.0</v>
      </c>
      <c r="B77" s="732" t="s">
        <v>5880</v>
      </c>
      <c r="C77" s="733">
        <v>0.0</v>
      </c>
    </row>
    <row r="78">
      <c r="A78" s="731">
        <v>4680314.0</v>
      </c>
      <c r="B78" s="732" t="s">
        <v>5881</v>
      </c>
      <c r="C78" s="733">
        <v>0.0</v>
      </c>
    </row>
    <row r="79">
      <c r="A79" s="731">
        <v>5900668.0</v>
      </c>
      <c r="B79" s="732" t="s">
        <v>5882</v>
      </c>
      <c r="C79" s="733">
        <v>0.0</v>
      </c>
    </row>
    <row r="80">
      <c r="A80" s="731">
        <v>4859015.0</v>
      </c>
      <c r="B80" s="732" t="s">
        <v>5883</v>
      </c>
      <c r="C80" s="733">
        <v>0.0</v>
      </c>
    </row>
    <row r="81">
      <c r="A81" s="731">
        <v>4458091.0</v>
      </c>
      <c r="B81" s="732" t="s">
        <v>5884</v>
      </c>
      <c r="C81" s="733">
        <v>0.0</v>
      </c>
    </row>
    <row r="82">
      <c r="A82" s="731">
        <v>5947531.0</v>
      </c>
      <c r="B82" s="732" t="s">
        <v>5885</v>
      </c>
      <c r="C82" s="733">
        <v>0.0</v>
      </c>
    </row>
    <row r="83">
      <c r="A83" s="731">
        <v>5577.0</v>
      </c>
      <c r="B83" s="732" t="s">
        <v>5886</v>
      </c>
      <c r="C83" s="733">
        <v>0.0</v>
      </c>
    </row>
    <row r="84">
      <c r="A84" s="731">
        <v>9009694.0</v>
      </c>
      <c r="B84" s="732" t="s">
        <v>5887</v>
      </c>
      <c r="C84" s="733">
        <v>0.0</v>
      </c>
    </row>
    <row r="85">
      <c r="A85" s="731">
        <v>6582735.0</v>
      </c>
      <c r="B85" s="732" t="s">
        <v>5858</v>
      </c>
      <c r="C85" s="733">
        <v>94655.65</v>
      </c>
    </row>
    <row r="86">
      <c r="A86" s="731">
        <v>3714503.0</v>
      </c>
      <c r="B86" s="732" t="s">
        <v>5888</v>
      </c>
      <c r="C86" s="733">
        <v>0.0</v>
      </c>
    </row>
    <row r="87">
      <c r="A87" s="731">
        <v>3214407.0</v>
      </c>
      <c r="B87" s="732" t="s">
        <v>5889</v>
      </c>
      <c r="C87" s="733">
        <v>0.0</v>
      </c>
    </row>
    <row r="88">
      <c r="A88" s="731">
        <v>4085020.0</v>
      </c>
      <c r="B88" s="732" t="s">
        <v>5890</v>
      </c>
      <c r="C88" s="733">
        <v>3479.5</v>
      </c>
    </row>
    <row r="89">
      <c r="A89" s="731">
        <v>8993002.0</v>
      </c>
      <c r="B89" s="732" t="s">
        <v>5891</v>
      </c>
      <c r="C89" s="733">
        <v>0.0</v>
      </c>
    </row>
    <row r="90">
      <c r="A90" s="731">
        <v>4452023.0</v>
      </c>
      <c r="B90" s="732" t="s">
        <v>5892</v>
      </c>
      <c r="C90" s="733">
        <v>120471.54</v>
      </c>
    </row>
    <row r="91">
      <c r="A91" s="731">
        <v>5663320.0</v>
      </c>
      <c r="B91" s="732" t="s">
        <v>5844</v>
      </c>
      <c r="C91" s="733">
        <v>0.0</v>
      </c>
    </row>
    <row r="92">
      <c r="A92" s="731">
        <v>5171052.0</v>
      </c>
      <c r="B92" s="732" t="s">
        <v>5893</v>
      </c>
      <c r="C92" s="733">
        <v>83207.87</v>
      </c>
    </row>
    <row r="93">
      <c r="A93" s="731">
        <v>4442405.0</v>
      </c>
      <c r="B93" s="732" t="s">
        <v>5894</v>
      </c>
      <c r="C93" s="733">
        <v>0.14</v>
      </c>
    </row>
    <row r="94">
      <c r="A94" s="731">
        <v>4468606.0</v>
      </c>
      <c r="B94" s="732" t="s">
        <v>5843</v>
      </c>
      <c r="C94" s="733">
        <v>0.0</v>
      </c>
    </row>
    <row r="95">
      <c r="A95" s="731">
        <v>3679808.0</v>
      </c>
      <c r="B95" s="732" t="s">
        <v>5895</v>
      </c>
      <c r="C95" s="733">
        <v>0.0</v>
      </c>
    </row>
    <row r="96">
      <c r="A96" s="731">
        <v>6096787.0</v>
      </c>
      <c r="B96" s="732" t="s">
        <v>5896</v>
      </c>
      <c r="C96" s="733">
        <v>0.0</v>
      </c>
    </row>
    <row r="97">
      <c r="A97" s="731">
        <v>2089993.0</v>
      </c>
      <c r="B97" s="732" t="s">
        <v>5897</v>
      </c>
      <c r="C97" s="733">
        <v>0.0</v>
      </c>
    </row>
    <row r="98">
      <c r="A98" s="731">
        <v>4582050.0</v>
      </c>
      <c r="B98" s="732" t="s">
        <v>5898</v>
      </c>
      <c r="C98" s="733">
        <v>0.0</v>
      </c>
    </row>
    <row r="99">
      <c r="A99" s="731">
        <v>5080319.0</v>
      </c>
      <c r="B99" s="732" t="s">
        <v>5899</v>
      </c>
      <c r="C99" s="733">
        <v>0.0</v>
      </c>
    </row>
    <row r="100">
      <c r="A100" s="731">
        <v>4396977.0</v>
      </c>
      <c r="B100" s="732" t="s">
        <v>5900</v>
      </c>
      <c r="C100" s="733">
        <v>0.0</v>
      </c>
    </row>
    <row r="101">
      <c r="A101" s="731">
        <v>552896.0</v>
      </c>
      <c r="B101" s="732" t="s">
        <v>5901</v>
      </c>
      <c r="C101" s="733">
        <v>166426.21</v>
      </c>
    </row>
    <row r="102">
      <c r="A102" s="731">
        <v>8419053.0</v>
      </c>
      <c r="B102" s="732" t="s">
        <v>5902</v>
      </c>
      <c r="C102" s="733">
        <v>0.0</v>
      </c>
    </row>
    <row r="103">
      <c r="A103" s="731">
        <v>5702220.0</v>
      </c>
      <c r="B103" s="732" t="s">
        <v>5903</v>
      </c>
      <c r="C103" s="733">
        <v>18071.75</v>
      </c>
    </row>
    <row r="104">
      <c r="A104" s="731">
        <v>4304013.0</v>
      </c>
      <c r="B104" s="732" t="s">
        <v>5904</v>
      </c>
      <c r="C104" s="733">
        <v>4949.88</v>
      </c>
    </row>
    <row r="105">
      <c r="A105" s="731">
        <v>9274386.0</v>
      </c>
      <c r="B105" s="732" t="s">
        <v>5905</v>
      </c>
      <c r="C105" s="733">
        <v>0.0</v>
      </c>
    </row>
    <row r="106">
      <c r="A106" s="731">
        <v>4655754.0</v>
      </c>
      <c r="B106" s="732" t="s">
        <v>5906</v>
      </c>
      <c r="C106" s="733">
        <v>0.0</v>
      </c>
    </row>
    <row r="107">
      <c r="A107" s="731">
        <v>6456590.0</v>
      </c>
      <c r="B107" s="732" t="s">
        <v>5907</v>
      </c>
      <c r="C107" s="733">
        <v>1.05</v>
      </c>
    </row>
    <row r="108">
      <c r="A108" s="731">
        <v>6199853.0</v>
      </c>
      <c r="B108" s="732" t="s">
        <v>5908</v>
      </c>
      <c r="C108" s="733">
        <v>0.0</v>
      </c>
    </row>
    <row r="109">
      <c r="A109" s="731">
        <v>2523005.0</v>
      </c>
      <c r="B109" s="732" t="s">
        <v>5909</v>
      </c>
      <c r="C109" s="733">
        <v>0.0</v>
      </c>
    </row>
    <row r="110">
      <c r="A110" s="731">
        <v>8688629.0</v>
      </c>
      <c r="B110" s="732" t="s">
        <v>5910</v>
      </c>
      <c r="C110" s="733">
        <v>0.0</v>
      </c>
    </row>
    <row r="111">
      <c r="A111" s="731">
        <v>4622255.0</v>
      </c>
      <c r="B111" s="732" t="s">
        <v>5911</v>
      </c>
      <c r="C111" s="733">
        <v>0.0</v>
      </c>
    </row>
    <row r="112">
      <c r="A112" s="731">
        <v>2476582.0</v>
      </c>
      <c r="B112" s="732" t="s">
        <v>5912</v>
      </c>
      <c r="C112" s="733">
        <v>0.0</v>
      </c>
    </row>
    <row r="113">
      <c r="A113" s="731">
        <v>3428496.0</v>
      </c>
      <c r="B113" s="732" t="s">
        <v>5913</v>
      </c>
      <c r="C113" s="733">
        <v>0.0</v>
      </c>
    </row>
    <row r="114">
      <c r="A114" s="731">
        <v>7393141.0</v>
      </c>
      <c r="B114" s="732" t="s">
        <v>5914</v>
      </c>
      <c r="C114" s="733">
        <v>0.0</v>
      </c>
    </row>
    <row r="115">
      <c r="A115" s="731">
        <v>4084071.0</v>
      </c>
      <c r="B115" s="732" t="s">
        <v>5915</v>
      </c>
      <c r="C115" s="733">
        <v>0.0</v>
      </c>
    </row>
    <row r="116">
      <c r="A116" s="731">
        <v>7514118.0</v>
      </c>
      <c r="B116" s="732" t="s">
        <v>5916</v>
      </c>
      <c r="C116" s="733">
        <v>0.0</v>
      </c>
    </row>
    <row r="117">
      <c r="A117" s="731">
        <v>9009128.0</v>
      </c>
      <c r="B117" s="732" t="s">
        <v>5917</v>
      </c>
      <c r="C117" s="733">
        <v>0.0</v>
      </c>
    </row>
    <row r="118">
      <c r="A118" s="731">
        <v>3500160.0</v>
      </c>
      <c r="B118" s="732" t="s">
        <v>5918</v>
      </c>
      <c r="C118" s="733">
        <v>911832.91</v>
      </c>
    </row>
    <row r="119">
      <c r="A119" s="731">
        <v>2160689.0</v>
      </c>
      <c r="B119" s="732" t="s">
        <v>5919</v>
      </c>
      <c r="C119" s="733">
        <v>45079.69</v>
      </c>
    </row>
    <row r="120">
      <c r="A120" s="731">
        <v>3658320.0</v>
      </c>
      <c r="B120" s="732" t="s">
        <v>5920</v>
      </c>
      <c r="C120" s="733">
        <v>0.0</v>
      </c>
    </row>
    <row r="121">
      <c r="A121" s="731">
        <v>3924234.0</v>
      </c>
      <c r="B121" s="732" t="s">
        <v>5277</v>
      </c>
      <c r="C121" s="733">
        <v>0.0</v>
      </c>
    </row>
    <row r="122">
      <c r="A122" s="731">
        <v>3025955.0</v>
      </c>
      <c r="B122" s="732" t="s">
        <v>5921</v>
      </c>
      <c r="C122" s="733">
        <v>26046.13</v>
      </c>
    </row>
    <row r="123">
      <c r="A123" s="731">
        <v>4478774.0</v>
      </c>
      <c r="B123" s="732" t="s">
        <v>5922</v>
      </c>
      <c r="C123" s="733">
        <v>0.0</v>
      </c>
    </row>
    <row r="124">
      <c r="A124" s="731">
        <v>2673476.0</v>
      </c>
      <c r="B124" s="732" t="s">
        <v>5923</v>
      </c>
      <c r="C124" s="733">
        <v>0.14</v>
      </c>
    </row>
    <row r="125">
      <c r="A125" s="731">
        <v>3102597.0</v>
      </c>
      <c r="B125" s="732" t="s">
        <v>5924</v>
      </c>
      <c r="C125" s="733">
        <v>0.0</v>
      </c>
    </row>
    <row r="126">
      <c r="A126" s="731">
        <v>9145079.0</v>
      </c>
      <c r="B126" s="732" t="s">
        <v>5925</v>
      </c>
      <c r="C126" s="733">
        <v>2696.17</v>
      </c>
    </row>
    <row r="127">
      <c r="A127" s="731">
        <v>4924154.0</v>
      </c>
      <c r="B127" s="732" t="s">
        <v>5926</v>
      </c>
      <c r="C127" s="733">
        <v>56230.48</v>
      </c>
    </row>
    <row r="128">
      <c r="A128" s="731">
        <v>4064668.0</v>
      </c>
      <c r="B128" s="732" t="s">
        <v>5927</v>
      </c>
      <c r="C128" s="733">
        <v>90109.59</v>
      </c>
    </row>
    <row r="129">
      <c r="A129" s="731">
        <v>4461684.0</v>
      </c>
      <c r="B129" s="732" t="s">
        <v>5928</v>
      </c>
      <c r="C129" s="733">
        <v>0.0</v>
      </c>
    </row>
    <row r="130">
      <c r="A130" s="731">
        <v>5620188.0</v>
      </c>
      <c r="B130" s="732" t="s">
        <v>5929</v>
      </c>
      <c r="C130" s="733">
        <v>0.0</v>
      </c>
    </row>
    <row r="131">
      <c r="A131" s="731">
        <v>4848036.0</v>
      </c>
      <c r="B131" s="732" t="s">
        <v>5930</v>
      </c>
      <c r="C131" s="733">
        <v>0.0</v>
      </c>
    </row>
    <row r="132">
      <c r="A132" s="731">
        <v>8521711.0</v>
      </c>
      <c r="B132" s="732" t="s">
        <v>5931</v>
      </c>
      <c r="C132" s="733">
        <v>0.0</v>
      </c>
    </row>
    <row r="133">
      <c r="A133" s="731">
        <v>8765907.0</v>
      </c>
      <c r="B133" s="732" t="s">
        <v>5932</v>
      </c>
      <c r="C133" s="733">
        <v>0.0</v>
      </c>
    </row>
    <row r="134">
      <c r="A134" s="731">
        <v>4422652.0</v>
      </c>
      <c r="B134" s="732" t="s">
        <v>5933</v>
      </c>
      <c r="C134" s="733">
        <v>0.0</v>
      </c>
    </row>
    <row r="135">
      <c r="A135" s="731">
        <v>5613795.0</v>
      </c>
      <c r="B135" s="732" t="s">
        <v>5934</v>
      </c>
      <c r="C135" s="733">
        <v>0.0</v>
      </c>
    </row>
    <row r="136">
      <c r="A136" s="731">
        <v>2503816.0</v>
      </c>
      <c r="B136" s="732" t="s">
        <v>5881</v>
      </c>
      <c r="C136" s="733">
        <v>21695.75</v>
      </c>
    </row>
    <row r="137">
      <c r="A137" s="731">
        <v>4929433.0</v>
      </c>
      <c r="B137" s="732" t="s">
        <v>5935</v>
      </c>
      <c r="C137" s="733">
        <v>0.0</v>
      </c>
    </row>
    <row r="138">
      <c r="A138" s="731">
        <v>4001766.0</v>
      </c>
      <c r="B138" s="732" t="s">
        <v>5936</v>
      </c>
      <c r="C138" s="733">
        <v>7.63</v>
      </c>
    </row>
    <row r="139">
      <c r="A139" s="731">
        <v>7738705.0</v>
      </c>
      <c r="B139" s="732" t="s">
        <v>5937</v>
      </c>
      <c r="C139" s="733">
        <v>0.0</v>
      </c>
    </row>
    <row r="140">
      <c r="A140" s="731">
        <v>7263623.0</v>
      </c>
      <c r="B140" s="732" t="s">
        <v>5938</v>
      </c>
      <c r="C140" s="733">
        <v>0.0</v>
      </c>
    </row>
    <row r="141">
      <c r="A141" s="731">
        <v>8203715.0</v>
      </c>
      <c r="B141" s="732" t="s">
        <v>5939</v>
      </c>
      <c r="C141" s="733">
        <v>0.0</v>
      </c>
    </row>
    <row r="142">
      <c r="A142" s="731">
        <v>3029846.0</v>
      </c>
      <c r="B142" s="732" t="s">
        <v>5940</v>
      </c>
      <c r="C142" s="733">
        <v>1291.66</v>
      </c>
    </row>
    <row r="143">
      <c r="A143" s="731">
        <v>7519154.0</v>
      </c>
      <c r="B143" s="732" t="s">
        <v>5941</v>
      </c>
      <c r="C143" s="733">
        <v>0.0</v>
      </c>
    </row>
    <row r="144">
      <c r="A144" s="731">
        <v>4588112.0</v>
      </c>
      <c r="B144" s="732" t="s">
        <v>5942</v>
      </c>
      <c r="C144" s="733">
        <v>467630.55</v>
      </c>
    </row>
    <row r="145">
      <c r="A145" s="731">
        <v>4785856.0</v>
      </c>
      <c r="B145" s="732" t="s">
        <v>5943</v>
      </c>
      <c r="C145" s="733">
        <v>0.0</v>
      </c>
    </row>
    <row r="146">
      <c r="A146" s="731">
        <v>3581528.0</v>
      </c>
      <c r="B146" s="732" t="s">
        <v>5944</v>
      </c>
      <c r="C146" s="733">
        <v>352930.19</v>
      </c>
    </row>
    <row r="147">
      <c r="A147" s="731">
        <v>3768368.0</v>
      </c>
      <c r="B147" s="732" t="s">
        <v>5945</v>
      </c>
      <c r="C147" s="733">
        <v>0.0</v>
      </c>
    </row>
    <row r="148">
      <c r="A148" s="731">
        <v>3221916.0</v>
      </c>
      <c r="B148" s="732" t="s">
        <v>5946</v>
      </c>
      <c r="C148" s="733">
        <v>0.0</v>
      </c>
    </row>
    <row r="149">
      <c r="A149" s="731">
        <v>2358079.0</v>
      </c>
      <c r="B149" s="732" t="s">
        <v>5947</v>
      </c>
      <c r="C149" s="733">
        <v>0.0</v>
      </c>
    </row>
    <row r="150">
      <c r="A150" s="731">
        <v>4847801.0</v>
      </c>
      <c r="B150" s="732" t="s">
        <v>5948</v>
      </c>
      <c r="C150" s="733">
        <v>0.0</v>
      </c>
    </row>
    <row r="151">
      <c r="A151" s="731">
        <v>4926548.0</v>
      </c>
      <c r="B151" s="732" t="s">
        <v>5949</v>
      </c>
      <c r="C151" s="733">
        <v>0.0</v>
      </c>
    </row>
    <row r="152">
      <c r="A152" s="731">
        <v>188081.0</v>
      </c>
      <c r="B152" s="732" t="s">
        <v>5950</v>
      </c>
      <c r="C152" s="733">
        <v>0.0</v>
      </c>
    </row>
    <row r="153">
      <c r="A153" s="731">
        <v>7273700.0</v>
      </c>
      <c r="B153" s="732" t="s">
        <v>5951</v>
      </c>
      <c r="C153" s="733">
        <v>0.0</v>
      </c>
    </row>
    <row r="154">
      <c r="A154" s="731">
        <v>2257037.0</v>
      </c>
      <c r="B154" s="732" t="s">
        <v>5840</v>
      </c>
      <c r="C154" s="733">
        <v>0.0</v>
      </c>
    </row>
    <row r="155">
      <c r="A155" s="731">
        <v>2834519.0</v>
      </c>
      <c r="B155" s="732" t="s">
        <v>5952</v>
      </c>
      <c r="C155" s="733">
        <v>66.14</v>
      </c>
    </row>
    <row r="156">
      <c r="A156" s="731">
        <v>8698050.0</v>
      </c>
      <c r="B156" s="732" t="s">
        <v>5953</v>
      </c>
      <c r="C156" s="733">
        <v>0.0</v>
      </c>
    </row>
    <row r="157">
      <c r="A157" s="731">
        <v>2897612.0</v>
      </c>
      <c r="B157" s="732" t="s">
        <v>5954</v>
      </c>
      <c r="C157" s="733">
        <v>966.74</v>
      </c>
    </row>
    <row r="158">
      <c r="A158" s="731">
        <v>7519150.0</v>
      </c>
      <c r="B158" s="732" t="s">
        <v>5843</v>
      </c>
      <c r="C158" s="733">
        <v>0.0</v>
      </c>
    </row>
    <row r="159">
      <c r="A159" s="731">
        <v>6519491.0</v>
      </c>
      <c r="B159" s="732" t="s">
        <v>5955</v>
      </c>
      <c r="C159" s="733">
        <v>0.0</v>
      </c>
    </row>
    <row r="160">
      <c r="A160" s="731">
        <v>6866947.0</v>
      </c>
      <c r="B160" s="732" t="s">
        <v>5956</v>
      </c>
      <c r="C160" s="733">
        <v>0.0</v>
      </c>
    </row>
    <row r="161">
      <c r="A161" s="731">
        <v>2602612.0</v>
      </c>
      <c r="B161" s="732" t="s">
        <v>5957</v>
      </c>
      <c r="C161" s="733">
        <v>0.0</v>
      </c>
    </row>
    <row r="162">
      <c r="A162" s="731">
        <v>4696943.0</v>
      </c>
      <c r="B162" s="732" t="s">
        <v>5958</v>
      </c>
      <c r="C162" s="733">
        <v>0.0</v>
      </c>
    </row>
    <row r="163">
      <c r="A163" s="731">
        <v>4553905.0</v>
      </c>
      <c r="B163" s="732" t="s">
        <v>5959</v>
      </c>
      <c r="C163" s="733">
        <v>0.0</v>
      </c>
    </row>
    <row r="164">
      <c r="A164" s="731">
        <v>3281393.0</v>
      </c>
      <c r="B164" s="732" t="s">
        <v>5960</v>
      </c>
      <c r="C164" s="733">
        <v>0.0</v>
      </c>
    </row>
    <row r="165">
      <c r="A165" s="731">
        <v>7048589.0</v>
      </c>
      <c r="B165" s="732" t="s">
        <v>5961</v>
      </c>
      <c r="C165" s="733">
        <v>0.0</v>
      </c>
    </row>
    <row r="166">
      <c r="A166" s="731">
        <v>8446035.0</v>
      </c>
      <c r="B166" s="732" t="s">
        <v>5962</v>
      </c>
      <c r="C166" s="733">
        <v>0.0</v>
      </c>
    </row>
    <row r="167">
      <c r="A167" s="731">
        <v>6592638.0</v>
      </c>
      <c r="B167" s="732" t="s">
        <v>5963</v>
      </c>
      <c r="C167" s="733">
        <v>86731.72</v>
      </c>
    </row>
    <row r="168">
      <c r="A168" s="731">
        <v>7032894.0</v>
      </c>
      <c r="B168" s="732" t="s">
        <v>5843</v>
      </c>
      <c r="C168" s="733">
        <v>34624.06</v>
      </c>
    </row>
    <row r="169">
      <c r="A169" s="731">
        <v>4402972.0</v>
      </c>
      <c r="B169" s="732" t="s">
        <v>5964</v>
      </c>
      <c r="C169" s="733">
        <v>0.0</v>
      </c>
    </row>
    <row r="170">
      <c r="A170" s="731">
        <v>7605641.0</v>
      </c>
      <c r="B170" s="732" t="s">
        <v>5916</v>
      </c>
      <c r="C170" s="733">
        <v>0.0</v>
      </c>
    </row>
    <row r="171">
      <c r="A171" s="731">
        <v>4600625.0</v>
      </c>
      <c r="B171" s="732" t="s">
        <v>5965</v>
      </c>
      <c r="C171" s="733">
        <v>0.0</v>
      </c>
    </row>
    <row r="172">
      <c r="A172" s="731">
        <v>4798641.0</v>
      </c>
      <c r="B172" s="732" t="s">
        <v>5966</v>
      </c>
      <c r="C172" s="733">
        <v>0.0</v>
      </c>
    </row>
    <row r="173">
      <c r="A173" s="731">
        <v>5581002.0</v>
      </c>
      <c r="B173" s="732" t="s">
        <v>5926</v>
      </c>
      <c r="C173" s="733">
        <v>0.0</v>
      </c>
    </row>
    <row r="174">
      <c r="A174" s="731">
        <v>7772052.0</v>
      </c>
      <c r="B174" s="732" t="s">
        <v>5967</v>
      </c>
      <c r="C174" s="733">
        <v>0.0</v>
      </c>
    </row>
    <row r="175">
      <c r="A175" s="731">
        <v>394871.0</v>
      </c>
      <c r="B175" s="732" t="s">
        <v>5968</v>
      </c>
      <c r="C175" s="733">
        <v>0.0</v>
      </c>
    </row>
    <row r="176">
      <c r="A176" s="731">
        <v>9020656.0</v>
      </c>
      <c r="B176" s="732" t="s">
        <v>5969</v>
      </c>
      <c r="C176" s="733">
        <v>0.0</v>
      </c>
    </row>
    <row r="177">
      <c r="A177" s="731">
        <v>7012555.0</v>
      </c>
      <c r="B177" s="732" t="s">
        <v>5941</v>
      </c>
      <c r="C177" s="733">
        <v>0.0</v>
      </c>
    </row>
    <row r="178">
      <c r="A178" s="731">
        <v>4587723.0</v>
      </c>
      <c r="B178" s="732" t="s">
        <v>5945</v>
      </c>
      <c r="C178" s="733">
        <v>0.0</v>
      </c>
    </row>
    <row r="179">
      <c r="A179" s="731">
        <v>260123.0</v>
      </c>
      <c r="B179" s="732" t="s">
        <v>5970</v>
      </c>
      <c r="C179" s="733">
        <v>0.0</v>
      </c>
    </row>
    <row r="180">
      <c r="A180" s="731">
        <v>218909.0</v>
      </c>
      <c r="B180" s="732" t="s">
        <v>5971</v>
      </c>
      <c r="C180" s="733">
        <v>0.0</v>
      </c>
    </row>
    <row r="181">
      <c r="A181" s="731">
        <v>8039639.0</v>
      </c>
      <c r="B181" s="732" t="s">
        <v>5972</v>
      </c>
      <c r="C181" s="733">
        <v>0.0</v>
      </c>
    </row>
    <row r="182">
      <c r="A182" s="731">
        <v>5958737.0</v>
      </c>
      <c r="B182" s="732" t="s">
        <v>5973</v>
      </c>
      <c r="C182" s="733">
        <v>0.0</v>
      </c>
    </row>
    <row r="183">
      <c r="A183" s="731">
        <v>5182986.0</v>
      </c>
      <c r="B183" s="732" t="s">
        <v>5974</v>
      </c>
      <c r="C183" s="733">
        <v>0.0</v>
      </c>
    </row>
    <row r="184">
      <c r="A184" s="731">
        <v>396107.0</v>
      </c>
      <c r="B184" s="732" t="s">
        <v>5975</v>
      </c>
      <c r="C184" s="733">
        <v>66597.53</v>
      </c>
    </row>
    <row r="185">
      <c r="A185" s="731">
        <v>4648767.0</v>
      </c>
      <c r="B185" s="732" t="s">
        <v>5976</v>
      </c>
      <c r="C185" s="733">
        <v>0.0</v>
      </c>
    </row>
    <row r="186">
      <c r="A186" s="731">
        <v>2536076.0</v>
      </c>
      <c r="B186" s="732" t="s">
        <v>5977</v>
      </c>
      <c r="C186" s="733">
        <v>0.0</v>
      </c>
    </row>
    <row r="187">
      <c r="A187" s="731">
        <v>2009210.0</v>
      </c>
      <c r="B187" s="732" t="s">
        <v>5978</v>
      </c>
      <c r="C187" s="733">
        <v>189014.06</v>
      </c>
    </row>
    <row r="188">
      <c r="A188" s="731">
        <v>2284049.0</v>
      </c>
      <c r="B188" s="732" t="s">
        <v>5979</v>
      </c>
      <c r="C188" s="733">
        <v>5119.07</v>
      </c>
    </row>
    <row r="189">
      <c r="A189" s="731">
        <v>3353688.0</v>
      </c>
      <c r="B189" s="732" t="s">
        <v>5980</v>
      </c>
      <c r="C189" s="733">
        <v>0.0</v>
      </c>
    </row>
    <row r="190">
      <c r="A190" s="731">
        <v>5146477.0</v>
      </c>
      <c r="B190" s="732" t="s">
        <v>5981</v>
      </c>
      <c r="C190" s="733">
        <v>23483.57</v>
      </c>
    </row>
    <row r="191">
      <c r="A191" s="731">
        <v>4695581.0</v>
      </c>
      <c r="B191" s="732" t="s">
        <v>5982</v>
      </c>
      <c r="C191" s="733">
        <v>0.0</v>
      </c>
    </row>
    <row r="192">
      <c r="A192" s="731">
        <v>4695301.0</v>
      </c>
      <c r="B192" s="732" t="s">
        <v>5983</v>
      </c>
      <c r="C192" s="733">
        <v>0.0</v>
      </c>
    </row>
    <row r="193">
      <c r="A193" s="731">
        <v>4556454.0</v>
      </c>
      <c r="B193" s="732" t="s">
        <v>5984</v>
      </c>
      <c r="C193" s="733">
        <v>0.0</v>
      </c>
    </row>
    <row r="194">
      <c r="A194" s="731">
        <v>8089465.0</v>
      </c>
      <c r="B194" s="732" t="s">
        <v>5985</v>
      </c>
      <c r="C194" s="733">
        <v>0.0</v>
      </c>
    </row>
    <row r="195">
      <c r="A195" s="731">
        <v>96891.0</v>
      </c>
      <c r="B195" s="732" t="s">
        <v>5843</v>
      </c>
      <c r="C195" s="733">
        <v>0.0</v>
      </c>
    </row>
    <row r="196">
      <c r="A196" s="731">
        <v>3403198.0</v>
      </c>
      <c r="B196" s="732" t="s">
        <v>5986</v>
      </c>
      <c r="C196" s="733">
        <v>0.0</v>
      </c>
    </row>
    <row r="197">
      <c r="A197" s="731">
        <v>5975647.0</v>
      </c>
      <c r="B197" s="732" t="s">
        <v>5987</v>
      </c>
      <c r="C197" s="733">
        <v>0.0</v>
      </c>
    </row>
    <row r="198">
      <c r="A198" s="731">
        <v>4367434.0</v>
      </c>
      <c r="B198" s="732" t="s">
        <v>5988</v>
      </c>
      <c r="C198" s="733">
        <v>0.0</v>
      </c>
    </row>
    <row r="199">
      <c r="A199" s="731">
        <v>7988957.0</v>
      </c>
      <c r="B199" s="732" t="s">
        <v>5989</v>
      </c>
      <c r="C199" s="733">
        <v>0.0</v>
      </c>
    </row>
    <row r="200">
      <c r="A200" s="731">
        <v>2204868.0</v>
      </c>
      <c r="B200" s="732" t="s">
        <v>5990</v>
      </c>
      <c r="C200" s="733">
        <v>0.0</v>
      </c>
    </row>
    <row r="201">
      <c r="A201" s="731">
        <v>4679169.0</v>
      </c>
      <c r="B201" s="732" t="s">
        <v>5812</v>
      </c>
      <c r="C201" s="733">
        <v>0.0</v>
      </c>
    </row>
    <row r="202">
      <c r="A202" s="731">
        <v>2004579.0</v>
      </c>
      <c r="B202" s="732" t="s">
        <v>5938</v>
      </c>
      <c r="C202" s="733">
        <v>21025.81</v>
      </c>
    </row>
    <row r="203">
      <c r="A203" s="731">
        <v>6675462.0</v>
      </c>
      <c r="B203" s="732" t="s">
        <v>5991</v>
      </c>
      <c r="C203" s="733">
        <v>0.0</v>
      </c>
    </row>
    <row r="204">
      <c r="A204" s="731">
        <v>4441469.0</v>
      </c>
      <c r="B204" s="732" t="s">
        <v>5992</v>
      </c>
      <c r="C204" s="733">
        <v>0.0</v>
      </c>
    </row>
    <row r="205">
      <c r="A205" s="731">
        <v>4460007.0</v>
      </c>
      <c r="B205" s="732" t="s">
        <v>5993</v>
      </c>
      <c r="C205" s="733">
        <v>0.0</v>
      </c>
    </row>
    <row r="206">
      <c r="A206" s="731">
        <v>6000381.0</v>
      </c>
      <c r="B206" s="732" t="s">
        <v>5994</v>
      </c>
      <c r="C206" s="733">
        <v>0.0</v>
      </c>
    </row>
    <row r="207">
      <c r="A207" s="731">
        <v>7046433.0</v>
      </c>
      <c r="B207" s="732" t="s">
        <v>5863</v>
      </c>
      <c r="C207" s="733">
        <v>0.0</v>
      </c>
    </row>
    <row r="208">
      <c r="A208" s="731">
        <v>5635853.0</v>
      </c>
      <c r="B208" s="732" t="s">
        <v>5995</v>
      </c>
      <c r="C208" s="733">
        <v>0.0</v>
      </c>
    </row>
    <row r="209">
      <c r="A209" s="731">
        <v>3360893.0</v>
      </c>
      <c r="B209" s="732" t="s">
        <v>5996</v>
      </c>
      <c r="C209" s="733">
        <v>0.0</v>
      </c>
    </row>
    <row r="210">
      <c r="A210" s="731">
        <v>508722.0</v>
      </c>
      <c r="B210" s="732" t="s">
        <v>5997</v>
      </c>
      <c r="C210" s="733">
        <v>0.0</v>
      </c>
    </row>
    <row r="211">
      <c r="A211" s="731">
        <v>3412436.0</v>
      </c>
      <c r="B211" s="732" t="s">
        <v>5998</v>
      </c>
      <c r="C211" s="733">
        <v>0.0</v>
      </c>
    </row>
    <row r="212">
      <c r="A212" s="731">
        <v>5183783.0</v>
      </c>
      <c r="B212" s="732" t="s">
        <v>5999</v>
      </c>
      <c r="C212" s="733">
        <v>0.0</v>
      </c>
    </row>
    <row r="213">
      <c r="A213" s="731">
        <v>6065019.0</v>
      </c>
      <c r="B213" s="732" t="s">
        <v>6000</v>
      </c>
      <c r="C213" s="733">
        <v>0.0</v>
      </c>
    </row>
    <row r="214">
      <c r="A214" s="731">
        <v>2218849.0</v>
      </c>
      <c r="B214" s="732" t="s">
        <v>6001</v>
      </c>
      <c r="C214" s="733">
        <v>0.0</v>
      </c>
    </row>
    <row r="215">
      <c r="A215" s="731">
        <v>2049496.0</v>
      </c>
      <c r="B215" s="732" t="s">
        <v>6002</v>
      </c>
      <c r="C215" s="733">
        <v>32017.73</v>
      </c>
    </row>
    <row r="216">
      <c r="A216" s="731">
        <v>2545354.0</v>
      </c>
      <c r="B216" s="732" t="s">
        <v>6003</v>
      </c>
      <c r="C216" s="733">
        <v>0.0</v>
      </c>
    </row>
    <row r="217">
      <c r="A217" s="731">
        <v>9268978.0</v>
      </c>
      <c r="B217" s="732" t="s">
        <v>6004</v>
      </c>
      <c r="C217" s="733">
        <v>0.0</v>
      </c>
    </row>
    <row r="218">
      <c r="A218" s="731">
        <v>7998263.0</v>
      </c>
      <c r="B218" s="732" t="s">
        <v>6005</v>
      </c>
      <c r="C218" s="733">
        <v>0.0</v>
      </c>
    </row>
    <row r="219">
      <c r="A219" s="731">
        <v>4879786.0</v>
      </c>
      <c r="B219" s="732" t="s">
        <v>6006</v>
      </c>
      <c r="C219" s="733">
        <v>0.0</v>
      </c>
    </row>
    <row r="220">
      <c r="A220" s="731">
        <v>581733.0</v>
      </c>
      <c r="B220" s="732" t="s">
        <v>5985</v>
      </c>
      <c r="C220" s="733">
        <v>0.0</v>
      </c>
    </row>
    <row r="221">
      <c r="A221" s="731">
        <v>4848604.0</v>
      </c>
      <c r="B221" s="732" t="s">
        <v>6007</v>
      </c>
      <c r="C221" s="733">
        <v>0.0</v>
      </c>
    </row>
    <row r="222">
      <c r="A222" s="731">
        <v>8461167.0</v>
      </c>
      <c r="B222" s="732" t="s">
        <v>6008</v>
      </c>
      <c r="C222" s="733">
        <v>0.0</v>
      </c>
    </row>
    <row r="223">
      <c r="A223" s="731">
        <v>2866620.0</v>
      </c>
      <c r="B223" s="732" t="s">
        <v>6009</v>
      </c>
      <c r="C223" s="733">
        <v>0.0</v>
      </c>
    </row>
    <row r="224">
      <c r="A224" s="731">
        <v>6604192.0</v>
      </c>
      <c r="B224" s="732" t="s">
        <v>6010</v>
      </c>
      <c r="C224" s="733">
        <v>0.0</v>
      </c>
    </row>
    <row r="225">
      <c r="A225" s="731">
        <v>2566765.0</v>
      </c>
      <c r="B225" s="732" t="s">
        <v>6011</v>
      </c>
      <c r="C225" s="733">
        <v>0.0</v>
      </c>
    </row>
    <row r="226">
      <c r="A226" s="731">
        <v>4616618.0</v>
      </c>
      <c r="B226" s="732" t="s">
        <v>5883</v>
      </c>
      <c r="C226" s="733">
        <v>0.0</v>
      </c>
    </row>
    <row r="227">
      <c r="A227" s="731">
        <v>2694253.0</v>
      </c>
      <c r="B227" s="732" t="s">
        <v>6012</v>
      </c>
      <c r="C227" s="733">
        <v>589287.91</v>
      </c>
    </row>
    <row r="228">
      <c r="A228" s="731">
        <v>2997463.0</v>
      </c>
      <c r="B228" s="732" t="s">
        <v>6013</v>
      </c>
      <c r="C228" s="733">
        <v>0.0</v>
      </c>
    </row>
    <row r="229">
      <c r="A229" s="731">
        <v>1000249.0</v>
      </c>
      <c r="B229" s="732" t="s">
        <v>6014</v>
      </c>
      <c r="C229" s="733">
        <v>0.0</v>
      </c>
    </row>
    <row r="230">
      <c r="A230" s="731">
        <v>4437315.0</v>
      </c>
      <c r="B230" s="732" t="s">
        <v>6015</v>
      </c>
      <c r="C230" s="733">
        <v>0.0</v>
      </c>
    </row>
    <row r="231">
      <c r="A231" s="731">
        <v>4744962.0</v>
      </c>
      <c r="B231" s="732" t="s">
        <v>6016</v>
      </c>
      <c r="C231" s="733">
        <v>0.0</v>
      </c>
    </row>
    <row r="232">
      <c r="A232" s="731">
        <v>6493585.0</v>
      </c>
      <c r="B232" s="732" t="s">
        <v>6017</v>
      </c>
      <c r="C232" s="733">
        <v>0.0</v>
      </c>
    </row>
    <row r="233">
      <c r="A233" s="731">
        <v>6456469.0</v>
      </c>
      <c r="B233" s="732" t="s">
        <v>6018</v>
      </c>
      <c r="C233" s="733">
        <v>676425.01</v>
      </c>
    </row>
    <row r="234">
      <c r="A234" s="731">
        <v>4089984.0</v>
      </c>
      <c r="B234" s="732" t="s">
        <v>6019</v>
      </c>
      <c r="C234" s="733">
        <v>46939.69</v>
      </c>
    </row>
    <row r="235">
      <c r="A235" s="731">
        <v>4606048.0</v>
      </c>
      <c r="B235" s="732" t="s">
        <v>6020</v>
      </c>
      <c r="C235" s="733">
        <v>34945.14</v>
      </c>
    </row>
    <row r="236">
      <c r="A236" s="731">
        <v>3457906.0</v>
      </c>
      <c r="B236" s="732" t="s">
        <v>6021</v>
      </c>
      <c r="C236" s="733">
        <v>0.0</v>
      </c>
    </row>
    <row r="237">
      <c r="A237" s="731">
        <v>4551730.0</v>
      </c>
      <c r="B237" s="732" t="s">
        <v>6022</v>
      </c>
      <c r="C237" s="733">
        <v>0.0</v>
      </c>
    </row>
    <row r="238">
      <c r="A238" s="731">
        <v>3318900.0</v>
      </c>
      <c r="B238" s="732" t="s">
        <v>6023</v>
      </c>
      <c r="C238" s="733">
        <v>0.0</v>
      </c>
    </row>
    <row r="239">
      <c r="A239" s="731">
        <v>5167097.0</v>
      </c>
      <c r="B239" s="732" t="s">
        <v>6024</v>
      </c>
      <c r="C239" s="733">
        <v>0.0</v>
      </c>
    </row>
    <row r="240">
      <c r="A240" s="731">
        <v>8088158.0</v>
      </c>
      <c r="B240" s="732" t="s">
        <v>5913</v>
      </c>
      <c r="C240" s="733">
        <v>2147.39</v>
      </c>
    </row>
    <row r="241">
      <c r="A241" s="731">
        <v>3848682.0</v>
      </c>
      <c r="B241" s="732" t="s">
        <v>5823</v>
      </c>
      <c r="C241" s="733">
        <v>0.0</v>
      </c>
    </row>
    <row r="242">
      <c r="A242" s="731">
        <v>8392987.0</v>
      </c>
      <c r="B242" s="732" t="s">
        <v>6025</v>
      </c>
      <c r="C242" s="733">
        <v>0.0</v>
      </c>
    </row>
    <row r="243">
      <c r="A243" s="731">
        <v>4899222.0</v>
      </c>
      <c r="B243" s="732" t="s">
        <v>6026</v>
      </c>
      <c r="C243" s="733">
        <v>2843.41</v>
      </c>
    </row>
    <row r="244">
      <c r="A244" s="731">
        <v>3643555.0</v>
      </c>
      <c r="B244" s="732" t="s">
        <v>6027</v>
      </c>
      <c r="C244" s="733">
        <v>0.0</v>
      </c>
    </row>
    <row r="245">
      <c r="A245" s="731">
        <v>43315.0</v>
      </c>
      <c r="B245" s="732" t="s">
        <v>6028</v>
      </c>
      <c r="C245" s="733">
        <v>0.0</v>
      </c>
    </row>
    <row r="246">
      <c r="A246" s="731">
        <v>490973.0</v>
      </c>
      <c r="B246" s="732" t="s">
        <v>6029</v>
      </c>
      <c r="C246" s="733">
        <v>0.0</v>
      </c>
    </row>
    <row r="247">
      <c r="A247" s="731">
        <v>3445098.0</v>
      </c>
      <c r="B247" s="732" t="s">
        <v>6030</v>
      </c>
      <c r="C247" s="733">
        <v>0.0</v>
      </c>
    </row>
    <row r="248">
      <c r="A248" s="731">
        <v>5537937.0</v>
      </c>
      <c r="B248" s="732" t="s">
        <v>6031</v>
      </c>
      <c r="C248" s="733">
        <v>0.0</v>
      </c>
    </row>
    <row r="249">
      <c r="A249" s="731">
        <v>7336791.0</v>
      </c>
      <c r="B249" s="732" t="s">
        <v>6032</v>
      </c>
      <c r="C249" s="733">
        <v>0.0</v>
      </c>
    </row>
    <row r="250">
      <c r="A250" s="731">
        <v>5947460.0</v>
      </c>
      <c r="B250" s="732" t="s">
        <v>6033</v>
      </c>
      <c r="C250" s="733">
        <v>0.0</v>
      </c>
    </row>
    <row r="251">
      <c r="A251" s="731">
        <v>3022313.0</v>
      </c>
      <c r="B251" s="732" t="s">
        <v>6034</v>
      </c>
      <c r="C251" s="733">
        <v>161670.69</v>
      </c>
    </row>
    <row r="252">
      <c r="A252" s="731">
        <v>6879934.0</v>
      </c>
      <c r="B252" s="732" t="s">
        <v>6035</v>
      </c>
      <c r="C252" s="733">
        <v>139.02</v>
      </c>
    </row>
    <row r="253">
      <c r="A253" s="731">
        <v>8424056.0</v>
      </c>
      <c r="B253" s="732" t="s">
        <v>6036</v>
      </c>
      <c r="C253" s="733">
        <v>-5.2</v>
      </c>
    </row>
    <row r="254">
      <c r="A254" s="731">
        <v>8688674.0</v>
      </c>
      <c r="B254" s="732" t="s">
        <v>5891</v>
      </c>
      <c r="C254" s="733">
        <v>0.0</v>
      </c>
    </row>
    <row r="255">
      <c r="A255" s="731">
        <v>2749522.0</v>
      </c>
      <c r="B255" s="732" t="s">
        <v>6037</v>
      </c>
      <c r="C255" s="733">
        <v>798584.36</v>
      </c>
    </row>
    <row r="256">
      <c r="A256" s="731">
        <v>4423520.0</v>
      </c>
      <c r="B256" s="732" t="s">
        <v>6038</v>
      </c>
      <c r="C256" s="733">
        <v>1141.22</v>
      </c>
    </row>
    <row r="257">
      <c r="A257" s="731">
        <v>4537910.0</v>
      </c>
      <c r="B257" s="732" t="s">
        <v>6039</v>
      </c>
      <c r="C257" s="733">
        <v>0.0</v>
      </c>
    </row>
    <row r="258">
      <c r="A258" s="731">
        <v>8118134.0</v>
      </c>
      <c r="B258" s="732" t="s">
        <v>6040</v>
      </c>
      <c r="C258" s="733">
        <v>0.0</v>
      </c>
    </row>
    <row r="259">
      <c r="A259" s="731">
        <v>9274292.0</v>
      </c>
      <c r="B259" s="732" t="s">
        <v>6041</v>
      </c>
      <c r="C259" s="733">
        <v>0.0</v>
      </c>
    </row>
    <row r="260">
      <c r="A260" s="731">
        <v>8104478.0</v>
      </c>
      <c r="B260" s="732" t="s">
        <v>6042</v>
      </c>
      <c r="C260" s="733">
        <v>0.0</v>
      </c>
    </row>
    <row r="261">
      <c r="A261" s="731">
        <v>4656935.0</v>
      </c>
      <c r="B261" s="732" t="s">
        <v>6043</v>
      </c>
      <c r="C261" s="733">
        <v>0.0</v>
      </c>
    </row>
    <row r="262">
      <c r="A262" s="731">
        <v>4550421.0</v>
      </c>
      <c r="B262" s="732" t="s">
        <v>6044</v>
      </c>
      <c r="C262" s="733">
        <v>0.0</v>
      </c>
    </row>
    <row r="263">
      <c r="A263" s="731">
        <v>3369465.0</v>
      </c>
      <c r="B263" s="732" t="s">
        <v>6045</v>
      </c>
      <c r="C263" s="733">
        <v>11690.49</v>
      </c>
    </row>
    <row r="264">
      <c r="A264" s="731">
        <v>4696470.0</v>
      </c>
      <c r="B264" s="732" t="s">
        <v>6046</v>
      </c>
      <c r="C264" s="733">
        <v>0.0</v>
      </c>
    </row>
    <row r="265">
      <c r="A265" s="731">
        <v>3561110.0</v>
      </c>
      <c r="B265" s="732" t="s">
        <v>6047</v>
      </c>
      <c r="C265" s="733">
        <v>0.0</v>
      </c>
    </row>
    <row r="266">
      <c r="A266" s="731">
        <v>8227775.0</v>
      </c>
      <c r="B266" s="732" t="s">
        <v>6048</v>
      </c>
      <c r="C266" s="733">
        <v>0.0</v>
      </c>
    </row>
    <row r="267">
      <c r="A267" s="731">
        <v>2129230.0</v>
      </c>
      <c r="B267" s="732" t="s">
        <v>6049</v>
      </c>
      <c r="C267" s="733">
        <v>0.0</v>
      </c>
    </row>
    <row r="268">
      <c r="A268" s="731">
        <v>4461647.0</v>
      </c>
      <c r="B268" s="732" t="s">
        <v>6050</v>
      </c>
      <c r="C268" s="733">
        <v>0.01</v>
      </c>
    </row>
    <row r="269">
      <c r="A269" s="731">
        <v>4113513.0</v>
      </c>
      <c r="B269" s="732" t="s">
        <v>6051</v>
      </c>
      <c r="C269" s="733">
        <v>55084.64</v>
      </c>
    </row>
    <row r="270">
      <c r="A270" s="731">
        <v>7998405.0</v>
      </c>
      <c r="B270" s="732" t="s">
        <v>6052</v>
      </c>
      <c r="C270" s="733">
        <v>0.0</v>
      </c>
    </row>
    <row r="271">
      <c r="A271" s="731">
        <v>7000733.0</v>
      </c>
      <c r="B271" s="732" t="s">
        <v>5969</v>
      </c>
      <c r="C271" s="733">
        <v>0.0</v>
      </c>
    </row>
    <row r="272">
      <c r="A272" s="731">
        <v>5681841.0</v>
      </c>
      <c r="B272" s="732" t="s">
        <v>6053</v>
      </c>
      <c r="C272" s="733">
        <v>0.0</v>
      </c>
    </row>
    <row r="273">
      <c r="A273" s="731">
        <v>2427806.0</v>
      </c>
      <c r="B273" s="732" t="s">
        <v>6054</v>
      </c>
      <c r="C273" s="733">
        <v>57335.53</v>
      </c>
    </row>
    <row r="274">
      <c r="A274" s="731">
        <v>4644940.0</v>
      </c>
      <c r="B274" s="732" t="s">
        <v>6055</v>
      </c>
      <c r="C274" s="733">
        <v>0.0</v>
      </c>
    </row>
    <row r="275">
      <c r="A275" s="731">
        <v>4911406.0</v>
      </c>
      <c r="B275" s="732" t="s">
        <v>6056</v>
      </c>
      <c r="C275" s="733">
        <v>0.0</v>
      </c>
    </row>
    <row r="276">
      <c r="A276" s="731">
        <v>5646446.0</v>
      </c>
      <c r="B276" s="732" t="s">
        <v>6057</v>
      </c>
      <c r="C276" s="733">
        <v>0.0</v>
      </c>
    </row>
    <row r="277">
      <c r="A277" s="731">
        <v>2931994.0</v>
      </c>
      <c r="B277" s="732" t="s">
        <v>6058</v>
      </c>
      <c r="C277" s="733">
        <v>79.98</v>
      </c>
    </row>
    <row r="278">
      <c r="A278" s="731">
        <v>9129986.0</v>
      </c>
      <c r="B278" s="732" t="s">
        <v>6013</v>
      </c>
      <c r="C278" s="733">
        <v>0.0</v>
      </c>
    </row>
    <row r="279">
      <c r="A279" s="731">
        <v>8853992.0</v>
      </c>
      <c r="B279" s="732" t="s">
        <v>6059</v>
      </c>
      <c r="C279" s="733">
        <v>0.0</v>
      </c>
    </row>
    <row r="280">
      <c r="A280" s="731">
        <v>9398037.0</v>
      </c>
      <c r="B280" s="732" t="s">
        <v>6060</v>
      </c>
      <c r="C280" s="733">
        <v>58975.24</v>
      </c>
    </row>
    <row r="281">
      <c r="A281" s="731">
        <v>6164897.0</v>
      </c>
      <c r="B281" s="732" t="s">
        <v>6061</v>
      </c>
      <c r="C281" s="733">
        <v>20569.89</v>
      </c>
    </row>
    <row r="282">
      <c r="A282" s="731">
        <v>522975.0</v>
      </c>
      <c r="B282" s="732" t="s">
        <v>6062</v>
      </c>
      <c r="C282" s="733">
        <v>294.35</v>
      </c>
    </row>
    <row r="283">
      <c r="A283" s="731">
        <v>4954616.0</v>
      </c>
      <c r="B283" s="732" t="s">
        <v>6063</v>
      </c>
      <c r="C283" s="733">
        <v>0.0</v>
      </c>
    </row>
    <row r="284">
      <c r="A284" s="731">
        <v>6200964.0</v>
      </c>
      <c r="B284" s="732" t="s">
        <v>6064</v>
      </c>
      <c r="C284" s="733">
        <v>0.0</v>
      </c>
    </row>
    <row r="285">
      <c r="A285" s="731">
        <v>7975707.0</v>
      </c>
      <c r="B285" s="732" t="s">
        <v>5823</v>
      </c>
      <c r="C285" s="733">
        <v>2575.2</v>
      </c>
    </row>
    <row r="286">
      <c r="A286" s="731">
        <v>2751241.0</v>
      </c>
      <c r="B286" s="732" t="s">
        <v>6065</v>
      </c>
      <c r="C286" s="733">
        <v>11387.37</v>
      </c>
    </row>
    <row r="287">
      <c r="A287" s="731">
        <v>3286506.0</v>
      </c>
      <c r="B287" s="732" t="s">
        <v>4044</v>
      </c>
      <c r="C287" s="733">
        <v>0.0</v>
      </c>
    </row>
    <row r="288">
      <c r="A288" s="731">
        <v>3345620.0</v>
      </c>
      <c r="B288" s="732" t="s">
        <v>6050</v>
      </c>
      <c r="C288" s="733">
        <v>217877.09</v>
      </c>
    </row>
    <row r="289">
      <c r="A289" s="731">
        <v>495561.0</v>
      </c>
      <c r="B289" s="732" t="s">
        <v>5056</v>
      </c>
      <c r="C289" s="733">
        <v>65.34</v>
      </c>
    </row>
    <row r="290">
      <c r="A290" s="731">
        <v>111377.0</v>
      </c>
      <c r="B290" s="732" t="s">
        <v>6066</v>
      </c>
      <c r="C290" s="733">
        <v>0.0</v>
      </c>
    </row>
    <row r="291">
      <c r="A291" s="731">
        <v>1000521.0</v>
      </c>
      <c r="B291" s="732" t="s">
        <v>6066</v>
      </c>
      <c r="C291" s="733">
        <v>0.0</v>
      </c>
    </row>
    <row r="292">
      <c r="C292" s="734"/>
    </row>
    <row r="293">
      <c r="C293" s="734"/>
    </row>
    <row r="294">
      <c r="C294" s="734"/>
    </row>
    <row r="295">
      <c r="C295" s="734"/>
    </row>
    <row r="296">
      <c r="C296" s="734"/>
    </row>
    <row r="297">
      <c r="C297" s="734"/>
    </row>
    <row r="298">
      <c r="C298" s="734"/>
    </row>
    <row r="299">
      <c r="C299" s="734"/>
    </row>
    <row r="300">
      <c r="C300" s="734"/>
    </row>
    <row r="301">
      <c r="C301" s="734"/>
    </row>
    <row r="302">
      <c r="C302" s="734"/>
    </row>
    <row r="303">
      <c r="C303" s="734"/>
    </row>
    <row r="304">
      <c r="C304" s="734"/>
    </row>
    <row r="305">
      <c r="C305" s="734"/>
    </row>
    <row r="306">
      <c r="C306" s="734"/>
    </row>
    <row r="307">
      <c r="C307" s="734"/>
    </row>
    <row r="308">
      <c r="C308" s="734"/>
    </row>
    <row r="309">
      <c r="C309" s="734"/>
    </row>
    <row r="310">
      <c r="C310" s="734"/>
    </row>
    <row r="311">
      <c r="C311" s="734"/>
    </row>
    <row r="312">
      <c r="C312" s="734"/>
    </row>
    <row r="313">
      <c r="C313" s="734"/>
    </row>
    <row r="314">
      <c r="C314" s="734"/>
    </row>
    <row r="315">
      <c r="C315" s="734"/>
    </row>
    <row r="316">
      <c r="C316" s="734"/>
    </row>
    <row r="317">
      <c r="C317" s="734"/>
    </row>
    <row r="318">
      <c r="C318" s="734"/>
    </row>
    <row r="319">
      <c r="C319" s="734"/>
    </row>
    <row r="320">
      <c r="C320" s="734"/>
    </row>
    <row r="321">
      <c r="C321" s="734"/>
    </row>
    <row r="322">
      <c r="C322" s="734"/>
    </row>
    <row r="323">
      <c r="C323" s="734"/>
    </row>
    <row r="324">
      <c r="C324" s="734"/>
    </row>
    <row r="325">
      <c r="C325" s="734"/>
    </row>
    <row r="326">
      <c r="C326" s="734"/>
    </row>
    <row r="327">
      <c r="C327" s="734"/>
    </row>
    <row r="328">
      <c r="C328" s="734"/>
    </row>
    <row r="329">
      <c r="C329" s="734"/>
    </row>
    <row r="330">
      <c r="C330" s="734"/>
    </row>
    <row r="331">
      <c r="C331" s="734"/>
    </row>
    <row r="332">
      <c r="C332" s="734"/>
    </row>
    <row r="333">
      <c r="C333" s="734"/>
    </row>
    <row r="334">
      <c r="C334" s="734"/>
    </row>
    <row r="335">
      <c r="C335" s="734"/>
    </row>
    <row r="336">
      <c r="C336" s="734"/>
    </row>
    <row r="337">
      <c r="C337" s="734"/>
    </row>
    <row r="338">
      <c r="C338" s="734"/>
    </row>
    <row r="339">
      <c r="C339" s="734"/>
    </row>
    <row r="340">
      <c r="C340" s="734"/>
    </row>
    <row r="341">
      <c r="C341" s="734"/>
    </row>
    <row r="342">
      <c r="C342" s="734"/>
    </row>
    <row r="343">
      <c r="C343" s="734"/>
    </row>
    <row r="344">
      <c r="C344" s="734"/>
    </row>
    <row r="345">
      <c r="C345" s="734"/>
    </row>
    <row r="346">
      <c r="C346" s="734"/>
    </row>
    <row r="347">
      <c r="C347" s="734"/>
    </row>
    <row r="348">
      <c r="C348" s="734"/>
    </row>
    <row r="349">
      <c r="C349" s="734"/>
    </row>
    <row r="350">
      <c r="C350" s="734"/>
    </row>
    <row r="351">
      <c r="C351" s="734"/>
    </row>
    <row r="352">
      <c r="C352" s="734"/>
    </row>
    <row r="353">
      <c r="C353" s="734"/>
    </row>
    <row r="354">
      <c r="C354" s="734"/>
    </row>
    <row r="355">
      <c r="C355" s="734"/>
    </row>
    <row r="356">
      <c r="C356" s="734"/>
    </row>
    <row r="357">
      <c r="C357" s="734"/>
    </row>
    <row r="358">
      <c r="C358" s="734"/>
    </row>
    <row r="359">
      <c r="C359" s="734"/>
    </row>
    <row r="360">
      <c r="C360" s="734"/>
    </row>
    <row r="361">
      <c r="C361" s="734"/>
    </row>
    <row r="362">
      <c r="C362" s="734"/>
    </row>
    <row r="363">
      <c r="C363" s="734"/>
    </row>
    <row r="364">
      <c r="C364" s="734"/>
    </row>
    <row r="365">
      <c r="C365" s="734"/>
    </row>
    <row r="366">
      <c r="C366" s="734"/>
    </row>
    <row r="367">
      <c r="C367" s="734"/>
    </row>
    <row r="368">
      <c r="C368" s="734"/>
    </row>
    <row r="369">
      <c r="C369" s="734"/>
    </row>
    <row r="370">
      <c r="C370" s="734"/>
    </row>
    <row r="371">
      <c r="C371" s="734"/>
    </row>
    <row r="372">
      <c r="C372" s="734"/>
    </row>
    <row r="373">
      <c r="C373" s="734"/>
    </row>
    <row r="374">
      <c r="C374" s="734"/>
    </row>
    <row r="375">
      <c r="C375" s="734"/>
    </row>
    <row r="376">
      <c r="C376" s="734"/>
    </row>
    <row r="377">
      <c r="C377" s="734"/>
    </row>
    <row r="378">
      <c r="C378" s="734"/>
    </row>
    <row r="379">
      <c r="C379" s="734"/>
    </row>
    <row r="380">
      <c r="C380" s="734"/>
    </row>
    <row r="381">
      <c r="C381" s="734"/>
    </row>
    <row r="382">
      <c r="C382" s="734"/>
    </row>
    <row r="383">
      <c r="C383" s="734"/>
    </row>
    <row r="384">
      <c r="C384" s="734"/>
    </row>
    <row r="385">
      <c r="C385" s="734"/>
    </row>
    <row r="386">
      <c r="C386" s="734"/>
    </row>
    <row r="387">
      <c r="C387" s="734"/>
    </row>
    <row r="388">
      <c r="C388" s="734"/>
    </row>
    <row r="389">
      <c r="C389" s="734"/>
    </row>
    <row r="390">
      <c r="C390" s="734"/>
    </row>
    <row r="391">
      <c r="C391" s="734"/>
    </row>
    <row r="392">
      <c r="C392" s="734"/>
    </row>
    <row r="393">
      <c r="C393" s="734"/>
    </row>
    <row r="394">
      <c r="C394" s="734"/>
    </row>
    <row r="395">
      <c r="C395" s="734"/>
    </row>
    <row r="396">
      <c r="C396" s="734"/>
    </row>
    <row r="397">
      <c r="C397" s="734"/>
    </row>
    <row r="398">
      <c r="C398" s="734"/>
    </row>
    <row r="399">
      <c r="C399" s="734"/>
    </row>
    <row r="400">
      <c r="C400" s="734"/>
    </row>
    <row r="401">
      <c r="C401" s="734"/>
    </row>
    <row r="402">
      <c r="C402" s="734"/>
    </row>
    <row r="403">
      <c r="C403" s="734"/>
    </row>
    <row r="404">
      <c r="C404" s="734"/>
    </row>
    <row r="405">
      <c r="C405" s="734"/>
    </row>
    <row r="406">
      <c r="C406" s="734"/>
    </row>
    <row r="407">
      <c r="C407" s="734"/>
    </row>
    <row r="408">
      <c r="C408" s="734"/>
    </row>
    <row r="409">
      <c r="C409" s="734"/>
    </row>
    <row r="410">
      <c r="C410" s="734"/>
    </row>
    <row r="411">
      <c r="C411" s="734"/>
    </row>
    <row r="412">
      <c r="C412" s="734"/>
    </row>
    <row r="413">
      <c r="C413" s="734"/>
    </row>
    <row r="414">
      <c r="C414" s="734"/>
    </row>
    <row r="415">
      <c r="C415" s="734"/>
    </row>
    <row r="416">
      <c r="C416" s="734"/>
    </row>
    <row r="417">
      <c r="C417" s="734"/>
    </row>
    <row r="418">
      <c r="C418" s="734"/>
    </row>
    <row r="419">
      <c r="C419" s="734"/>
    </row>
    <row r="420">
      <c r="C420" s="734"/>
    </row>
    <row r="421">
      <c r="C421" s="734"/>
    </row>
    <row r="422">
      <c r="C422" s="734"/>
    </row>
    <row r="423">
      <c r="C423" s="734"/>
    </row>
    <row r="424">
      <c r="C424" s="734"/>
    </row>
    <row r="425">
      <c r="C425" s="734"/>
    </row>
    <row r="426">
      <c r="C426" s="734"/>
    </row>
    <row r="427">
      <c r="C427" s="734"/>
    </row>
    <row r="428">
      <c r="C428" s="734"/>
    </row>
    <row r="429">
      <c r="C429" s="734"/>
    </row>
    <row r="430">
      <c r="C430" s="734"/>
    </row>
    <row r="431">
      <c r="C431" s="734"/>
    </row>
    <row r="432">
      <c r="C432" s="734"/>
    </row>
    <row r="433">
      <c r="C433" s="734"/>
    </row>
    <row r="434">
      <c r="C434" s="734"/>
    </row>
    <row r="435">
      <c r="C435" s="734"/>
    </row>
    <row r="436">
      <c r="C436" s="734"/>
    </row>
    <row r="437">
      <c r="C437" s="734"/>
    </row>
    <row r="438">
      <c r="C438" s="734"/>
    </row>
    <row r="439">
      <c r="C439" s="734"/>
    </row>
    <row r="440">
      <c r="C440" s="734"/>
    </row>
    <row r="441">
      <c r="C441" s="734"/>
    </row>
    <row r="442">
      <c r="C442" s="734"/>
    </row>
    <row r="443">
      <c r="C443" s="734"/>
    </row>
    <row r="444">
      <c r="C444" s="734"/>
    </row>
    <row r="445">
      <c r="C445" s="734"/>
    </row>
    <row r="446">
      <c r="C446" s="734"/>
    </row>
    <row r="447">
      <c r="C447" s="734"/>
    </row>
    <row r="448">
      <c r="C448" s="734"/>
    </row>
    <row r="449">
      <c r="C449" s="734"/>
    </row>
    <row r="450">
      <c r="C450" s="734"/>
    </row>
    <row r="451">
      <c r="C451" s="734"/>
    </row>
    <row r="452">
      <c r="C452" s="734"/>
    </row>
    <row r="453">
      <c r="C453" s="734"/>
    </row>
    <row r="454">
      <c r="C454" s="734"/>
    </row>
    <row r="455">
      <c r="C455" s="734"/>
    </row>
    <row r="456">
      <c r="C456" s="734"/>
    </row>
    <row r="457">
      <c r="C457" s="734"/>
    </row>
    <row r="458">
      <c r="C458" s="734"/>
    </row>
    <row r="459">
      <c r="C459" s="734"/>
    </row>
    <row r="460">
      <c r="C460" s="734"/>
    </row>
    <row r="461">
      <c r="C461" s="734"/>
    </row>
    <row r="462">
      <c r="C462" s="734"/>
    </row>
    <row r="463">
      <c r="C463" s="734"/>
    </row>
    <row r="464">
      <c r="C464" s="734"/>
    </row>
    <row r="465">
      <c r="C465" s="734"/>
    </row>
    <row r="466">
      <c r="C466" s="734"/>
    </row>
    <row r="467">
      <c r="C467" s="734"/>
    </row>
    <row r="468">
      <c r="C468" s="734"/>
    </row>
    <row r="469">
      <c r="C469" s="734"/>
    </row>
    <row r="470">
      <c r="C470" s="734"/>
    </row>
    <row r="471">
      <c r="C471" s="734"/>
    </row>
    <row r="472">
      <c r="C472" s="734"/>
    </row>
    <row r="473">
      <c r="C473" s="734"/>
    </row>
    <row r="474">
      <c r="C474" s="734"/>
    </row>
    <row r="475">
      <c r="C475" s="734"/>
    </row>
    <row r="476">
      <c r="C476" s="734"/>
    </row>
    <row r="477">
      <c r="C477" s="734"/>
    </row>
    <row r="478">
      <c r="C478" s="734"/>
    </row>
    <row r="479">
      <c r="C479" s="734"/>
    </row>
    <row r="480">
      <c r="C480" s="734"/>
    </row>
    <row r="481">
      <c r="C481" s="734"/>
    </row>
    <row r="482">
      <c r="C482" s="734"/>
    </row>
    <row r="483">
      <c r="C483" s="734"/>
    </row>
    <row r="484">
      <c r="C484" s="734"/>
    </row>
    <row r="485">
      <c r="C485" s="734"/>
    </row>
    <row r="486">
      <c r="C486" s="734"/>
    </row>
    <row r="487">
      <c r="C487" s="734"/>
    </row>
    <row r="488">
      <c r="C488" s="734"/>
    </row>
    <row r="489">
      <c r="C489" s="734"/>
    </row>
    <row r="490">
      <c r="C490" s="734"/>
    </row>
    <row r="491">
      <c r="C491" s="734"/>
    </row>
    <row r="492">
      <c r="C492" s="734"/>
    </row>
    <row r="493">
      <c r="C493" s="734"/>
    </row>
    <row r="494">
      <c r="C494" s="734"/>
    </row>
    <row r="495">
      <c r="C495" s="734"/>
    </row>
    <row r="496">
      <c r="C496" s="734"/>
    </row>
    <row r="497">
      <c r="C497" s="734"/>
    </row>
    <row r="498">
      <c r="C498" s="734"/>
    </row>
    <row r="499">
      <c r="C499" s="734"/>
    </row>
    <row r="500">
      <c r="C500" s="734"/>
    </row>
    <row r="501">
      <c r="C501" s="734"/>
    </row>
    <row r="502">
      <c r="C502" s="734"/>
    </row>
    <row r="503">
      <c r="C503" s="734"/>
    </row>
    <row r="504">
      <c r="C504" s="734"/>
    </row>
    <row r="505">
      <c r="C505" s="734"/>
    </row>
    <row r="506">
      <c r="C506" s="734"/>
    </row>
    <row r="507">
      <c r="C507" s="734"/>
    </row>
    <row r="508">
      <c r="C508" s="734"/>
    </row>
    <row r="509">
      <c r="C509" s="734"/>
    </row>
    <row r="510">
      <c r="C510" s="734"/>
    </row>
    <row r="511">
      <c r="C511" s="734"/>
    </row>
    <row r="512">
      <c r="C512" s="734"/>
    </row>
    <row r="513">
      <c r="C513" s="734"/>
    </row>
    <row r="514">
      <c r="C514" s="734"/>
    </row>
    <row r="515">
      <c r="C515" s="734"/>
    </row>
    <row r="516">
      <c r="C516" s="734"/>
    </row>
    <row r="517">
      <c r="C517" s="734"/>
    </row>
    <row r="518">
      <c r="C518" s="734"/>
    </row>
    <row r="519">
      <c r="C519" s="734"/>
    </row>
    <row r="520">
      <c r="C520" s="734"/>
    </row>
    <row r="521">
      <c r="C521" s="734"/>
    </row>
    <row r="522">
      <c r="C522" s="734"/>
    </row>
    <row r="523">
      <c r="C523" s="734"/>
    </row>
    <row r="524">
      <c r="C524" s="734"/>
    </row>
    <row r="525">
      <c r="C525" s="734"/>
    </row>
    <row r="526">
      <c r="C526" s="734"/>
    </row>
    <row r="527">
      <c r="C527" s="734"/>
    </row>
    <row r="528">
      <c r="C528" s="734"/>
    </row>
    <row r="529">
      <c r="C529" s="734"/>
    </row>
    <row r="530">
      <c r="C530" s="734"/>
    </row>
    <row r="531">
      <c r="C531" s="734"/>
    </row>
    <row r="532">
      <c r="C532" s="734"/>
    </row>
    <row r="533">
      <c r="C533" s="734"/>
    </row>
    <row r="534">
      <c r="C534" s="734"/>
    </row>
    <row r="535">
      <c r="C535" s="734"/>
    </row>
    <row r="536">
      <c r="C536" s="734"/>
    </row>
    <row r="537">
      <c r="C537" s="734"/>
    </row>
    <row r="538">
      <c r="C538" s="734"/>
    </row>
    <row r="539">
      <c r="C539" s="734"/>
    </row>
    <row r="540">
      <c r="C540" s="734"/>
    </row>
    <row r="541">
      <c r="C541" s="734"/>
    </row>
    <row r="542">
      <c r="C542" s="734"/>
    </row>
    <row r="543">
      <c r="C543" s="734"/>
    </row>
    <row r="544">
      <c r="C544" s="734"/>
    </row>
    <row r="545">
      <c r="C545" s="734"/>
    </row>
    <row r="546">
      <c r="C546" s="734"/>
    </row>
    <row r="547">
      <c r="C547" s="734"/>
    </row>
    <row r="548">
      <c r="C548" s="734"/>
    </row>
    <row r="549">
      <c r="C549" s="734"/>
    </row>
    <row r="550">
      <c r="C550" s="734"/>
    </row>
    <row r="551">
      <c r="C551" s="734"/>
    </row>
    <row r="552">
      <c r="C552" s="734"/>
    </row>
    <row r="553">
      <c r="C553" s="734"/>
    </row>
    <row r="554">
      <c r="C554" s="734"/>
    </row>
    <row r="555">
      <c r="C555" s="734"/>
    </row>
    <row r="556">
      <c r="C556" s="734"/>
    </row>
    <row r="557">
      <c r="C557" s="734"/>
    </row>
    <row r="558">
      <c r="C558" s="734"/>
    </row>
    <row r="559">
      <c r="C559" s="734"/>
    </row>
    <row r="560">
      <c r="C560" s="734"/>
    </row>
    <row r="561">
      <c r="C561" s="734"/>
    </row>
    <row r="562">
      <c r="C562" s="734"/>
    </row>
    <row r="563">
      <c r="C563" s="734"/>
    </row>
    <row r="564">
      <c r="C564" s="734"/>
    </row>
    <row r="565">
      <c r="C565" s="734"/>
    </row>
    <row r="566">
      <c r="C566" s="734"/>
    </row>
    <row r="567">
      <c r="C567" s="734"/>
    </row>
    <row r="568">
      <c r="C568" s="734"/>
    </row>
    <row r="569">
      <c r="C569" s="734"/>
    </row>
    <row r="570">
      <c r="C570" s="734"/>
    </row>
    <row r="571">
      <c r="C571" s="734"/>
    </row>
    <row r="572">
      <c r="C572" s="734"/>
    </row>
    <row r="573">
      <c r="C573" s="734"/>
    </row>
    <row r="574">
      <c r="C574" s="734"/>
    </row>
    <row r="575">
      <c r="C575" s="734"/>
    </row>
    <row r="576">
      <c r="C576" s="734"/>
    </row>
    <row r="577">
      <c r="C577" s="734"/>
    </row>
    <row r="578">
      <c r="C578" s="734"/>
    </row>
    <row r="579">
      <c r="C579" s="734"/>
    </row>
    <row r="580">
      <c r="C580" s="734"/>
    </row>
    <row r="581">
      <c r="C581" s="734"/>
    </row>
    <row r="582">
      <c r="C582" s="734"/>
    </row>
    <row r="583">
      <c r="C583" s="734"/>
    </row>
    <row r="584">
      <c r="C584" s="734"/>
    </row>
    <row r="585">
      <c r="C585" s="734"/>
    </row>
    <row r="586">
      <c r="C586" s="734"/>
    </row>
    <row r="587">
      <c r="C587" s="734"/>
    </row>
    <row r="588">
      <c r="C588" s="734"/>
    </row>
    <row r="589">
      <c r="C589" s="734"/>
    </row>
    <row r="590">
      <c r="C590" s="734"/>
    </row>
    <row r="591">
      <c r="C591" s="734"/>
    </row>
    <row r="592">
      <c r="C592" s="734"/>
    </row>
    <row r="593">
      <c r="C593" s="734"/>
    </row>
    <row r="594">
      <c r="C594" s="734"/>
    </row>
    <row r="595">
      <c r="C595" s="734"/>
    </row>
    <row r="596">
      <c r="C596" s="734"/>
    </row>
    <row r="597">
      <c r="C597" s="734"/>
    </row>
    <row r="598">
      <c r="C598" s="734"/>
    </row>
    <row r="599">
      <c r="C599" s="734"/>
    </row>
    <row r="600">
      <c r="C600" s="734"/>
    </row>
    <row r="601">
      <c r="C601" s="734"/>
    </row>
    <row r="602">
      <c r="C602" s="734"/>
    </row>
    <row r="603">
      <c r="C603" s="734"/>
    </row>
    <row r="604">
      <c r="C604" s="734"/>
    </row>
    <row r="605">
      <c r="C605" s="734"/>
    </row>
    <row r="606">
      <c r="C606" s="734"/>
    </row>
    <row r="607">
      <c r="C607" s="734"/>
    </row>
    <row r="608">
      <c r="C608" s="734"/>
    </row>
    <row r="609">
      <c r="C609" s="734"/>
    </row>
    <row r="610">
      <c r="C610" s="734"/>
    </row>
    <row r="611">
      <c r="C611" s="734"/>
    </row>
    <row r="612">
      <c r="C612" s="734"/>
    </row>
    <row r="613">
      <c r="C613" s="734"/>
    </row>
    <row r="614">
      <c r="C614" s="734"/>
    </row>
    <row r="615">
      <c r="C615" s="734"/>
    </row>
    <row r="616">
      <c r="C616" s="734"/>
    </row>
    <row r="617">
      <c r="C617" s="734"/>
    </row>
    <row r="618">
      <c r="C618" s="734"/>
    </row>
    <row r="619">
      <c r="C619" s="734"/>
    </row>
    <row r="620">
      <c r="C620" s="734"/>
    </row>
    <row r="621">
      <c r="C621" s="734"/>
    </row>
    <row r="622">
      <c r="C622" s="734"/>
    </row>
    <row r="623">
      <c r="C623" s="734"/>
    </row>
    <row r="624">
      <c r="C624" s="734"/>
    </row>
    <row r="625">
      <c r="C625" s="734"/>
    </row>
    <row r="626">
      <c r="C626" s="734"/>
    </row>
    <row r="627">
      <c r="C627" s="734"/>
    </row>
    <row r="628">
      <c r="C628" s="734"/>
    </row>
    <row r="629">
      <c r="C629" s="734"/>
    </row>
    <row r="630">
      <c r="C630" s="734"/>
    </row>
    <row r="631">
      <c r="C631" s="734"/>
    </row>
    <row r="632">
      <c r="C632" s="734"/>
    </row>
    <row r="633">
      <c r="C633" s="734"/>
    </row>
    <row r="634">
      <c r="C634" s="734"/>
    </row>
    <row r="635">
      <c r="C635" s="734"/>
    </row>
    <row r="636">
      <c r="C636" s="734"/>
    </row>
    <row r="637">
      <c r="C637" s="734"/>
    </row>
    <row r="638">
      <c r="C638" s="734"/>
    </row>
    <row r="639">
      <c r="C639" s="734"/>
    </row>
    <row r="640">
      <c r="C640" s="734"/>
    </row>
    <row r="641">
      <c r="C641" s="734"/>
    </row>
    <row r="642">
      <c r="C642" s="734"/>
    </row>
    <row r="643">
      <c r="C643" s="734"/>
    </row>
    <row r="644">
      <c r="C644" s="734"/>
    </row>
    <row r="645">
      <c r="C645" s="734"/>
    </row>
    <row r="646">
      <c r="C646" s="734"/>
    </row>
    <row r="647">
      <c r="C647" s="734"/>
    </row>
    <row r="648">
      <c r="C648" s="734"/>
    </row>
    <row r="649">
      <c r="C649" s="734"/>
    </row>
    <row r="650">
      <c r="C650" s="734"/>
    </row>
    <row r="651">
      <c r="C651" s="734"/>
    </row>
    <row r="652">
      <c r="C652" s="734"/>
    </row>
    <row r="653">
      <c r="C653" s="734"/>
    </row>
    <row r="654">
      <c r="C654" s="734"/>
    </row>
    <row r="655">
      <c r="C655" s="734"/>
    </row>
    <row r="656">
      <c r="C656" s="734"/>
    </row>
    <row r="657">
      <c r="C657" s="734"/>
    </row>
    <row r="658">
      <c r="C658" s="734"/>
    </row>
    <row r="659">
      <c r="C659" s="734"/>
    </row>
    <row r="660">
      <c r="C660" s="734"/>
    </row>
    <row r="661">
      <c r="C661" s="734"/>
    </row>
    <row r="662">
      <c r="C662" s="734"/>
    </row>
    <row r="663">
      <c r="C663" s="734"/>
    </row>
    <row r="664">
      <c r="C664" s="734"/>
    </row>
    <row r="665">
      <c r="C665" s="734"/>
    </row>
    <row r="666">
      <c r="C666" s="734"/>
    </row>
    <row r="667">
      <c r="C667" s="734"/>
    </row>
    <row r="668">
      <c r="C668" s="734"/>
    </row>
    <row r="669">
      <c r="C669" s="734"/>
    </row>
    <row r="670">
      <c r="C670" s="734"/>
    </row>
    <row r="671">
      <c r="C671" s="734"/>
    </row>
    <row r="672">
      <c r="C672" s="734"/>
    </row>
    <row r="673">
      <c r="C673" s="734"/>
    </row>
    <row r="674">
      <c r="C674" s="734"/>
    </row>
    <row r="675">
      <c r="C675" s="734"/>
    </row>
    <row r="676">
      <c r="C676" s="734"/>
    </row>
    <row r="677">
      <c r="C677" s="734"/>
    </row>
    <row r="678">
      <c r="C678" s="734"/>
    </row>
    <row r="679">
      <c r="C679" s="734"/>
    </row>
    <row r="680">
      <c r="C680" s="734"/>
    </row>
    <row r="681">
      <c r="C681" s="734"/>
    </row>
    <row r="682">
      <c r="C682" s="734"/>
    </row>
    <row r="683">
      <c r="C683" s="734"/>
    </row>
    <row r="684">
      <c r="C684" s="734"/>
    </row>
    <row r="685">
      <c r="C685" s="734"/>
    </row>
    <row r="686">
      <c r="C686" s="734"/>
    </row>
    <row r="687">
      <c r="C687" s="734"/>
    </row>
    <row r="688">
      <c r="C688" s="734"/>
    </row>
    <row r="689">
      <c r="C689" s="734"/>
    </row>
    <row r="690">
      <c r="C690" s="734"/>
    </row>
    <row r="691">
      <c r="C691" s="734"/>
    </row>
    <row r="692">
      <c r="C692" s="734"/>
    </row>
    <row r="693">
      <c r="C693" s="734"/>
    </row>
    <row r="694">
      <c r="C694" s="734"/>
    </row>
    <row r="695">
      <c r="C695" s="734"/>
    </row>
    <row r="696">
      <c r="C696" s="734"/>
    </row>
    <row r="697">
      <c r="C697" s="734"/>
    </row>
    <row r="698">
      <c r="C698" s="734"/>
    </row>
    <row r="699">
      <c r="C699" s="734"/>
    </row>
    <row r="700">
      <c r="C700" s="734"/>
    </row>
    <row r="701">
      <c r="C701" s="734"/>
    </row>
    <row r="702">
      <c r="C702" s="734"/>
    </row>
    <row r="703">
      <c r="C703" s="734"/>
    </row>
    <row r="704">
      <c r="C704" s="734"/>
    </row>
    <row r="705">
      <c r="C705" s="734"/>
    </row>
    <row r="706">
      <c r="C706" s="734"/>
    </row>
    <row r="707">
      <c r="C707" s="734"/>
    </row>
    <row r="708">
      <c r="C708" s="734"/>
    </row>
    <row r="709">
      <c r="C709" s="734"/>
    </row>
    <row r="710">
      <c r="C710" s="734"/>
    </row>
    <row r="711">
      <c r="C711" s="734"/>
    </row>
    <row r="712">
      <c r="C712" s="734"/>
    </row>
    <row r="713">
      <c r="C713" s="734"/>
    </row>
    <row r="714">
      <c r="C714" s="734"/>
    </row>
    <row r="715">
      <c r="C715" s="734"/>
    </row>
    <row r="716">
      <c r="C716" s="734"/>
    </row>
    <row r="717">
      <c r="C717" s="734"/>
    </row>
    <row r="718">
      <c r="C718" s="734"/>
    </row>
    <row r="719">
      <c r="C719" s="734"/>
    </row>
    <row r="720">
      <c r="C720" s="734"/>
    </row>
    <row r="721">
      <c r="C721" s="734"/>
    </row>
    <row r="722">
      <c r="C722" s="734"/>
    </row>
    <row r="723">
      <c r="C723" s="734"/>
    </row>
    <row r="724">
      <c r="C724" s="734"/>
    </row>
    <row r="725">
      <c r="C725" s="734"/>
    </row>
    <row r="726">
      <c r="C726" s="734"/>
    </row>
    <row r="727">
      <c r="C727" s="734"/>
    </row>
    <row r="728">
      <c r="C728" s="734"/>
    </row>
    <row r="729">
      <c r="C729" s="734"/>
    </row>
    <row r="730">
      <c r="C730" s="734"/>
    </row>
    <row r="731">
      <c r="C731" s="734"/>
    </row>
    <row r="732">
      <c r="C732" s="734"/>
    </row>
    <row r="733">
      <c r="C733" s="734"/>
    </row>
    <row r="734">
      <c r="C734" s="734"/>
    </row>
    <row r="735">
      <c r="C735" s="734"/>
    </row>
    <row r="736">
      <c r="C736" s="734"/>
    </row>
    <row r="737">
      <c r="C737" s="734"/>
    </row>
    <row r="738">
      <c r="C738" s="734"/>
    </row>
    <row r="739">
      <c r="C739" s="734"/>
    </row>
    <row r="740">
      <c r="C740" s="734"/>
    </row>
    <row r="741">
      <c r="C741" s="734"/>
    </row>
    <row r="742">
      <c r="C742" s="734"/>
    </row>
    <row r="743">
      <c r="C743" s="734"/>
    </row>
    <row r="744">
      <c r="C744" s="734"/>
    </row>
    <row r="745">
      <c r="C745" s="734"/>
    </row>
    <row r="746">
      <c r="C746" s="734"/>
    </row>
    <row r="747">
      <c r="C747" s="734"/>
    </row>
    <row r="748">
      <c r="C748" s="734"/>
    </row>
    <row r="749">
      <c r="C749" s="734"/>
    </row>
    <row r="750">
      <c r="C750" s="734"/>
    </row>
    <row r="751">
      <c r="C751" s="734"/>
    </row>
    <row r="752">
      <c r="C752" s="734"/>
    </row>
    <row r="753">
      <c r="C753" s="734"/>
    </row>
    <row r="754">
      <c r="C754" s="734"/>
    </row>
    <row r="755">
      <c r="C755" s="734"/>
    </row>
    <row r="756">
      <c r="C756" s="734"/>
    </row>
    <row r="757">
      <c r="C757" s="734"/>
    </row>
    <row r="758">
      <c r="C758" s="734"/>
    </row>
    <row r="759">
      <c r="C759" s="734"/>
    </row>
    <row r="760">
      <c r="C760" s="734"/>
    </row>
    <row r="761">
      <c r="C761" s="734"/>
    </row>
    <row r="762">
      <c r="C762" s="734"/>
    </row>
    <row r="763">
      <c r="C763" s="734"/>
    </row>
    <row r="764">
      <c r="C764" s="734"/>
    </row>
    <row r="765">
      <c r="C765" s="734"/>
    </row>
    <row r="766">
      <c r="C766" s="734"/>
    </row>
    <row r="767">
      <c r="C767" s="734"/>
    </row>
    <row r="768">
      <c r="C768" s="734"/>
    </row>
    <row r="769">
      <c r="C769" s="734"/>
    </row>
    <row r="770">
      <c r="C770" s="734"/>
    </row>
    <row r="771">
      <c r="C771" s="734"/>
    </row>
    <row r="772">
      <c r="C772" s="734"/>
    </row>
    <row r="773">
      <c r="C773" s="734"/>
    </row>
    <row r="774">
      <c r="C774" s="734"/>
    </row>
    <row r="775">
      <c r="C775" s="734"/>
    </row>
    <row r="776">
      <c r="C776" s="734"/>
    </row>
    <row r="777">
      <c r="C777" s="734"/>
    </row>
    <row r="778">
      <c r="C778" s="734"/>
    </row>
    <row r="779">
      <c r="C779" s="734"/>
    </row>
    <row r="780">
      <c r="C780" s="734"/>
    </row>
    <row r="781">
      <c r="C781" s="734"/>
    </row>
    <row r="782">
      <c r="C782" s="734"/>
    </row>
    <row r="783">
      <c r="C783" s="734"/>
    </row>
    <row r="784">
      <c r="C784" s="734"/>
    </row>
    <row r="785">
      <c r="C785" s="734"/>
    </row>
    <row r="786">
      <c r="C786" s="734"/>
    </row>
    <row r="787">
      <c r="C787" s="734"/>
    </row>
    <row r="788">
      <c r="C788" s="734"/>
    </row>
    <row r="789">
      <c r="C789" s="734"/>
    </row>
    <row r="790">
      <c r="C790" s="734"/>
    </row>
    <row r="791">
      <c r="C791" s="734"/>
    </row>
    <row r="792">
      <c r="C792" s="734"/>
    </row>
    <row r="793">
      <c r="C793" s="734"/>
    </row>
    <row r="794">
      <c r="C794" s="734"/>
    </row>
    <row r="795">
      <c r="C795" s="734"/>
    </row>
    <row r="796">
      <c r="C796" s="734"/>
    </row>
    <row r="797">
      <c r="C797" s="734"/>
    </row>
    <row r="798">
      <c r="C798" s="734"/>
    </row>
    <row r="799">
      <c r="C799" s="734"/>
    </row>
    <row r="800">
      <c r="C800" s="734"/>
    </row>
    <row r="801">
      <c r="C801" s="734"/>
    </row>
    <row r="802">
      <c r="C802" s="734"/>
    </row>
    <row r="803">
      <c r="C803" s="734"/>
    </row>
    <row r="804">
      <c r="C804" s="734"/>
    </row>
    <row r="805">
      <c r="C805" s="734"/>
    </row>
    <row r="806">
      <c r="C806" s="734"/>
    </row>
    <row r="807">
      <c r="C807" s="734"/>
    </row>
    <row r="808">
      <c r="C808" s="734"/>
    </row>
    <row r="809">
      <c r="C809" s="734"/>
    </row>
    <row r="810">
      <c r="C810" s="734"/>
    </row>
    <row r="811">
      <c r="C811" s="734"/>
    </row>
    <row r="812">
      <c r="C812" s="734"/>
    </row>
    <row r="813">
      <c r="C813" s="734"/>
    </row>
    <row r="814">
      <c r="C814" s="734"/>
    </row>
    <row r="815">
      <c r="C815" s="734"/>
    </row>
    <row r="816">
      <c r="C816" s="734"/>
    </row>
    <row r="817">
      <c r="C817" s="734"/>
    </row>
    <row r="818">
      <c r="C818" s="734"/>
    </row>
    <row r="819">
      <c r="C819" s="734"/>
    </row>
    <row r="820">
      <c r="C820" s="734"/>
    </row>
    <row r="821">
      <c r="C821" s="734"/>
    </row>
    <row r="822">
      <c r="C822" s="734"/>
    </row>
    <row r="823">
      <c r="C823" s="734"/>
    </row>
    <row r="824">
      <c r="C824" s="734"/>
    </row>
    <row r="825">
      <c r="C825" s="734"/>
    </row>
    <row r="826">
      <c r="C826" s="734"/>
    </row>
    <row r="827">
      <c r="C827" s="734"/>
    </row>
    <row r="828">
      <c r="C828" s="734"/>
    </row>
    <row r="829">
      <c r="C829" s="734"/>
    </row>
    <row r="830">
      <c r="C830" s="734"/>
    </row>
    <row r="831">
      <c r="C831" s="734"/>
    </row>
    <row r="832">
      <c r="C832" s="734"/>
    </row>
    <row r="833">
      <c r="C833" s="734"/>
    </row>
    <row r="834">
      <c r="C834" s="734"/>
    </row>
    <row r="835">
      <c r="C835" s="734"/>
    </row>
    <row r="836">
      <c r="C836" s="734"/>
    </row>
    <row r="837">
      <c r="C837" s="734"/>
    </row>
    <row r="838">
      <c r="C838" s="734"/>
    </row>
    <row r="839">
      <c r="C839" s="734"/>
    </row>
    <row r="840">
      <c r="C840" s="734"/>
    </row>
    <row r="841">
      <c r="C841" s="734"/>
    </row>
    <row r="842">
      <c r="C842" s="734"/>
    </row>
    <row r="843">
      <c r="C843" s="734"/>
    </row>
    <row r="844">
      <c r="C844" s="734"/>
    </row>
    <row r="845">
      <c r="C845" s="734"/>
    </row>
    <row r="846">
      <c r="C846" s="734"/>
    </row>
    <row r="847">
      <c r="C847" s="734"/>
    </row>
    <row r="848">
      <c r="C848" s="734"/>
    </row>
    <row r="849">
      <c r="C849" s="734"/>
    </row>
    <row r="850">
      <c r="C850" s="734"/>
    </row>
    <row r="851">
      <c r="C851" s="734"/>
    </row>
    <row r="852">
      <c r="C852" s="734"/>
    </row>
    <row r="853">
      <c r="C853" s="734"/>
    </row>
    <row r="854">
      <c r="C854" s="734"/>
    </row>
    <row r="855">
      <c r="C855" s="734"/>
    </row>
    <row r="856">
      <c r="C856" s="734"/>
    </row>
    <row r="857">
      <c r="C857" s="734"/>
    </row>
    <row r="858">
      <c r="C858" s="734"/>
    </row>
    <row r="859">
      <c r="C859" s="734"/>
    </row>
    <row r="860">
      <c r="C860" s="734"/>
    </row>
    <row r="861">
      <c r="C861" s="734"/>
    </row>
    <row r="862">
      <c r="C862" s="734"/>
    </row>
    <row r="863">
      <c r="C863" s="734"/>
    </row>
    <row r="864">
      <c r="C864" s="734"/>
    </row>
    <row r="865">
      <c r="C865" s="734"/>
    </row>
    <row r="866">
      <c r="C866" s="734"/>
    </row>
    <row r="867">
      <c r="C867" s="734"/>
    </row>
    <row r="868">
      <c r="C868" s="734"/>
    </row>
    <row r="869">
      <c r="C869" s="734"/>
    </row>
    <row r="870">
      <c r="C870" s="734"/>
    </row>
    <row r="871">
      <c r="C871" s="734"/>
    </row>
    <row r="872">
      <c r="C872" s="734"/>
    </row>
    <row r="873">
      <c r="C873" s="734"/>
    </row>
    <row r="874">
      <c r="C874" s="734"/>
    </row>
    <row r="875">
      <c r="C875" s="734"/>
    </row>
    <row r="876">
      <c r="C876" s="734"/>
    </row>
    <row r="877">
      <c r="C877" s="734"/>
    </row>
    <row r="878">
      <c r="C878" s="734"/>
    </row>
    <row r="879">
      <c r="C879" s="734"/>
    </row>
    <row r="880">
      <c r="C880" s="734"/>
    </row>
    <row r="881">
      <c r="C881" s="734"/>
    </row>
    <row r="882">
      <c r="C882" s="734"/>
    </row>
    <row r="883">
      <c r="C883" s="734"/>
    </row>
    <row r="884">
      <c r="C884" s="734"/>
    </row>
    <row r="885">
      <c r="C885" s="734"/>
    </row>
    <row r="886">
      <c r="C886" s="734"/>
    </row>
    <row r="887">
      <c r="C887" s="734"/>
    </row>
    <row r="888">
      <c r="C888" s="734"/>
    </row>
    <row r="889">
      <c r="C889" s="734"/>
    </row>
    <row r="890">
      <c r="C890" s="734"/>
    </row>
    <row r="891">
      <c r="C891" s="734"/>
    </row>
    <row r="892">
      <c r="C892" s="734"/>
    </row>
    <row r="893">
      <c r="C893" s="734"/>
    </row>
    <row r="894">
      <c r="C894" s="734"/>
    </row>
    <row r="895">
      <c r="C895" s="734"/>
    </row>
    <row r="896">
      <c r="C896" s="734"/>
    </row>
    <row r="897">
      <c r="C897" s="734"/>
    </row>
    <row r="898">
      <c r="C898" s="734"/>
    </row>
    <row r="899">
      <c r="C899" s="734"/>
    </row>
    <row r="900">
      <c r="C900" s="734"/>
    </row>
    <row r="901">
      <c r="C901" s="734"/>
    </row>
    <row r="902">
      <c r="C902" s="734"/>
    </row>
    <row r="903">
      <c r="C903" s="734"/>
    </row>
    <row r="904">
      <c r="C904" s="734"/>
    </row>
    <row r="905">
      <c r="C905" s="734"/>
    </row>
    <row r="906">
      <c r="C906" s="734"/>
    </row>
    <row r="907">
      <c r="C907" s="734"/>
    </row>
    <row r="908">
      <c r="C908" s="734"/>
    </row>
    <row r="909">
      <c r="C909" s="734"/>
    </row>
    <row r="910">
      <c r="C910" s="734"/>
    </row>
    <row r="911">
      <c r="C911" s="734"/>
    </row>
    <row r="912">
      <c r="C912" s="734"/>
    </row>
    <row r="913">
      <c r="C913" s="734"/>
    </row>
    <row r="914">
      <c r="C914" s="734"/>
    </row>
    <row r="915">
      <c r="C915" s="734"/>
    </row>
    <row r="916">
      <c r="C916" s="734"/>
    </row>
    <row r="917">
      <c r="C917" s="734"/>
    </row>
    <row r="918">
      <c r="C918" s="734"/>
    </row>
    <row r="919">
      <c r="C919" s="734"/>
    </row>
    <row r="920">
      <c r="C920" s="734"/>
    </row>
    <row r="921">
      <c r="C921" s="734"/>
    </row>
    <row r="922">
      <c r="C922" s="734"/>
    </row>
    <row r="923">
      <c r="C923" s="734"/>
    </row>
    <row r="924">
      <c r="C924" s="734"/>
    </row>
    <row r="925">
      <c r="C925" s="734"/>
    </row>
    <row r="926">
      <c r="C926" s="734"/>
    </row>
    <row r="927">
      <c r="C927" s="734"/>
    </row>
    <row r="928">
      <c r="C928" s="734"/>
    </row>
    <row r="929">
      <c r="C929" s="734"/>
    </row>
    <row r="930">
      <c r="C930" s="734"/>
    </row>
    <row r="931">
      <c r="C931" s="734"/>
    </row>
    <row r="932">
      <c r="C932" s="734"/>
    </row>
    <row r="933">
      <c r="C933" s="734"/>
    </row>
    <row r="934">
      <c r="C934" s="734"/>
    </row>
    <row r="935">
      <c r="C935" s="734"/>
    </row>
    <row r="936">
      <c r="C936" s="734"/>
    </row>
    <row r="937">
      <c r="C937" s="734"/>
    </row>
    <row r="938">
      <c r="C938" s="734"/>
    </row>
    <row r="939">
      <c r="C939" s="734"/>
    </row>
    <row r="940">
      <c r="C940" s="734"/>
    </row>
    <row r="941">
      <c r="C941" s="734"/>
    </row>
    <row r="942">
      <c r="C942" s="734"/>
    </row>
    <row r="943">
      <c r="C943" s="734"/>
    </row>
    <row r="944">
      <c r="C944" s="734"/>
    </row>
    <row r="945">
      <c r="C945" s="734"/>
    </row>
    <row r="946">
      <c r="C946" s="734"/>
    </row>
    <row r="947">
      <c r="C947" s="734"/>
    </row>
    <row r="948">
      <c r="C948" s="734"/>
    </row>
    <row r="949">
      <c r="C949" s="734"/>
    </row>
    <row r="950">
      <c r="C950" s="734"/>
    </row>
    <row r="951">
      <c r="C951" s="734"/>
    </row>
    <row r="952">
      <c r="C952" s="734"/>
    </row>
    <row r="953">
      <c r="C953" s="734"/>
    </row>
    <row r="954">
      <c r="C954" s="734"/>
    </row>
    <row r="955">
      <c r="C955" s="734"/>
    </row>
    <row r="956">
      <c r="C956" s="734"/>
    </row>
    <row r="957">
      <c r="C957" s="734"/>
    </row>
    <row r="958">
      <c r="C958" s="734"/>
    </row>
    <row r="959">
      <c r="C959" s="734"/>
    </row>
    <row r="960">
      <c r="C960" s="734"/>
    </row>
    <row r="961">
      <c r="C961" s="734"/>
    </row>
    <row r="962">
      <c r="C962" s="734"/>
    </row>
    <row r="963">
      <c r="C963" s="734"/>
    </row>
    <row r="964">
      <c r="C964" s="734"/>
    </row>
    <row r="965">
      <c r="C965" s="734"/>
    </row>
    <row r="966">
      <c r="C966" s="734"/>
    </row>
    <row r="967">
      <c r="C967" s="734"/>
    </row>
    <row r="968">
      <c r="C968" s="734"/>
    </row>
    <row r="969">
      <c r="C969" s="734"/>
    </row>
    <row r="970">
      <c r="C970" s="734"/>
    </row>
    <row r="971">
      <c r="C971" s="734"/>
    </row>
    <row r="972">
      <c r="C972" s="734"/>
    </row>
    <row r="973">
      <c r="C973" s="734"/>
    </row>
    <row r="974">
      <c r="C974" s="734"/>
    </row>
    <row r="975">
      <c r="C975" s="734"/>
    </row>
    <row r="976">
      <c r="C976" s="734"/>
    </row>
    <row r="977">
      <c r="C977" s="734"/>
    </row>
    <row r="978">
      <c r="C978" s="734"/>
    </row>
    <row r="979">
      <c r="C979" s="734"/>
    </row>
    <row r="980">
      <c r="C980" s="734"/>
    </row>
    <row r="981">
      <c r="C981" s="734"/>
    </row>
    <row r="982">
      <c r="C982" s="734"/>
    </row>
    <row r="983">
      <c r="C983" s="734"/>
    </row>
    <row r="984">
      <c r="C984" s="734"/>
    </row>
    <row r="985">
      <c r="C985" s="734"/>
    </row>
    <row r="986">
      <c r="C986" s="734"/>
    </row>
    <row r="987">
      <c r="C987" s="734"/>
    </row>
    <row r="988">
      <c r="C988" s="734"/>
    </row>
    <row r="989">
      <c r="C989" s="734"/>
    </row>
    <row r="990">
      <c r="C990" s="734"/>
    </row>
    <row r="991">
      <c r="C991" s="734"/>
    </row>
    <row r="992">
      <c r="C992" s="734"/>
    </row>
    <row r="993">
      <c r="C993" s="734"/>
    </row>
    <row r="994">
      <c r="C994" s="734"/>
    </row>
    <row r="995">
      <c r="C995" s="734"/>
    </row>
    <row r="996">
      <c r="C996" s="734"/>
    </row>
    <row r="997">
      <c r="C997" s="734"/>
    </row>
    <row r="998">
      <c r="C998" s="734"/>
    </row>
    <row r="999">
      <c r="C999" s="734"/>
    </row>
    <row r="1000">
      <c r="C1000" s="73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35" t="s">
        <v>6067</v>
      </c>
      <c r="B1" s="735" t="s">
        <v>6068</v>
      </c>
      <c r="C1" s="735" t="s">
        <v>6069</v>
      </c>
      <c r="D1" s="735" t="s">
        <v>6070</v>
      </c>
      <c r="E1" s="735" t="s">
        <v>6071</v>
      </c>
      <c r="F1" s="735" t="s">
        <v>6072</v>
      </c>
      <c r="G1" s="735" t="s">
        <v>6073</v>
      </c>
    </row>
    <row r="2" ht="15.75" customHeight="1">
      <c r="A2" s="736" t="s">
        <v>6074</v>
      </c>
      <c r="B2" s="737" t="s">
        <v>6075</v>
      </c>
      <c r="C2" s="738">
        <v>30271.0</v>
      </c>
      <c r="D2" s="737">
        <f t="shared" ref="D2:D14" si="1">DATEDIF(C2,$C$121,"Y")</f>
        <v>37</v>
      </c>
      <c r="E2" s="737" t="s">
        <v>6076</v>
      </c>
      <c r="F2" s="737" t="s">
        <v>6077</v>
      </c>
      <c r="G2" s="739">
        <v>326844.0</v>
      </c>
      <c r="J2" s="740" t="s">
        <v>6068</v>
      </c>
      <c r="K2" s="737" t="s">
        <v>6078</v>
      </c>
      <c r="L2" s="737" t="s">
        <v>6079</v>
      </c>
      <c r="M2" s="737" t="s">
        <v>6080</v>
      </c>
      <c r="N2" s="737" t="s">
        <v>6079</v>
      </c>
      <c r="O2" s="737" t="s">
        <v>6081</v>
      </c>
    </row>
    <row r="3" ht="15.75" customHeight="1">
      <c r="A3" s="741" t="s">
        <v>6082</v>
      </c>
      <c r="B3" s="737" t="s">
        <v>6083</v>
      </c>
      <c r="C3" s="738">
        <v>20755.0</v>
      </c>
      <c r="D3" s="737">
        <f t="shared" si="1"/>
        <v>63</v>
      </c>
      <c r="E3" s="737" t="s">
        <v>6084</v>
      </c>
      <c r="F3" s="737" t="s">
        <v>6077</v>
      </c>
      <c r="G3" s="739">
        <v>100078.05</v>
      </c>
      <c r="J3" s="473" t="s">
        <v>6085</v>
      </c>
      <c r="K3" s="737">
        <f>COUNTIF(B2:B118,"M")</f>
        <v>71</v>
      </c>
      <c r="L3" s="742">
        <f>K3/K5</f>
        <v>0.6068376068</v>
      </c>
      <c r="M3" s="743">
        <f>SUMIFS(G2:G118,B2:B118,"M")</f>
        <v>22181805.45</v>
      </c>
      <c r="N3" s="744">
        <f>M3/M5</f>
        <v>0.6809008381</v>
      </c>
      <c r="O3" s="743">
        <f>M3/COUNTIFS(G2:G118,"&gt;0",B2:B118,"M")</f>
        <v>331071.7231</v>
      </c>
      <c r="P3" s="745">
        <f>COUNTIFS(G2:G118,"&gt;0",B2:B118,"M")</f>
        <v>67</v>
      </c>
      <c r="Q3" s="746"/>
    </row>
    <row r="4" ht="15.75" customHeight="1">
      <c r="A4" s="747" t="s">
        <v>6086</v>
      </c>
      <c r="B4" s="737" t="s">
        <v>6075</v>
      </c>
      <c r="C4" s="738">
        <v>28058.0</v>
      </c>
      <c r="D4" s="737">
        <f t="shared" si="1"/>
        <v>43</v>
      </c>
      <c r="E4" s="737" t="s">
        <v>6087</v>
      </c>
      <c r="F4" s="737" t="s">
        <v>6077</v>
      </c>
      <c r="G4" s="739">
        <v>49196.01</v>
      </c>
      <c r="J4" s="473" t="s">
        <v>6088</v>
      </c>
      <c r="K4" s="737">
        <f>COUNTIF(B2:B118,"F")</f>
        <v>46</v>
      </c>
      <c r="L4" s="742">
        <f>K4/K5</f>
        <v>0.3931623932</v>
      </c>
      <c r="M4" s="743">
        <f>SUMIFS(G2:G118,B2:B118,"F")</f>
        <v>10395339.72</v>
      </c>
      <c r="N4" s="744">
        <f>M4/M5</f>
        <v>0.3190991619</v>
      </c>
      <c r="O4" s="743">
        <f>M4/COUNTIFS(G2:G118,"&gt;0",B2:B118,"F")</f>
        <v>253544.8712</v>
      </c>
      <c r="P4" s="745">
        <f>COUNTIFS(G2:G118,"&gt;0",B2:B118,"F")</f>
        <v>41</v>
      </c>
      <c r="Q4" s="746"/>
    </row>
    <row r="5" ht="15.75" customHeight="1">
      <c r="A5" s="473" t="s">
        <v>6089</v>
      </c>
      <c r="B5" s="737" t="s">
        <v>6075</v>
      </c>
      <c r="C5" s="738">
        <v>29075.0</v>
      </c>
      <c r="D5" s="737">
        <f t="shared" si="1"/>
        <v>40</v>
      </c>
      <c r="E5" s="737" t="s">
        <v>6087</v>
      </c>
      <c r="F5" s="737" t="s">
        <v>6077</v>
      </c>
      <c r="G5" s="739">
        <v>100349.0</v>
      </c>
      <c r="J5" s="473" t="s">
        <v>6078</v>
      </c>
      <c r="K5" s="737">
        <f t="shared" ref="K5:N5" si="2">SUM(K3:K4)</f>
        <v>117</v>
      </c>
      <c r="L5" s="742">
        <f t="shared" si="2"/>
        <v>1</v>
      </c>
      <c r="M5" s="743">
        <f t="shared" si="2"/>
        <v>32577145.17</v>
      </c>
      <c r="N5" s="744">
        <f t="shared" si="2"/>
        <v>1</v>
      </c>
      <c r="O5" s="743" t="s">
        <v>2600</v>
      </c>
      <c r="P5" s="745">
        <f>SUM(P3:P4)</f>
        <v>108</v>
      </c>
    </row>
    <row r="6" ht="15.75" customHeight="1">
      <c r="A6" s="741" t="s">
        <v>6090</v>
      </c>
      <c r="B6" s="737" t="s">
        <v>6075</v>
      </c>
      <c r="C6" s="738">
        <v>26364.0</v>
      </c>
      <c r="D6" s="737">
        <f t="shared" si="1"/>
        <v>47</v>
      </c>
      <c r="E6" s="737" t="s">
        <v>6087</v>
      </c>
      <c r="F6" s="737" t="s">
        <v>6077</v>
      </c>
      <c r="G6" s="739">
        <v>254439.0</v>
      </c>
      <c r="P6" s="745"/>
    </row>
    <row r="7" ht="15.75" customHeight="1">
      <c r="A7" s="741" t="s">
        <v>6091</v>
      </c>
      <c r="B7" s="737" t="s">
        <v>6075</v>
      </c>
      <c r="C7" s="738">
        <v>30591.0</v>
      </c>
      <c r="D7" s="737">
        <f t="shared" si="1"/>
        <v>36</v>
      </c>
      <c r="E7" s="737" t="s">
        <v>6076</v>
      </c>
      <c r="F7" s="737" t="s">
        <v>6092</v>
      </c>
      <c r="G7" s="739">
        <v>105616.0</v>
      </c>
      <c r="J7" s="740" t="s">
        <v>6070</v>
      </c>
      <c r="K7" s="737" t="s">
        <v>6078</v>
      </c>
      <c r="L7" s="737" t="s">
        <v>6079</v>
      </c>
      <c r="M7" s="737" t="s">
        <v>6093</v>
      </c>
      <c r="N7" s="737" t="s">
        <v>6079</v>
      </c>
      <c r="O7" s="737" t="s">
        <v>6081</v>
      </c>
      <c r="P7" s="745"/>
    </row>
    <row r="8" ht="15.75" customHeight="1">
      <c r="A8" s="473" t="s">
        <v>6094</v>
      </c>
      <c r="B8" s="737" t="s">
        <v>6075</v>
      </c>
      <c r="C8" s="738">
        <v>28792.0</v>
      </c>
      <c r="D8" s="737">
        <f t="shared" si="1"/>
        <v>41</v>
      </c>
      <c r="E8" s="737" t="s">
        <v>6095</v>
      </c>
      <c r="F8" s="737" t="s">
        <v>6077</v>
      </c>
      <c r="G8" s="739">
        <v>1013833.0</v>
      </c>
      <c r="J8" s="473" t="s">
        <v>6096</v>
      </c>
      <c r="K8" s="737">
        <f>COUNTIFS(D2:D118,"&gt;=18",D2:D118,"&lt;30")</f>
        <v>5</v>
      </c>
      <c r="L8" s="742">
        <f t="shared" ref="L8:L15" si="3">K8/$K$15</f>
        <v>0.04504504505</v>
      </c>
      <c r="M8" s="743">
        <f>SUMIFS(G2:G118,D2:D118,"&gt;=18",D2:D118,"&lt;30")</f>
        <v>580732.41</v>
      </c>
      <c r="N8" s="744">
        <f t="shared" ref="N8:N15" si="4">M8/$M$15</f>
        <v>0.01812463325</v>
      </c>
      <c r="O8" s="743">
        <f>M8/COUNTIFS(D2:D118,"&gt;=18",D2:D118,"&lt;30",G2:G118,"&gt;0")</f>
        <v>116146.482</v>
      </c>
      <c r="P8" s="745">
        <f>COUNTIFS(D2:D118,"&gt;=18",D2:D118,"&lt;30",G2:G118,"&gt;0")</f>
        <v>5</v>
      </c>
    </row>
    <row r="9" ht="15.75" customHeight="1">
      <c r="A9" s="473" t="s">
        <v>6097</v>
      </c>
      <c r="B9" s="737" t="s">
        <v>6075</v>
      </c>
      <c r="C9" s="738">
        <v>33605.0</v>
      </c>
      <c r="D9" s="737">
        <f t="shared" si="1"/>
        <v>28</v>
      </c>
      <c r="E9" s="737" t="s">
        <v>6098</v>
      </c>
      <c r="F9" s="737" t="s">
        <v>6077</v>
      </c>
      <c r="G9" s="739">
        <v>5158.12</v>
      </c>
      <c r="J9" s="473" t="s">
        <v>6099</v>
      </c>
      <c r="K9" s="737">
        <f>COUNTIFS(D2:D118,"&gt;=30",D2:D118,"&lt;40")</f>
        <v>33</v>
      </c>
      <c r="L9" s="742">
        <f t="shared" si="3"/>
        <v>0.2972972973</v>
      </c>
      <c r="M9" s="743">
        <f>SUMIFS(G2:G118,D2:D118,"&gt;=30",D2:D118,"&lt;40")</f>
        <v>8235964.89</v>
      </c>
      <c r="N9" s="744">
        <f t="shared" si="4"/>
        <v>0.2570441058</v>
      </c>
      <c r="O9" s="743">
        <f>M9/COUNTIFS(D2:D118,"&gt;=30",D2:D118,"&lt;40",G2:G118,"&gt;0")</f>
        <v>265676.2868</v>
      </c>
      <c r="P9" s="745">
        <f>COUNTIFS(D2:D118,"&gt;=30",D2:D118,"&lt;40",G2:G118,"&gt;0")</f>
        <v>31</v>
      </c>
    </row>
    <row r="10" ht="15.75" customHeight="1">
      <c r="A10" s="741" t="s">
        <v>6100</v>
      </c>
      <c r="B10" s="737" t="s">
        <v>6083</v>
      </c>
      <c r="C10" s="738">
        <v>23623.0</v>
      </c>
      <c r="D10" s="737">
        <f t="shared" si="1"/>
        <v>55</v>
      </c>
      <c r="E10" s="737" t="s">
        <v>6101</v>
      </c>
      <c r="F10" s="737" t="s">
        <v>6077</v>
      </c>
      <c r="G10" s="739">
        <v>928015.0</v>
      </c>
      <c r="J10" s="473" t="s">
        <v>6102</v>
      </c>
      <c r="K10" s="737">
        <f>COUNTIFS(D2:D118,"&gt;=40",D2:D118,"&lt;50")</f>
        <v>30</v>
      </c>
      <c r="L10" s="742">
        <f t="shared" si="3"/>
        <v>0.2702702703</v>
      </c>
      <c r="M10" s="743">
        <f>SUMIFS(G2:G118,D2:D118,"&gt;=40",D2:D118,"&lt;50")</f>
        <v>10741488.87</v>
      </c>
      <c r="N10" s="744">
        <f t="shared" si="4"/>
        <v>0.3352414002</v>
      </c>
      <c r="O10" s="743">
        <f>M10/COUNTIFS(D2:D118,"&gt;=40",D2:D118,"&lt;50",G2:G118,"&gt;0")</f>
        <v>370396.1679</v>
      </c>
      <c r="P10" s="745">
        <f>COUNTIFS(D2:D118,"&gt;=40",D2:D118,"&lt;50",G2:G118,"&gt;0")</f>
        <v>29</v>
      </c>
    </row>
    <row r="11" ht="15.75" customHeight="1">
      <c r="A11" s="741" t="s">
        <v>6103</v>
      </c>
      <c r="B11" s="737" t="s">
        <v>6083</v>
      </c>
      <c r="C11" s="738">
        <v>31602.0</v>
      </c>
      <c r="D11" s="737">
        <f t="shared" si="1"/>
        <v>33</v>
      </c>
      <c r="E11" s="737" t="s">
        <v>6104</v>
      </c>
      <c r="F11" s="737" t="s">
        <v>6077</v>
      </c>
      <c r="G11" s="739">
        <v>449686.0</v>
      </c>
      <c r="J11" s="473" t="s">
        <v>6105</v>
      </c>
      <c r="K11" s="737">
        <f>COUNTIFS(D2:D118,"&gt;=50",D2:D118,"&lt;60")</f>
        <v>22</v>
      </c>
      <c r="L11" s="742">
        <f t="shared" si="3"/>
        <v>0.1981981982</v>
      </c>
      <c r="M11" s="743">
        <f>SUMIFS(G2:G118,D2:D118,"&gt;=50",D2:D118,"&lt;60")</f>
        <v>7064823.41</v>
      </c>
      <c r="N11" s="744">
        <f t="shared" si="4"/>
        <v>0.2204928312</v>
      </c>
      <c r="O11" s="743">
        <f>M11/COUNTIFS(D2:D118,"&gt;=50",D2:D118,"&lt;60",G2:G118,"&gt;0")</f>
        <v>336420.1624</v>
      </c>
      <c r="P11" s="748">
        <f>COUNTIFS(D2:D118,"&gt;=50",D2:D118,"&lt;60",G2:G118,"&gt;0")</f>
        <v>21</v>
      </c>
    </row>
    <row r="12" ht="15.75" customHeight="1">
      <c r="A12" s="741" t="s">
        <v>6106</v>
      </c>
      <c r="B12" s="737" t="s">
        <v>6083</v>
      </c>
      <c r="C12" s="738">
        <v>24295.0</v>
      </c>
      <c r="D12" s="737">
        <f t="shared" si="1"/>
        <v>53</v>
      </c>
      <c r="E12" s="737" t="s">
        <v>6107</v>
      </c>
      <c r="F12" s="737" t="s">
        <v>6077</v>
      </c>
      <c r="G12" s="739">
        <v>174816.0</v>
      </c>
      <c r="J12" s="473" t="s">
        <v>6108</v>
      </c>
      <c r="K12" s="737">
        <f>COUNTIFS(D2:D118,"&gt;=60",D2:D118,"&lt;70")</f>
        <v>16</v>
      </c>
      <c r="L12" s="742">
        <f t="shared" si="3"/>
        <v>0.1441441441</v>
      </c>
      <c r="M12" s="743">
        <f>SUMIFS(G2:G118,D2:D118,"&gt;=60",D2:D118,"&lt;70")</f>
        <v>3714393.58</v>
      </c>
      <c r="N12" s="744">
        <f t="shared" si="4"/>
        <v>0.115926062</v>
      </c>
      <c r="O12" s="743">
        <f>M12/COUNTIFS(D2:D118,"&gt;=60",D2:D118,"&lt;70",G2:G118,"&gt;0")</f>
        <v>247626.2387</v>
      </c>
      <c r="P12" s="748">
        <f>COUNTIFS(D2:D118,"&gt;=60",D2:D118,"&lt;70",G2:G118,"&gt;0")</f>
        <v>15</v>
      </c>
    </row>
    <row r="13" ht="15.75" customHeight="1">
      <c r="A13" s="741" t="s">
        <v>6109</v>
      </c>
      <c r="B13" s="737" t="s">
        <v>6075</v>
      </c>
      <c r="C13" s="738">
        <v>13520.0</v>
      </c>
      <c r="D13" s="737">
        <f t="shared" si="1"/>
        <v>82</v>
      </c>
      <c r="E13" s="737" t="s">
        <v>6110</v>
      </c>
      <c r="F13" s="737" t="s">
        <v>6111</v>
      </c>
      <c r="G13" s="739">
        <v>147417.0</v>
      </c>
      <c r="J13" s="473" t="s">
        <v>6112</v>
      </c>
      <c r="K13" s="737">
        <f>COUNTIFS(D2:D118,"&gt;70",D2:D118,"&lt;80")</f>
        <v>3</v>
      </c>
      <c r="L13" s="742">
        <f t="shared" si="3"/>
        <v>0.02702702703</v>
      </c>
      <c r="M13" s="743">
        <f>SUMIFS(G2:G118,D2:D118,"&gt;=70",D2:D118,"&lt;80")</f>
        <v>1436366.01</v>
      </c>
      <c r="N13" s="744">
        <f t="shared" si="4"/>
        <v>0.04482892067</v>
      </c>
      <c r="O13" s="743">
        <f>M13/COUNTIFS(D2:D118,"&gt;=70",D2:D118,"&lt;80",G2:G118,"&gt;0")</f>
        <v>478788.67</v>
      </c>
      <c r="P13" s="748">
        <f>COUNTIFS(D2:D118,"&gt;=70",D2:D118,"&lt;80",G2:G118,"&gt;0")</f>
        <v>3</v>
      </c>
    </row>
    <row r="14" ht="15.75" customHeight="1">
      <c r="A14" s="741" t="s">
        <v>6113</v>
      </c>
      <c r="B14" s="737" t="s">
        <v>6075</v>
      </c>
      <c r="C14" s="738">
        <v>23066.0</v>
      </c>
      <c r="D14" s="737">
        <f t="shared" si="1"/>
        <v>56</v>
      </c>
      <c r="E14" s="737" t="s">
        <v>6076</v>
      </c>
      <c r="F14" s="737" t="s">
        <v>6077</v>
      </c>
      <c r="G14" s="739">
        <v>31376.0</v>
      </c>
      <c r="J14" s="473" t="s">
        <v>6114</v>
      </c>
      <c r="K14" s="737">
        <f>COUNTIFS(D2:D118,"&gt;80",D2:D118,"&lt;90")</f>
        <v>2</v>
      </c>
      <c r="L14" s="742">
        <f t="shared" si="3"/>
        <v>0.01801801802</v>
      </c>
      <c r="M14" s="743">
        <f>SUMIFS(G2:G118,D2:D118,"&gt;=80",D2:D118,"&lt;90")</f>
        <v>267288</v>
      </c>
      <c r="N14" s="744">
        <f t="shared" si="4"/>
        <v>0.008342046849</v>
      </c>
      <c r="O14" s="743">
        <f>M14/COUNTIFS(D2:D118,"&gt;=80",D2:D118,"&lt;90",G2:G118,"&gt;0")</f>
        <v>133644</v>
      </c>
      <c r="P14" s="748">
        <f>COUNTIFS(D2:D118,"&gt;=80",D2:D118,"&lt;90",G2:G118,"&gt;0")</f>
        <v>2</v>
      </c>
      <c r="Q14" s="748" t="s">
        <v>4851</v>
      </c>
    </row>
    <row r="15" ht="15.75" customHeight="1">
      <c r="A15" s="749" t="s">
        <v>6115</v>
      </c>
      <c r="B15" s="737" t="s">
        <v>6075</v>
      </c>
      <c r="C15" s="738"/>
      <c r="D15" s="737"/>
      <c r="E15" s="737" t="s">
        <v>6095</v>
      </c>
      <c r="F15" s="737"/>
      <c r="G15" s="739">
        <v>0.0</v>
      </c>
      <c r="J15" s="473" t="s">
        <v>6078</v>
      </c>
      <c r="K15" s="737">
        <f>SUM(K8:K14)</f>
        <v>111</v>
      </c>
      <c r="L15" s="742">
        <f t="shared" si="3"/>
        <v>1</v>
      </c>
      <c r="M15" s="743">
        <f>SUM(M8:M14)</f>
        <v>32041057.17</v>
      </c>
      <c r="N15" s="744">
        <f t="shared" si="4"/>
        <v>1</v>
      </c>
      <c r="O15" s="743">
        <f>M15/COUNTIFS(G2:G118,"&gt;0")</f>
        <v>296676.4553</v>
      </c>
      <c r="P15" s="748">
        <f>SUM(P8:P14)</f>
        <v>106</v>
      </c>
    </row>
    <row r="16" ht="15.75" customHeight="1">
      <c r="A16" s="473" t="s">
        <v>6116</v>
      </c>
      <c r="B16" s="737" t="s">
        <v>6083</v>
      </c>
      <c r="C16" s="738">
        <v>29816.0</v>
      </c>
      <c r="D16" s="737">
        <f t="shared" ref="D16:D53" si="5">DATEDIF(C16,$C$121,"Y")</f>
        <v>38</v>
      </c>
      <c r="E16" s="737" t="s">
        <v>6104</v>
      </c>
      <c r="F16" s="737" t="s">
        <v>6077</v>
      </c>
      <c r="G16" s="739">
        <v>101819.0</v>
      </c>
    </row>
    <row r="17" ht="15.75" customHeight="1">
      <c r="A17" s="741" t="s">
        <v>6117</v>
      </c>
      <c r="B17" s="737" t="s">
        <v>6083</v>
      </c>
      <c r="C17" s="738">
        <v>31091.0</v>
      </c>
      <c r="D17" s="737">
        <f t="shared" si="5"/>
        <v>34</v>
      </c>
      <c r="E17" s="737" t="s">
        <v>6104</v>
      </c>
      <c r="F17" s="737" t="s">
        <v>6077</v>
      </c>
      <c r="G17" s="739">
        <v>35841.42</v>
      </c>
      <c r="J17" s="735" t="s">
        <v>6071</v>
      </c>
      <c r="K17" s="737" t="s">
        <v>6078</v>
      </c>
      <c r="L17" s="737" t="s">
        <v>6079</v>
      </c>
      <c r="M17" s="737" t="s">
        <v>6118</v>
      </c>
      <c r="N17" s="737" t="s">
        <v>6079</v>
      </c>
      <c r="O17" s="737" t="s">
        <v>6081</v>
      </c>
      <c r="R17" s="748" t="s">
        <v>4851</v>
      </c>
    </row>
    <row r="18" ht="15.75" customHeight="1">
      <c r="A18" s="741" t="s">
        <v>6119</v>
      </c>
      <c r="B18" s="737" t="s">
        <v>6075</v>
      </c>
      <c r="C18" s="738">
        <v>31386.0</v>
      </c>
      <c r="D18" s="737">
        <f t="shared" si="5"/>
        <v>34</v>
      </c>
      <c r="E18" s="737" t="s">
        <v>6120</v>
      </c>
      <c r="F18" s="737" t="s">
        <v>6077</v>
      </c>
      <c r="G18" s="739">
        <v>215750.0</v>
      </c>
      <c r="J18" s="473" t="s">
        <v>6076</v>
      </c>
      <c r="K18" s="737">
        <f>COUNTIF(E2:E118,"Funcionário Público")+COUNTIF(E2:E118,"Funcionária Pública")</f>
        <v>20</v>
      </c>
      <c r="L18" s="742">
        <f t="shared" ref="L18:L28" si="6">K18/$K$28</f>
        <v>0.2197802198</v>
      </c>
      <c r="M18" s="743">
        <f>SUMIFS(G2:G118,E2:E118,"Funcionária Pública")+SUMIFS(G2:G118,E2:E118,"Funcionário Público")</f>
        <v>4127437.47</v>
      </c>
      <c r="N18" s="744">
        <f t="shared" ref="N18:N28" si="7">M18/$M$28</f>
        <v>0.1295890306</v>
      </c>
      <c r="O18" s="743">
        <f>M18/(COUNTIFS(G2:G118,"&gt;0",E2:E118,"Funcionário Público")+COUNTIFS(G2:G118,"&gt;0",E2:E118,"Funcionária Pública"))</f>
        <v>206371.8735</v>
      </c>
      <c r="P18" s="748">
        <f>(COUNTIFS(G2:G118,"&gt;0",E2:E118,"Funcionário Público")+COUNTIFS(G2:G118,"&gt;0",E2:E118,"Funcionária Pública"))</f>
        <v>20</v>
      </c>
    </row>
    <row r="19" ht="15.75" customHeight="1">
      <c r="A19" s="741" t="s">
        <v>6121</v>
      </c>
      <c r="B19" s="737" t="s">
        <v>6075</v>
      </c>
      <c r="C19" s="738">
        <v>23072.0</v>
      </c>
      <c r="D19" s="737">
        <f t="shared" si="5"/>
        <v>56</v>
      </c>
      <c r="E19" s="737" t="s">
        <v>6122</v>
      </c>
      <c r="F19" s="737" t="s">
        <v>6077</v>
      </c>
      <c r="G19" s="739">
        <v>132923.0</v>
      </c>
      <c r="J19" s="473" t="s">
        <v>6095</v>
      </c>
      <c r="K19" s="737">
        <f>COUNTIF(E2:E118,"Empresário")+COUNTIF(E2:E118,"Empresária")</f>
        <v>0</v>
      </c>
      <c r="L19" s="742">
        <f t="shared" si="6"/>
        <v>0</v>
      </c>
      <c r="M19" s="743">
        <f>SUMIFS(G2:G118,E2:E118,"Empresária")+SUMIFS(G2:G118,E2:E118,"Empresário")</f>
        <v>0</v>
      </c>
      <c r="N19" s="744">
        <f t="shared" si="7"/>
        <v>0</v>
      </c>
      <c r="O19" s="743" t="str">
        <f>M19/(COUNTIFS(G2:G118,"&gt;0",E2:E118,"Empresário")+COUNTIFS(G2:G118,"&gt;0",E2:E118,"Empresária"))</f>
        <v>#DIV/0!</v>
      </c>
    </row>
    <row r="20" ht="15.75" customHeight="1">
      <c r="A20" s="741" t="s">
        <v>5976</v>
      </c>
      <c r="B20" s="737" t="s">
        <v>6075</v>
      </c>
      <c r="C20" s="738">
        <v>29186.0</v>
      </c>
      <c r="D20" s="737">
        <f t="shared" si="5"/>
        <v>40</v>
      </c>
      <c r="E20" s="737" t="s">
        <v>6098</v>
      </c>
      <c r="F20" s="737" t="s">
        <v>6077</v>
      </c>
      <c r="G20" s="739">
        <f>707418+847182</f>
        <v>1554600</v>
      </c>
      <c r="J20" s="473" t="s">
        <v>6098</v>
      </c>
      <c r="K20" s="737">
        <f>COUNTIF(E4:E120,"Advogado")+COUNTIF(E4:E120,"Advogada")</f>
        <v>12</v>
      </c>
      <c r="L20" s="742">
        <f t="shared" si="6"/>
        <v>0.1318681319</v>
      </c>
      <c r="M20" s="743">
        <f>SUMIFS(G2:G118,E2:E118,"Advogado")+SUMIFS(G2:G118,E2:E118,"Advogada")</f>
        <v>4618016.69</v>
      </c>
      <c r="N20" s="744">
        <f t="shared" si="7"/>
        <v>0.1449917316</v>
      </c>
      <c r="O20" s="743">
        <f>M20/(COUNTIFS(G2:G118,"&gt;0",E2:E118,"Advogada")+COUNTIFS(G2:G118,"&gt;0",E2:E118,"Advogado"))</f>
        <v>384834.7242</v>
      </c>
    </row>
    <row r="21" ht="15.75" customHeight="1">
      <c r="A21" s="473" t="s">
        <v>6123</v>
      </c>
      <c r="B21" s="737" t="s">
        <v>6083</v>
      </c>
      <c r="C21" s="738">
        <v>30936.0</v>
      </c>
      <c r="D21" s="737">
        <f t="shared" si="5"/>
        <v>35</v>
      </c>
      <c r="E21" s="737" t="s">
        <v>6124</v>
      </c>
      <c r="F21" s="737" t="s">
        <v>6077</v>
      </c>
      <c r="G21" s="739">
        <v>511766.0</v>
      </c>
      <c r="H21" s="748"/>
      <c r="I21" s="748"/>
      <c r="J21" s="473" t="s">
        <v>6087</v>
      </c>
      <c r="K21" s="737">
        <f>COUNTIF(E5:E121,"Dentista")</f>
        <v>8</v>
      </c>
      <c r="L21" s="742">
        <f t="shared" si="6"/>
        <v>0.08791208791</v>
      </c>
      <c r="M21" s="743">
        <f>SUMIFS(G2:G118,E2:E118,"Dentista")</f>
        <v>1244788.11</v>
      </c>
      <c r="N21" s="744">
        <f t="shared" si="7"/>
        <v>0.03908257498</v>
      </c>
      <c r="O21" s="743">
        <f>M21/(COUNTIFS(G2:G118,"&gt;0",E2:E118,"Dentista"))</f>
        <v>155598.5138</v>
      </c>
    </row>
    <row r="22" ht="15.75" customHeight="1">
      <c r="A22" s="741" t="s">
        <v>5970</v>
      </c>
      <c r="B22" s="737" t="s">
        <v>6075</v>
      </c>
      <c r="C22" s="738">
        <v>26191.0</v>
      </c>
      <c r="D22" s="737">
        <f t="shared" si="5"/>
        <v>48</v>
      </c>
      <c r="E22" s="737" t="s">
        <v>6125</v>
      </c>
      <c r="F22" s="737" t="s">
        <v>6077</v>
      </c>
      <c r="G22" s="739">
        <v>916562.0</v>
      </c>
      <c r="J22" s="473" t="s">
        <v>6120</v>
      </c>
      <c r="K22" s="737">
        <f>COUNTIF(E6:E122,"Médico")+COUNTIF(E6:E122,"Médica")</f>
        <v>13</v>
      </c>
      <c r="L22" s="742">
        <f t="shared" si="6"/>
        <v>0.1428571429</v>
      </c>
      <c r="M22" s="743">
        <f>SUMIFS(G2:G118,E2:E118,"Médico")+SUMIFS(G2:G118,E2:E118,"Médica")</f>
        <v>4432285.66</v>
      </c>
      <c r="N22" s="744">
        <f t="shared" si="7"/>
        <v>0.13916034</v>
      </c>
      <c r="O22" s="743">
        <f>M22/(COUNTIFS(G2:G118,"&gt;0",E2:E118,"Médico")+COUNTIFS(G2:G118,"&gt;0",E2:E118,"Médica"))</f>
        <v>369357.1383</v>
      </c>
    </row>
    <row r="23" ht="15.75" customHeight="1">
      <c r="A23" s="741" t="s">
        <v>6126</v>
      </c>
      <c r="B23" s="737" t="s">
        <v>6075</v>
      </c>
      <c r="C23" s="738">
        <v>32417.0</v>
      </c>
      <c r="D23" s="737">
        <f t="shared" si="5"/>
        <v>31</v>
      </c>
      <c r="E23" s="737" t="s">
        <v>6095</v>
      </c>
      <c r="F23" s="737" t="s">
        <v>6077</v>
      </c>
      <c r="G23" s="739">
        <v>332795.0</v>
      </c>
      <c r="J23" s="473" t="s">
        <v>6127</v>
      </c>
      <c r="K23" s="737">
        <f>COUNTIF(E7:E123,"Administrador")+COUNTIF(E7:E123,"Administradora")</f>
        <v>4</v>
      </c>
      <c r="L23" s="742">
        <f t="shared" si="6"/>
        <v>0.04395604396</v>
      </c>
      <c r="M23" s="743">
        <f>SUMIFS(G2:G118,E2:E118,"Administradora")+SUMIFS(G2:G118,E2:E118,"Administrador")</f>
        <v>1272485.17</v>
      </c>
      <c r="N23" s="744">
        <f t="shared" si="7"/>
        <v>0.03995217875</v>
      </c>
      <c r="O23" s="743">
        <f>M23/(COUNTIFS(G2:G118,"&gt;0",E2:E118,"Administrador")+COUNTIFS(G2:G118,"&gt;0",E2:E118,"Administradora"))</f>
        <v>318121.2925</v>
      </c>
      <c r="Q23" s="748" t="s">
        <v>4851</v>
      </c>
    </row>
    <row r="24" ht="15.75" customHeight="1">
      <c r="A24" s="741" t="s">
        <v>6128</v>
      </c>
      <c r="B24" s="737" t="s">
        <v>6083</v>
      </c>
      <c r="C24" s="738">
        <v>26324.0</v>
      </c>
      <c r="D24" s="737">
        <f t="shared" si="5"/>
        <v>47</v>
      </c>
      <c r="E24" s="737" t="s">
        <v>6104</v>
      </c>
      <c r="F24" s="737" t="s">
        <v>6077</v>
      </c>
      <c r="G24" s="739">
        <v>191406.0</v>
      </c>
      <c r="J24" s="473" t="s">
        <v>6122</v>
      </c>
      <c r="K24" s="737">
        <f>COUNTIF(E8:E124,"Engenheiro")+COUNTIF(E8:E124,"Engenheira")</f>
        <v>6</v>
      </c>
      <c r="L24" s="742">
        <f t="shared" si="6"/>
        <v>0.06593406593</v>
      </c>
      <c r="M24" s="743">
        <f>SUMIFS(G2:G118,E2:E118,"Engenheira")+SUMIFS(G2:G118,E2:E118,"Engenheiro")</f>
        <v>1370551.77</v>
      </c>
      <c r="N24" s="744">
        <f t="shared" si="7"/>
        <v>0.04303117285</v>
      </c>
      <c r="O24" s="743">
        <f>M24/(COUNTIFS(G2:G118,"&gt;0",E2:E118,"Engenheiro")+COUNTIFS(G2:G118,"&gt;0",E2:E118,"Engenheira"))</f>
        <v>228425.295</v>
      </c>
      <c r="Q24" s="748" t="s">
        <v>4851</v>
      </c>
    </row>
    <row r="25" ht="15.75" customHeight="1">
      <c r="A25" s="741" t="s">
        <v>6129</v>
      </c>
      <c r="B25" s="737" t="s">
        <v>6083</v>
      </c>
      <c r="C25" s="738">
        <v>24529.0</v>
      </c>
      <c r="D25" s="737">
        <f t="shared" si="5"/>
        <v>52</v>
      </c>
      <c r="E25" s="737" t="s">
        <v>6130</v>
      </c>
      <c r="F25" s="737" t="s">
        <v>6077</v>
      </c>
      <c r="G25" s="739">
        <v>91137.0</v>
      </c>
      <c r="J25" s="473" t="s">
        <v>6110</v>
      </c>
      <c r="K25" s="737">
        <f>COUNTIF(E9:E125,"Aposentado")+COUNTIF(E9:E125,"Aposentada")</f>
        <v>8</v>
      </c>
      <c r="L25" s="742">
        <f t="shared" si="6"/>
        <v>0.08791208791</v>
      </c>
      <c r="M25" s="743">
        <f>SUMIFS(G2:G118,E2:E118,"Aposentada")+SUMIFS(G2:G118,E2:E118,"Aposentado")</f>
        <v>2458722</v>
      </c>
      <c r="N25" s="744">
        <f t="shared" si="7"/>
        <v>0.07719642095</v>
      </c>
      <c r="O25" s="743">
        <f>M25/(COUNTIFS(G2:G118,"&gt;0",E2:E118,"Aposentado")+COUNTIFS(G2:G118,"&gt;0",E2:E118,"Aposentada"))</f>
        <v>351246</v>
      </c>
    </row>
    <row r="26" ht="15.75" customHeight="1">
      <c r="A26" s="747" t="s">
        <v>6131</v>
      </c>
      <c r="B26" s="737" t="s">
        <v>6075</v>
      </c>
      <c r="C26" s="738">
        <v>28883.0</v>
      </c>
      <c r="D26" s="737">
        <f t="shared" si="5"/>
        <v>40</v>
      </c>
      <c r="E26" s="737" t="s">
        <v>6120</v>
      </c>
      <c r="F26" s="737" t="s">
        <v>6077</v>
      </c>
      <c r="G26" s="739">
        <v>271013.45</v>
      </c>
      <c r="J26" s="473" t="s">
        <v>6132</v>
      </c>
      <c r="K26" s="737">
        <f>COUNTIF(E9:E125,"Autônomo")+COUNTIF(E9:E125,"Autônoma")</f>
        <v>4</v>
      </c>
      <c r="L26" s="742">
        <f t="shared" si="6"/>
        <v>0.04395604396</v>
      </c>
      <c r="M26" s="743">
        <f>SUMIFS(G2:G118,E2:E118,"Autônomo")+SUMIFS(G2:G118,E2:E118,"Autônoma")</f>
        <v>1175824.71</v>
      </c>
      <c r="N26" s="744">
        <f t="shared" si="7"/>
        <v>0.03691733318</v>
      </c>
      <c r="O26" s="743">
        <f>M26/(COUNTIFS(G2:G118,"&gt;0",E2:E118,"Autônomo")+COUNTIFS(G2:G118,"&gt;0",E2:E118,"Autônoma"))</f>
        <v>293956.1775</v>
      </c>
    </row>
    <row r="27" ht="15.75" customHeight="1">
      <c r="A27" s="741" t="s">
        <v>6133</v>
      </c>
      <c r="B27" s="737" t="s">
        <v>6083</v>
      </c>
      <c r="C27" s="738">
        <v>22919.0</v>
      </c>
      <c r="D27" s="737">
        <f t="shared" si="5"/>
        <v>57</v>
      </c>
      <c r="E27" s="737" t="s">
        <v>6104</v>
      </c>
      <c r="F27" s="737" t="s">
        <v>6077</v>
      </c>
      <c r="G27" s="739">
        <v>187575.0</v>
      </c>
      <c r="J27" s="473" t="s">
        <v>6134</v>
      </c>
      <c r="K27" s="737">
        <v>16.0</v>
      </c>
      <c r="L27" s="742">
        <f t="shared" si="6"/>
        <v>0.1758241758</v>
      </c>
      <c r="M27" s="743">
        <f>M28-SUM(M18:M26)</f>
        <v>11150095.59</v>
      </c>
      <c r="N27" s="744">
        <f t="shared" si="7"/>
        <v>0.3500792171</v>
      </c>
      <c r="O27" s="743">
        <f>M27/15</f>
        <v>743339.706</v>
      </c>
    </row>
    <row r="28" ht="15.75" customHeight="1">
      <c r="A28" s="749" t="s">
        <v>6135</v>
      </c>
      <c r="B28" s="737" t="s">
        <v>6083</v>
      </c>
      <c r="C28" s="738">
        <v>25781.0</v>
      </c>
      <c r="D28" s="737">
        <f t="shared" si="5"/>
        <v>49</v>
      </c>
      <c r="E28" s="737"/>
      <c r="F28" s="737" t="s">
        <v>6077</v>
      </c>
      <c r="G28" s="739">
        <v>0.0</v>
      </c>
      <c r="J28" s="473" t="s">
        <v>6078</v>
      </c>
      <c r="K28" s="737">
        <f>SUM(K18:K27)</f>
        <v>91</v>
      </c>
      <c r="L28" s="742">
        <f t="shared" si="6"/>
        <v>1</v>
      </c>
      <c r="M28" s="743">
        <f>SUMIFS(G2:G118,E2:E118,"&lt;&gt;")</f>
        <v>31850207.17</v>
      </c>
      <c r="N28" s="744">
        <f t="shared" si="7"/>
        <v>1</v>
      </c>
      <c r="O28" s="743">
        <f>M28/K28</f>
        <v>350002.2766</v>
      </c>
    </row>
    <row r="29" ht="15.75" customHeight="1">
      <c r="A29" s="473" t="s">
        <v>6136</v>
      </c>
      <c r="B29" s="737" t="s">
        <v>6075</v>
      </c>
      <c r="C29" s="738">
        <v>27513.0</v>
      </c>
      <c r="D29" s="737">
        <f t="shared" si="5"/>
        <v>44</v>
      </c>
      <c r="E29" s="737" t="s">
        <v>6098</v>
      </c>
      <c r="F29" s="737"/>
      <c r="G29" s="739">
        <v>57062.68</v>
      </c>
    </row>
    <row r="30" ht="15.75" customHeight="1">
      <c r="A30" s="473" t="s">
        <v>6137</v>
      </c>
      <c r="B30" s="737" t="s">
        <v>6083</v>
      </c>
      <c r="C30" s="738">
        <v>22401.0</v>
      </c>
      <c r="D30" s="737">
        <f t="shared" si="5"/>
        <v>58</v>
      </c>
      <c r="E30" s="737" t="s">
        <v>6104</v>
      </c>
      <c r="F30" s="737" t="s">
        <v>6077</v>
      </c>
      <c r="G30" s="739">
        <v>163478.0</v>
      </c>
    </row>
    <row r="31" ht="15.75" customHeight="1">
      <c r="A31" s="749" t="s">
        <v>6138</v>
      </c>
      <c r="B31" s="737" t="s">
        <v>6083</v>
      </c>
      <c r="C31" s="738">
        <v>19484.0</v>
      </c>
      <c r="D31" s="737">
        <f t="shared" si="5"/>
        <v>66</v>
      </c>
      <c r="E31" s="737" t="s">
        <v>6139</v>
      </c>
      <c r="F31" s="737" t="s">
        <v>6077</v>
      </c>
      <c r="G31" s="739">
        <v>0.0</v>
      </c>
      <c r="J31" s="735" t="s">
        <v>6073</v>
      </c>
    </row>
    <row r="32" ht="15.75" customHeight="1">
      <c r="A32" s="741" t="s">
        <v>6140</v>
      </c>
      <c r="B32" s="737" t="s">
        <v>6075</v>
      </c>
      <c r="C32" s="738">
        <v>25747.0</v>
      </c>
      <c r="D32" s="737">
        <f t="shared" si="5"/>
        <v>49</v>
      </c>
      <c r="E32" s="737" t="s">
        <v>6087</v>
      </c>
      <c r="F32" s="737" t="s">
        <v>6077</v>
      </c>
      <c r="G32" s="739">
        <f>205400+183458</f>
        <v>388858</v>
      </c>
    </row>
    <row r="33" ht="15.75" customHeight="1">
      <c r="A33" s="741" t="s">
        <v>6141</v>
      </c>
      <c r="B33" s="737" t="s">
        <v>6075</v>
      </c>
      <c r="C33" s="738">
        <v>28151.0</v>
      </c>
      <c r="D33" s="737">
        <f t="shared" si="5"/>
        <v>42</v>
      </c>
      <c r="E33" s="737" t="s">
        <v>6087</v>
      </c>
      <c r="F33" s="737" t="s">
        <v>6077</v>
      </c>
      <c r="G33" s="739">
        <v>56328.0</v>
      </c>
    </row>
    <row r="34" ht="15.75" customHeight="1">
      <c r="A34" s="473" t="s">
        <v>6142</v>
      </c>
      <c r="B34" s="737" t="s">
        <v>6075</v>
      </c>
      <c r="C34" s="738">
        <v>27906.0</v>
      </c>
      <c r="D34" s="737">
        <f t="shared" si="5"/>
        <v>43</v>
      </c>
      <c r="E34" s="737" t="s">
        <v>6132</v>
      </c>
      <c r="F34" s="737" t="s">
        <v>6077</v>
      </c>
      <c r="G34" s="739">
        <v>257451.0</v>
      </c>
    </row>
    <row r="35" ht="15.75" customHeight="1">
      <c r="A35" s="473" t="s">
        <v>6143</v>
      </c>
      <c r="B35" s="737" t="s">
        <v>6075</v>
      </c>
      <c r="C35" s="738">
        <v>28906.0</v>
      </c>
      <c r="D35" s="737">
        <f t="shared" si="5"/>
        <v>40</v>
      </c>
      <c r="E35" s="737" t="s">
        <v>6098</v>
      </c>
      <c r="F35" s="737" t="s">
        <v>6077</v>
      </c>
      <c r="G35" s="739">
        <v>402433.0</v>
      </c>
    </row>
    <row r="36" ht="15.75" customHeight="1">
      <c r="A36" s="741" t="s">
        <v>6144</v>
      </c>
      <c r="B36" s="737" t="s">
        <v>6075</v>
      </c>
      <c r="C36" s="738">
        <v>30587.0</v>
      </c>
      <c r="D36" s="737">
        <f t="shared" si="5"/>
        <v>36</v>
      </c>
      <c r="E36" s="737" t="s">
        <v>6120</v>
      </c>
      <c r="F36" s="737" t="s">
        <v>6077</v>
      </c>
      <c r="G36" s="739">
        <f>458323+1000228</f>
        <v>1458551</v>
      </c>
    </row>
    <row r="37" ht="15.75" customHeight="1">
      <c r="A37" s="741" t="s">
        <v>5966</v>
      </c>
      <c r="B37" s="737" t="s">
        <v>6083</v>
      </c>
      <c r="C37" s="738">
        <v>15096.0</v>
      </c>
      <c r="D37" s="737">
        <f t="shared" si="5"/>
        <v>78</v>
      </c>
      <c r="E37" s="737" t="s">
        <v>6139</v>
      </c>
      <c r="F37" s="737" t="s">
        <v>6077</v>
      </c>
      <c r="G37" s="739">
        <v>179256.0</v>
      </c>
    </row>
    <row r="38" ht="15.75" customHeight="1">
      <c r="A38" s="741" t="s">
        <v>6145</v>
      </c>
      <c r="B38" s="737" t="s">
        <v>6075</v>
      </c>
      <c r="C38" s="738">
        <v>27655.0</v>
      </c>
      <c r="D38" s="737">
        <f t="shared" si="5"/>
        <v>44</v>
      </c>
      <c r="E38" s="737" t="s">
        <v>6122</v>
      </c>
      <c r="F38" s="737" t="s">
        <v>6146</v>
      </c>
      <c r="G38" s="739">
        <v>769189.0</v>
      </c>
      <c r="J38" s="748" t="s">
        <v>4851</v>
      </c>
    </row>
    <row r="39" ht="15.75" customHeight="1">
      <c r="A39" s="741" t="s">
        <v>6147</v>
      </c>
      <c r="B39" s="737" t="s">
        <v>6075</v>
      </c>
      <c r="C39" s="738">
        <v>31245.0</v>
      </c>
      <c r="D39" s="737">
        <f t="shared" si="5"/>
        <v>34</v>
      </c>
      <c r="E39" s="737" t="s">
        <v>6098</v>
      </c>
      <c r="F39" s="737" t="s">
        <v>6077</v>
      </c>
      <c r="G39" s="739">
        <v>166417.0</v>
      </c>
      <c r="J39" s="748" t="s">
        <v>4851</v>
      </c>
      <c r="K39" s="748" t="s">
        <v>4851</v>
      </c>
    </row>
    <row r="40" ht="15.75" customHeight="1">
      <c r="A40" s="473" t="s">
        <v>6148</v>
      </c>
      <c r="B40" s="737" t="s">
        <v>6075</v>
      </c>
      <c r="C40" s="738">
        <v>28270.0</v>
      </c>
      <c r="D40" s="737">
        <f t="shared" si="5"/>
        <v>42</v>
      </c>
      <c r="E40" s="737" t="s">
        <v>6120</v>
      </c>
      <c r="F40" s="737" t="s">
        <v>6077</v>
      </c>
      <c r="G40" s="739">
        <v>208601.0</v>
      </c>
    </row>
    <row r="41" ht="15.75" customHeight="1">
      <c r="A41" s="747" t="s">
        <v>4433</v>
      </c>
      <c r="B41" s="737" t="s">
        <v>6075</v>
      </c>
      <c r="C41" s="738">
        <v>23924.0</v>
      </c>
      <c r="D41" s="737">
        <f t="shared" si="5"/>
        <v>54</v>
      </c>
      <c r="E41" s="737" t="s">
        <v>6098</v>
      </c>
      <c r="F41" s="737"/>
      <c r="G41" s="739">
        <v>278844.53</v>
      </c>
      <c r="J41" s="748" t="s">
        <v>4851</v>
      </c>
    </row>
    <row r="42" ht="15.75" customHeight="1">
      <c r="A42" s="747" t="s">
        <v>6149</v>
      </c>
      <c r="B42" s="737" t="s">
        <v>6075</v>
      </c>
      <c r="C42" s="738">
        <v>33469.0</v>
      </c>
      <c r="D42" s="737">
        <f t="shared" si="5"/>
        <v>28</v>
      </c>
      <c r="E42" s="737" t="s">
        <v>6076</v>
      </c>
      <c r="F42" s="737" t="s">
        <v>6150</v>
      </c>
      <c r="G42" s="739">
        <v>131927.0</v>
      </c>
      <c r="J42" s="748" t="s">
        <v>4851</v>
      </c>
    </row>
    <row r="43" ht="15.75" customHeight="1">
      <c r="A43" s="741" t="s">
        <v>6151</v>
      </c>
      <c r="B43" s="737" t="s">
        <v>6075</v>
      </c>
      <c r="C43" s="738">
        <v>25643.0</v>
      </c>
      <c r="D43" s="737">
        <f t="shared" si="5"/>
        <v>49</v>
      </c>
      <c r="E43" s="737" t="s">
        <v>6120</v>
      </c>
      <c r="F43" s="737" t="s">
        <v>6077</v>
      </c>
      <c r="G43" s="739">
        <v>506417.0</v>
      </c>
      <c r="K43" s="748" t="s">
        <v>4851</v>
      </c>
      <c r="L43" s="748" t="s">
        <v>4851</v>
      </c>
    </row>
    <row r="44" ht="15.75" customHeight="1">
      <c r="A44" s="747" t="s">
        <v>6152</v>
      </c>
      <c r="B44" s="737" t="s">
        <v>6075</v>
      </c>
      <c r="C44" s="738">
        <v>32920.0</v>
      </c>
      <c r="D44" s="737">
        <f t="shared" si="5"/>
        <v>29</v>
      </c>
      <c r="E44" s="737" t="s">
        <v>6098</v>
      </c>
      <c r="F44" s="737" t="s">
        <v>6077</v>
      </c>
      <c r="G44" s="739">
        <v>123215.73</v>
      </c>
      <c r="K44" s="748" t="s">
        <v>4851</v>
      </c>
    </row>
    <row r="45" ht="15.75" customHeight="1">
      <c r="A45" s="741" t="s">
        <v>6153</v>
      </c>
      <c r="B45" s="737" t="s">
        <v>6075</v>
      </c>
      <c r="C45" s="738">
        <v>30264.0</v>
      </c>
      <c r="D45" s="737">
        <f t="shared" si="5"/>
        <v>37</v>
      </c>
      <c r="E45" s="737" t="s">
        <v>6095</v>
      </c>
      <c r="F45" s="737" t="s">
        <v>6077</v>
      </c>
      <c r="G45" s="739">
        <v>141649.0</v>
      </c>
    </row>
    <row r="46" ht="15.75" customHeight="1">
      <c r="A46" s="741" t="s">
        <v>6154</v>
      </c>
      <c r="B46" s="737" t="s">
        <v>6083</v>
      </c>
      <c r="C46" s="738">
        <v>18097.0</v>
      </c>
      <c r="D46" s="737">
        <f t="shared" si="5"/>
        <v>70</v>
      </c>
      <c r="E46" s="737" t="s">
        <v>6139</v>
      </c>
      <c r="F46" s="737" t="s">
        <v>6077</v>
      </c>
      <c r="G46" s="739">
        <f>913577+225360</f>
        <v>1138937</v>
      </c>
    </row>
    <row r="47" ht="15.75" customHeight="1">
      <c r="A47" s="747" t="s">
        <v>4533</v>
      </c>
      <c r="B47" s="737" t="s">
        <v>6075</v>
      </c>
      <c r="C47" s="738">
        <v>24085.0</v>
      </c>
      <c r="D47" s="737">
        <f t="shared" si="5"/>
        <v>54</v>
      </c>
      <c r="E47" s="737" t="s">
        <v>6155</v>
      </c>
      <c r="F47" s="737"/>
      <c r="G47" s="739">
        <v>611765.67</v>
      </c>
      <c r="L47" s="748" t="s">
        <v>4851</v>
      </c>
    </row>
    <row r="48" ht="15.75" customHeight="1">
      <c r="A48" s="750" t="s">
        <v>6156</v>
      </c>
      <c r="B48" s="737" t="s">
        <v>6083</v>
      </c>
      <c r="C48" s="738">
        <v>31943.0</v>
      </c>
      <c r="D48" s="737">
        <f t="shared" si="5"/>
        <v>32</v>
      </c>
      <c r="E48" s="737" t="s">
        <v>6157</v>
      </c>
      <c r="F48" s="737" t="s">
        <v>6077</v>
      </c>
      <c r="G48" s="739">
        <v>275126.0</v>
      </c>
    </row>
    <row r="49" ht="15.75" customHeight="1">
      <c r="A49" s="750" t="s">
        <v>6158</v>
      </c>
      <c r="B49" s="737" t="s">
        <v>6075</v>
      </c>
      <c r="C49" s="738">
        <v>26994.0</v>
      </c>
      <c r="D49" s="737">
        <f t="shared" si="5"/>
        <v>46</v>
      </c>
      <c r="E49" s="737" t="s">
        <v>6095</v>
      </c>
      <c r="F49" s="737" t="s">
        <v>6077</v>
      </c>
      <c r="G49" s="739">
        <v>395619.0</v>
      </c>
    </row>
    <row r="50" ht="15.75" customHeight="1">
      <c r="A50" s="750" t="s">
        <v>6159</v>
      </c>
      <c r="B50" s="737" t="s">
        <v>6075</v>
      </c>
      <c r="C50" s="738">
        <v>32175.0</v>
      </c>
      <c r="D50" s="737">
        <f t="shared" si="5"/>
        <v>31</v>
      </c>
      <c r="E50" s="737" t="s">
        <v>6095</v>
      </c>
      <c r="F50" s="737" t="s">
        <v>6077</v>
      </c>
      <c r="G50" s="739">
        <v>125506.0</v>
      </c>
      <c r="J50" s="748" t="s">
        <v>4851</v>
      </c>
    </row>
    <row r="51" ht="15.75" customHeight="1">
      <c r="A51" s="751" t="s">
        <v>6160</v>
      </c>
      <c r="B51" s="737" t="s">
        <v>6075</v>
      </c>
      <c r="C51" s="738">
        <v>29879.0</v>
      </c>
      <c r="D51" s="737">
        <f t="shared" si="5"/>
        <v>38</v>
      </c>
      <c r="E51" s="737" t="s">
        <v>6120</v>
      </c>
      <c r="F51" s="737" t="s">
        <v>6077</v>
      </c>
      <c r="G51" s="739">
        <f>165123+165077</f>
        <v>330200</v>
      </c>
      <c r="J51" s="748" t="s">
        <v>4851</v>
      </c>
    </row>
    <row r="52" ht="15.75" customHeight="1">
      <c r="A52" s="741" t="s">
        <v>6161</v>
      </c>
      <c r="B52" s="737" t="s">
        <v>6075</v>
      </c>
      <c r="C52" s="738">
        <v>22158.0</v>
      </c>
      <c r="D52" s="737">
        <f t="shared" si="5"/>
        <v>59</v>
      </c>
      <c r="E52" s="737" t="s">
        <v>6162</v>
      </c>
      <c r="F52" s="737" t="s">
        <v>6077</v>
      </c>
      <c r="G52" s="739">
        <v>167058.0</v>
      </c>
    </row>
    <row r="53" ht="15.75" customHeight="1">
      <c r="A53" s="750" t="s">
        <v>6163</v>
      </c>
      <c r="B53" s="737" t="s">
        <v>6075</v>
      </c>
      <c r="C53" s="738">
        <v>13343.0</v>
      </c>
      <c r="D53" s="737">
        <f t="shared" si="5"/>
        <v>83</v>
      </c>
      <c r="E53" s="737" t="s">
        <v>6110</v>
      </c>
      <c r="F53" s="737" t="s">
        <v>6077</v>
      </c>
      <c r="G53" s="739">
        <v>119871.0</v>
      </c>
      <c r="J53" s="748" t="s">
        <v>4851</v>
      </c>
    </row>
    <row r="54" ht="15.75" customHeight="1">
      <c r="A54" s="752" t="s">
        <v>6164</v>
      </c>
      <c r="B54" s="737" t="s">
        <v>6083</v>
      </c>
      <c r="C54" s="738"/>
      <c r="D54" s="737"/>
      <c r="E54" s="737" t="s">
        <v>6165</v>
      </c>
      <c r="F54" s="737"/>
      <c r="G54" s="739">
        <v>0.0</v>
      </c>
    </row>
    <row r="55" ht="15.75" customHeight="1">
      <c r="A55" s="751" t="s">
        <v>6166</v>
      </c>
      <c r="B55" s="737" t="s">
        <v>6075</v>
      </c>
      <c r="C55" s="738">
        <v>23916.0</v>
      </c>
      <c r="D55" s="737">
        <f t="shared" ref="D55:D78" si="8">DATEDIF(C55,$C$121,"Y")</f>
        <v>54</v>
      </c>
      <c r="E55" s="737" t="s">
        <v>6095</v>
      </c>
      <c r="F55" s="737" t="s">
        <v>6077</v>
      </c>
      <c r="G55" s="739">
        <v>314725.0</v>
      </c>
    </row>
    <row r="56" ht="15.75" customHeight="1">
      <c r="A56" s="751" t="s">
        <v>5971</v>
      </c>
      <c r="B56" s="737" t="s">
        <v>6075</v>
      </c>
      <c r="C56" s="738">
        <v>29508.0</v>
      </c>
      <c r="D56" s="737">
        <f t="shared" si="8"/>
        <v>39</v>
      </c>
      <c r="E56" s="737" t="s">
        <v>6125</v>
      </c>
      <c r="F56" s="737" t="s">
        <v>6077</v>
      </c>
      <c r="G56" s="739">
        <v>105215.56</v>
      </c>
    </row>
    <row r="57" ht="15.75" customHeight="1">
      <c r="A57" s="750" t="s">
        <v>6167</v>
      </c>
      <c r="B57" s="737" t="s">
        <v>6075</v>
      </c>
      <c r="C57" s="738">
        <v>31417.0</v>
      </c>
      <c r="D57" s="737">
        <f t="shared" si="8"/>
        <v>33</v>
      </c>
      <c r="E57" s="737" t="s">
        <v>6095</v>
      </c>
      <c r="F57" s="737" t="s">
        <v>6077</v>
      </c>
      <c r="G57" s="739">
        <f>360253+251068</f>
        <v>611321</v>
      </c>
    </row>
    <row r="58" ht="15.75" customHeight="1">
      <c r="A58" s="750" t="s">
        <v>6168</v>
      </c>
      <c r="B58" s="737" t="s">
        <v>6083</v>
      </c>
      <c r="C58" s="738">
        <v>27619.0</v>
      </c>
      <c r="D58" s="737">
        <f t="shared" si="8"/>
        <v>44</v>
      </c>
      <c r="E58" s="737" t="s">
        <v>6104</v>
      </c>
      <c r="F58" s="737" t="s">
        <v>6077</v>
      </c>
      <c r="G58" s="739">
        <v>189120.0</v>
      </c>
    </row>
    <row r="59" ht="15.75" customHeight="1">
      <c r="A59" s="751" t="s">
        <v>6169</v>
      </c>
      <c r="B59" s="737" t="s">
        <v>6083</v>
      </c>
      <c r="C59" s="738">
        <v>21213.0</v>
      </c>
      <c r="D59" s="737">
        <f t="shared" si="8"/>
        <v>61</v>
      </c>
      <c r="E59" s="737" t="s">
        <v>6087</v>
      </c>
      <c r="F59" s="737" t="s">
        <v>6146</v>
      </c>
      <c r="G59" s="739">
        <v>16764.63</v>
      </c>
    </row>
    <row r="60" ht="15.75" customHeight="1">
      <c r="A60" s="750" t="s">
        <v>6170</v>
      </c>
      <c r="B60" s="737" t="s">
        <v>6075</v>
      </c>
      <c r="C60" s="738">
        <v>20736.0</v>
      </c>
      <c r="D60" s="737">
        <f t="shared" si="8"/>
        <v>63</v>
      </c>
      <c r="E60" s="737"/>
      <c r="F60" s="737" t="s">
        <v>6077</v>
      </c>
      <c r="G60" s="739">
        <v>129393.0</v>
      </c>
    </row>
    <row r="61" ht="15.75" customHeight="1">
      <c r="A61" s="753" t="s">
        <v>6171</v>
      </c>
      <c r="B61" s="737" t="s">
        <v>6075</v>
      </c>
      <c r="C61" s="738">
        <v>21535.0</v>
      </c>
      <c r="D61" s="737">
        <f t="shared" si="8"/>
        <v>61</v>
      </c>
      <c r="E61" s="737" t="s">
        <v>6076</v>
      </c>
      <c r="F61" s="737" t="s">
        <v>6077</v>
      </c>
      <c r="G61" s="739">
        <v>69611.0</v>
      </c>
      <c r="K61" s="748"/>
    </row>
    <row r="62" ht="15.75" customHeight="1">
      <c r="A62" s="741" t="s">
        <v>6172</v>
      </c>
      <c r="B62" s="737" t="s">
        <v>6083</v>
      </c>
      <c r="C62" s="738">
        <v>28071.0</v>
      </c>
      <c r="D62" s="737">
        <f t="shared" si="8"/>
        <v>43</v>
      </c>
      <c r="E62" s="737" t="s">
        <v>6173</v>
      </c>
      <c r="F62" s="737" t="s">
        <v>6077</v>
      </c>
      <c r="G62" s="739">
        <f>419503+311767</f>
        <v>731270</v>
      </c>
    </row>
    <row r="63" ht="15.75" customHeight="1">
      <c r="A63" s="747" t="s">
        <v>6174</v>
      </c>
      <c r="B63" s="737" t="s">
        <v>6075</v>
      </c>
      <c r="C63" s="738">
        <v>27745.0</v>
      </c>
      <c r="D63" s="737">
        <f t="shared" si="8"/>
        <v>44</v>
      </c>
      <c r="E63" s="737" t="s">
        <v>6098</v>
      </c>
      <c r="F63" s="737" t="s">
        <v>6077</v>
      </c>
      <c r="G63" s="739">
        <f>994319.81+157168</f>
        <v>1151487.81</v>
      </c>
      <c r="J63" s="748" t="s">
        <v>4851</v>
      </c>
    </row>
    <row r="64" ht="15.75" customHeight="1">
      <c r="A64" s="741" t="s">
        <v>6175</v>
      </c>
      <c r="B64" s="737" t="s">
        <v>6083</v>
      </c>
      <c r="C64" s="738">
        <v>24999.0</v>
      </c>
      <c r="D64" s="737">
        <f t="shared" si="8"/>
        <v>51</v>
      </c>
      <c r="E64" s="737" t="s">
        <v>6176</v>
      </c>
      <c r="F64" s="737" t="s">
        <v>6077</v>
      </c>
      <c r="G64" s="739">
        <v>108326.0</v>
      </c>
      <c r="J64" s="748" t="s">
        <v>4851</v>
      </c>
    </row>
    <row r="65" ht="15.75" customHeight="1">
      <c r="A65" s="741" t="s">
        <v>6177</v>
      </c>
      <c r="B65" s="737" t="s">
        <v>6083</v>
      </c>
      <c r="C65" s="738">
        <v>18771.0</v>
      </c>
      <c r="D65" s="737">
        <f t="shared" si="8"/>
        <v>68</v>
      </c>
      <c r="E65" s="737" t="s">
        <v>6139</v>
      </c>
      <c r="F65" s="737" t="s">
        <v>6077</v>
      </c>
      <c r="G65" s="739">
        <v>92609.0</v>
      </c>
    </row>
    <row r="66" ht="15.75" customHeight="1">
      <c r="A66" s="473" t="s">
        <v>6178</v>
      </c>
      <c r="B66" s="737" t="s">
        <v>6083</v>
      </c>
      <c r="C66" s="738">
        <v>27098.0</v>
      </c>
      <c r="D66" s="737">
        <f t="shared" si="8"/>
        <v>45</v>
      </c>
      <c r="E66" s="737" t="s">
        <v>6104</v>
      </c>
      <c r="F66" s="737" t="s">
        <v>6077</v>
      </c>
      <c r="G66" s="739">
        <v>44491.05</v>
      </c>
      <c r="L66" s="748" t="s">
        <v>4851</v>
      </c>
    </row>
    <row r="67" ht="15.75" customHeight="1">
      <c r="A67" s="741" t="s">
        <v>6179</v>
      </c>
      <c r="B67" s="737" t="s">
        <v>6083</v>
      </c>
      <c r="C67" s="738">
        <v>21881.0</v>
      </c>
      <c r="D67" s="737">
        <f t="shared" si="8"/>
        <v>60</v>
      </c>
      <c r="E67" s="737" t="s">
        <v>6180</v>
      </c>
      <c r="F67" s="737" t="s">
        <v>6077</v>
      </c>
      <c r="G67" s="739">
        <v>253693.0</v>
      </c>
      <c r="J67" s="748" t="s">
        <v>4851</v>
      </c>
    </row>
    <row r="68" ht="15.75" customHeight="1">
      <c r="A68" s="473" t="s">
        <v>6181</v>
      </c>
      <c r="B68" s="737" t="s">
        <v>6083</v>
      </c>
      <c r="C68" s="738">
        <v>20961.0</v>
      </c>
      <c r="D68" s="737">
        <f t="shared" si="8"/>
        <v>62</v>
      </c>
      <c r="E68" s="737" t="s">
        <v>6182</v>
      </c>
      <c r="F68" s="737" t="s">
        <v>6077</v>
      </c>
      <c r="G68" s="739">
        <v>268632.52</v>
      </c>
      <c r="J68" s="748" t="s">
        <v>4851</v>
      </c>
    </row>
    <row r="69" ht="15.75" customHeight="1">
      <c r="A69" s="749" t="s">
        <v>6183</v>
      </c>
      <c r="B69" s="737" t="s">
        <v>6083</v>
      </c>
      <c r="C69" s="738">
        <v>16541.0</v>
      </c>
      <c r="D69" s="737">
        <f t="shared" si="8"/>
        <v>74</v>
      </c>
      <c r="E69" s="737" t="s">
        <v>6184</v>
      </c>
      <c r="F69" s="737" t="s">
        <v>6077</v>
      </c>
      <c r="G69" s="739">
        <v>0.0</v>
      </c>
      <c r="L69" s="748" t="s">
        <v>4851</v>
      </c>
    </row>
    <row r="70" ht="15.75" customHeight="1">
      <c r="A70" s="473" t="s">
        <v>6185</v>
      </c>
      <c r="B70" s="737" t="s">
        <v>6083</v>
      </c>
      <c r="C70" s="738">
        <v>17371.0</v>
      </c>
      <c r="D70" s="737">
        <f t="shared" si="8"/>
        <v>72</v>
      </c>
      <c r="E70" s="737" t="s">
        <v>6165</v>
      </c>
      <c r="F70" s="737" t="s">
        <v>6146</v>
      </c>
      <c r="G70" s="739">
        <v>118173.01</v>
      </c>
    </row>
    <row r="71" ht="15.75" customHeight="1">
      <c r="A71" s="741" t="s">
        <v>6186</v>
      </c>
      <c r="B71" s="737" t="s">
        <v>6083</v>
      </c>
      <c r="C71" s="738">
        <v>22041.0</v>
      </c>
      <c r="D71" s="737">
        <f t="shared" si="8"/>
        <v>59</v>
      </c>
      <c r="E71" s="737" t="s">
        <v>6165</v>
      </c>
      <c r="F71" s="737" t="s">
        <v>6077</v>
      </c>
      <c r="G71" s="739">
        <v>177455.0</v>
      </c>
      <c r="K71" s="748" t="s">
        <v>4851</v>
      </c>
    </row>
    <row r="72" ht="15.75" customHeight="1">
      <c r="A72" s="741" t="s">
        <v>6187</v>
      </c>
      <c r="B72" s="737" t="s">
        <v>6075</v>
      </c>
      <c r="C72" s="738">
        <v>28553.0</v>
      </c>
      <c r="D72" s="737">
        <f t="shared" si="8"/>
        <v>41</v>
      </c>
      <c r="E72" s="737" t="s">
        <v>6120</v>
      </c>
      <c r="F72" s="737" t="s">
        <v>6077</v>
      </c>
      <c r="G72" s="739">
        <v>115496.0</v>
      </c>
      <c r="J72" s="748" t="s">
        <v>4851</v>
      </c>
    </row>
    <row r="73" ht="15.75" customHeight="1">
      <c r="A73" s="741" t="s">
        <v>6188</v>
      </c>
      <c r="B73" s="737" t="s">
        <v>6075</v>
      </c>
      <c r="C73" s="738">
        <v>28738.0</v>
      </c>
      <c r="D73" s="737">
        <f t="shared" si="8"/>
        <v>41</v>
      </c>
      <c r="E73" s="737" t="s">
        <v>6098</v>
      </c>
      <c r="F73" s="737" t="s">
        <v>6077</v>
      </c>
      <c r="G73" s="739">
        <v>261709.0</v>
      </c>
    </row>
    <row r="74" ht="15.75" customHeight="1">
      <c r="A74" s="473" t="s">
        <v>6189</v>
      </c>
      <c r="B74" s="737" t="s">
        <v>6075</v>
      </c>
      <c r="C74" s="738">
        <v>24095.0</v>
      </c>
      <c r="D74" s="737">
        <f t="shared" si="8"/>
        <v>54</v>
      </c>
      <c r="E74" s="737" t="s">
        <v>6095</v>
      </c>
      <c r="F74" s="737" t="s">
        <v>6077</v>
      </c>
      <c r="G74" s="739">
        <v>0.0</v>
      </c>
    </row>
    <row r="75" ht="15.75" customHeight="1">
      <c r="A75" s="747" t="s">
        <v>1851</v>
      </c>
      <c r="B75" s="737" t="s">
        <v>6083</v>
      </c>
      <c r="C75" s="738">
        <v>25216.0</v>
      </c>
      <c r="D75" s="737">
        <f t="shared" si="8"/>
        <v>50</v>
      </c>
      <c r="E75" s="737" t="s">
        <v>6190</v>
      </c>
      <c r="F75" s="737"/>
      <c r="G75" s="739">
        <v>695297.71</v>
      </c>
      <c r="J75" s="748" t="s">
        <v>4851</v>
      </c>
    </row>
    <row r="76" ht="15.75" customHeight="1">
      <c r="A76" s="473" t="s">
        <v>6191</v>
      </c>
      <c r="B76" s="737" t="s">
        <v>6075</v>
      </c>
      <c r="C76" s="738">
        <v>32329.0</v>
      </c>
      <c r="D76" s="737">
        <f t="shared" si="8"/>
        <v>31</v>
      </c>
      <c r="E76" s="737" t="s">
        <v>6095</v>
      </c>
      <c r="F76" s="737" t="s">
        <v>6077</v>
      </c>
      <c r="G76" s="739">
        <v>184409.0</v>
      </c>
      <c r="J76" s="748" t="s">
        <v>4851</v>
      </c>
    </row>
    <row r="77" ht="15.75" customHeight="1">
      <c r="A77" s="741" t="s">
        <v>6192</v>
      </c>
      <c r="B77" s="737" t="s">
        <v>6083</v>
      </c>
      <c r="C77" s="738">
        <v>30849.0</v>
      </c>
      <c r="D77" s="737">
        <f t="shared" si="8"/>
        <v>35</v>
      </c>
      <c r="E77" s="737" t="s">
        <v>6104</v>
      </c>
      <c r="F77" s="737" t="s">
        <v>6077</v>
      </c>
      <c r="G77" s="739">
        <v>117498.0</v>
      </c>
      <c r="K77" s="748" t="s">
        <v>4851</v>
      </c>
    </row>
    <row r="78" ht="15.75" customHeight="1">
      <c r="A78" s="741" t="s">
        <v>6193</v>
      </c>
      <c r="B78" s="737" t="s">
        <v>6083</v>
      </c>
      <c r="C78" s="738">
        <v>31945.0</v>
      </c>
      <c r="D78" s="737">
        <f t="shared" si="8"/>
        <v>32</v>
      </c>
      <c r="E78" s="737" t="s">
        <v>6104</v>
      </c>
      <c r="F78" s="737" t="s">
        <v>6077</v>
      </c>
      <c r="G78" s="739">
        <f>286683+108380</f>
        <v>395063</v>
      </c>
      <c r="J78" s="748" t="s">
        <v>4851</v>
      </c>
    </row>
    <row r="79" ht="15.75" customHeight="1">
      <c r="A79" s="741" t="s">
        <v>6194</v>
      </c>
      <c r="B79" s="737" t="s">
        <v>6083</v>
      </c>
      <c r="C79" s="738"/>
      <c r="D79" s="737"/>
      <c r="E79" s="737"/>
      <c r="F79" s="737" t="s">
        <v>6077</v>
      </c>
      <c r="G79" s="739">
        <v>422200.0</v>
      </c>
    </row>
    <row r="80" ht="15.75" customHeight="1">
      <c r="A80" s="747" t="s">
        <v>6195</v>
      </c>
      <c r="B80" s="737" t="s">
        <v>6075</v>
      </c>
      <c r="C80" s="738">
        <v>34492.0</v>
      </c>
      <c r="D80" s="737">
        <f t="shared" ref="D80:D83" si="9">DATEDIF(C80,$C$121,"Y")</f>
        <v>25</v>
      </c>
      <c r="E80" s="737" t="s">
        <v>6120</v>
      </c>
      <c r="F80" s="737" t="s">
        <v>6196</v>
      </c>
      <c r="G80" s="739">
        <v>82175.56</v>
      </c>
      <c r="K80" s="748" t="s">
        <v>4851</v>
      </c>
    </row>
    <row r="81" ht="15.75" customHeight="1">
      <c r="A81" s="473" t="s">
        <v>6197</v>
      </c>
      <c r="B81" s="737" t="s">
        <v>6075</v>
      </c>
      <c r="C81" s="738">
        <v>20947.0</v>
      </c>
      <c r="D81" s="737">
        <f t="shared" si="9"/>
        <v>62</v>
      </c>
      <c r="E81" s="737" t="s">
        <v>6095</v>
      </c>
      <c r="F81" s="737" t="s">
        <v>6198</v>
      </c>
      <c r="G81" s="739">
        <v>100737.25</v>
      </c>
    </row>
    <row r="82" ht="15.75" customHeight="1">
      <c r="A82" s="747" t="s">
        <v>3357</v>
      </c>
      <c r="B82" s="737" t="s">
        <v>6075</v>
      </c>
      <c r="C82" s="738">
        <v>29139.0</v>
      </c>
      <c r="D82" s="737">
        <f t="shared" si="9"/>
        <v>40</v>
      </c>
      <c r="E82" s="737" t="s">
        <v>6098</v>
      </c>
      <c r="F82" s="737"/>
      <c r="G82" s="739">
        <v>310286.32</v>
      </c>
    </row>
    <row r="83" ht="15.75" customHeight="1">
      <c r="A83" s="741" t="s">
        <v>6199</v>
      </c>
      <c r="B83" s="737" t="s">
        <v>6075</v>
      </c>
      <c r="C83" s="738">
        <v>31630.0</v>
      </c>
      <c r="D83" s="737">
        <f t="shared" si="9"/>
        <v>33</v>
      </c>
      <c r="E83" s="737" t="s">
        <v>6120</v>
      </c>
      <c r="F83" s="737" t="s">
        <v>6077</v>
      </c>
      <c r="G83" s="739">
        <v>0.0</v>
      </c>
      <c r="J83" s="748" t="s">
        <v>4851</v>
      </c>
    </row>
    <row r="84" ht="15.75" customHeight="1">
      <c r="A84" s="741" t="s">
        <v>6200</v>
      </c>
      <c r="B84" s="737" t="s">
        <v>6075</v>
      </c>
      <c r="C84" s="738"/>
      <c r="D84" s="737"/>
      <c r="E84" s="737"/>
      <c r="F84" s="737" t="s">
        <v>6077</v>
      </c>
      <c r="G84" s="739">
        <v>113888.0</v>
      </c>
      <c r="K84" s="748" t="s">
        <v>4851</v>
      </c>
    </row>
    <row r="85" ht="15.75" customHeight="1">
      <c r="A85" s="741" t="s">
        <v>6201</v>
      </c>
      <c r="B85" s="737" t="s">
        <v>6075</v>
      </c>
      <c r="C85" s="738">
        <v>28975.0</v>
      </c>
      <c r="D85" s="737">
        <f t="shared" ref="D85:D89" si="10">DATEDIF(C85,$C$121,"Y")</f>
        <v>40</v>
      </c>
      <c r="E85" s="737" t="s">
        <v>6122</v>
      </c>
      <c r="F85" s="737" t="s">
        <v>6077</v>
      </c>
      <c r="G85" s="739">
        <v>126001.0</v>
      </c>
    </row>
    <row r="86" ht="15.75" customHeight="1">
      <c r="A86" s="741" t="s">
        <v>5812</v>
      </c>
      <c r="B86" s="737" t="s">
        <v>6075</v>
      </c>
      <c r="C86" s="738">
        <v>23401.0</v>
      </c>
      <c r="D86" s="737">
        <f t="shared" si="10"/>
        <v>55</v>
      </c>
      <c r="E86" s="737" t="s">
        <v>6095</v>
      </c>
      <c r="F86" s="737" t="s">
        <v>6077</v>
      </c>
      <c r="G86" s="739">
        <f>532885+733156+661796</f>
        <v>1927837</v>
      </c>
      <c r="J86" s="748" t="s">
        <v>4851</v>
      </c>
    </row>
    <row r="87" ht="15.75" customHeight="1">
      <c r="A87" s="741" t="s">
        <v>6202</v>
      </c>
      <c r="B87" s="737" t="s">
        <v>6075</v>
      </c>
      <c r="C87" s="738">
        <v>31878.0</v>
      </c>
      <c r="D87" s="737">
        <f t="shared" si="10"/>
        <v>32</v>
      </c>
      <c r="E87" s="737" t="s">
        <v>6203</v>
      </c>
      <c r="F87" s="737" t="s">
        <v>6077</v>
      </c>
      <c r="G87" s="739">
        <v>377504.0</v>
      </c>
      <c r="K87" s="748" t="s">
        <v>4851</v>
      </c>
    </row>
    <row r="88" ht="15.75" customHeight="1">
      <c r="A88" s="749" t="s">
        <v>6204</v>
      </c>
      <c r="B88" s="737" t="s">
        <v>6075</v>
      </c>
      <c r="C88" s="738">
        <v>31643.0</v>
      </c>
      <c r="D88" s="737">
        <f t="shared" si="10"/>
        <v>33</v>
      </c>
      <c r="E88" s="737" t="s">
        <v>6087</v>
      </c>
      <c r="F88" s="737" t="s">
        <v>2600</v>
      </c>
      <c r="G88" s="739">
        <v>0.0</v>
      </c>
      <c r="J88" s="748" t="s">
        <v>4851</v>
      </c>
    </row>
    <row r="89" ht="15.75" customHeight="1">
      <c r="A89" s="473" t="s">
        <v>6205</v>
      </c>
      <c r="B89" s="737" t="s">
        <v>6075</v>
      </c>
      <c r="C89" s="738">
        <v>32438.0</v>
      </c>
      <c r="D89" s="737">
        <f t="shared" si="10"/>
        <v>31</v>
      </c>
      <c r="E89" s="737" t="s">
        <v>6132</v>
      </c>
      <c r="F89" s="737" t="s">
        <v>6077</v>
      </c>
      <c r="G89" s="739">
        <v>119890.0</v>
      </c>
      <c r="J89" s="748" t="s">
        <v>4851</v>
      </c>
    </row>
    <row r="90" ht="15.75" customHeight="1">
      <c r="A90" s="473" t="s">
        <v>6206</v>
      </c>
      <c r="B90" s="737" t="s">
        <v>6083</v>
      </c>
      <c r="C90" s="738"/>
      <c r="D90" s="737"/>
      <c r="E90" s="737" t="s">
        <v>6084</v>
      </c>
      <c r="F90" s="737"/>
      <c r="G90" s="739"/>
      <c r="J90" s="748"/>
    </row>
    <row r="91" ht="15.75" customHeight="1">
      <c r="A91" s="747" t="s">
        <v>5059</v>
      </c>
      <c r="B91" s="737" t="s">
        <v>6075</v>
      </c>
      <c r="C91" s="738">
        <v>31537.0</v>
      </c>
      <c r="D91" s="737">
        <f t="shared" ref="D91:D118" si="11">DATEDIF(C91,$C$121,"Y")</f>
        <v>33</v>
      </c>
      <c r="E91" s="737" t="s">
        <v>6095</v>
      </c>
      <c r="F91" s="737"/>
      <c r="G91" s="739">
        <v>403425.55</v>
      </c>
      <c r="J91" s="748" t="s">
        <v>4851</v>
      </c>
    </row>
    <row r="92" ht="15.75" customHeight="1">
      <c r="A92" s="741" t="s">
        <v>6207</v>
      </c>
      <c r="B92" s="737" t="s">
        <v>6075</v>
      </c>
      <c r="C92" s="738">
        <v>32791.0</v>
      </c>
      <c r="D92" s="737">
        <f t="shared" si="11"/>
        <v>30</v>
      </c>
      <c r="E92" s="737" t="s">
        <v>6120</v>
      </c>
      <c r="F92" s="737" t="s">
        <v>6077</v>
      </c>
      <c r="G92" s="739">
        <v>153385.0</v>
      </c>
      <c r="J92" s="748" t="s">
        <v>4851</v>
      </c>
    </row>
    <row r="93" ht="15.75" customHeight="1">
      <c r="A93" s="473" t="s">
        <v>6208</v>
      </c>
      <c r="B93" s="737" t="s">
        <v>6083</v>
      </c>
      <c r="C93" s="738">
        <v>32384.0</v>
      </c>
      <c r="D93" s="737">
        <f t="shared" si="11"/>
        <v>31</v>
      </c>
      <c r="E93" s="737" t="s">
        <v>6107</v>
      </c>
      <c r="F93" s="737" t="s">
        <v>6077</v>
      </c>
      <c r="G93" s="739">
        <v>96201.29</v>
      </c>
      <c r="J93" s="748" t="s">
        <v>4851</v>
      </c>
      <c r="K93" s="748" t="s">
        <v>4851</v>
      </c>
    </row>
    <row r="94" ht="15.75" customHeight="1">
      <c r="A94" s="741" t="s">
        <v>6209</v>
      </c>
      <c r="B94" s="737" t="s">
        <v>6083</v>
      </c>
      <c r="C94" s="738">
        <v>25391.0</v>
      </c>
      <c r="D94" s="737">
        <f t="shared" si="11"/>
        <v>50</v>
      </c>
      <c r="E94" s="737" t="s">
        <v>6104</v>
      </c>
      <c r="F94" s="737" t="s">
        <v>6077</v>
      </c>
      <c r="G94" s="739">
        <v>59844.0</v>
      </c>
      <c r="J94" s="748" t="s">
        <v>4851</v>
      </c>
    </row>
    <row r="95" ht="15.75" customHeight="1">
      <c r="A95" s="741" t="s">
        <v>6210</v>
      </c>
      <c r="B95" s="737" t="s">
        <v>6075</v>
      </c>
      <c r="C95" s="738">
        <v>24203.0</v>
      </c>
      <c r="D95" s="737">
        <f t="shared" si="11"/>
        <v>53</v>
      </c>
      <c r="E95" s="737" t="s">
        <v>6095</v>
      </c>
      <c r="F95" s="737" t="s">
        <v>6077</v>
      </c>
      <c r="G95" s="739">
        <v>308040.0</v>
      </c>
    </row>
    <row r="96" ht="15.75" customHeight="1">
      <c r="A96" s="741" t="s">
        <v>6211</v>
      </c>
      <c r="B96" s="737" t="s">
        <v>6075</v>
      </c>
      <c r="C96" s="738">
        <v>20888.0</v>
      </c>
      <c r="D96" s="737">
        <f t="shared" si="11"/>
        <v>62</v>
      </c>
      <c r="E96" s="737" t="s">
        <v>6076</v>
      </c>
      <c r="F96" s="737" t="s">
        <v>6077</v>
      </c>
      <c r="G96" s="739">
        <v>1017197.0</v>
      </c>
      <c r="J96" s="748" t="s">
        <v>4851</v>
      </c>
      <c r="K96" s="748" t="s">
        <v>4851</v>
      </c>
    </row>
    <row r="97" ht="15.75" customHeight="1">
      <c r="A97" s="473" t="s">
        <v>6212</v>
      </c>
      <c r="B97" s="737" t="s">
        <v>6075</v>
      </c>
      <c r="C97" s="738">
        <v>21799.0</v>
      </c>
      <c r="D97" s="737">
        <f t="shared" si="11"/>
        <v>60</v>
      </c>
      <c r="E97" s="737" t="s">
        <v>6122</v>
      </c>
      <c r="F97" s="737" t="s">
        <v>6077</v>
      </c>
      <c r="G97" s="739">
        <v>71421.48</v>
      </c>
    </row>
    <row r="98" ht="15.75" customHeight="1">
      <c r="A98" s="741" t="s">
        <v>6213</v>
      </c>
      <c r="B98" s="737" t="s">
        <v>6083</v>
      </c>
      <c r="C98" s="738">
        <v>21043.0</v>
      </c>
      <c r="D98" s="737">
        <f t="shared" si="11"/>
        <v>62</v>
      </c>
      <c r="E98" s="737" t="s">
        <v>6165</v>
      </c>
      <c r="F98" s="737" t="s">
        <v>6077</v>
      </c>
      <c r="G98" s="739">
        <v>67969.0</v>
      </c>
      <c r="J98" s="748" t="s">
        <v>4851</v>
      </c>
    </row>
    <row r="99" ht="15.75" customHeight="1">
      <c r="A99" s="741" t="s">
        <v>6214</v>
      </c>
      <c r="B99" s="737" t="s">
        <v>6075</v>
      </c>
      <c r="C99" s="738">
        <v>29136.0</v>
      </c>
      <c r="D99" s="737">
        <f t="shared" si="11"/>
        <v>40</v>
      </c>
      <c r="E99" s="737" t="s">
        <v>6076</v>
      </c>
      <c r="F99" s="737" t="s">
        <v>6077</v>
      </c>
      <c r="G99" s="739">
        <v>62757.0</v>
      </c>
    </row>
    <row r="100" ht="15.75" customHeight="1">
      <c r="A100" s="741" t="s">
        <v>6215</v>
      </c>
      <c r="B100" s="737" t="s">
        <v>6075</v>
      </c>
      <c r="C100" s="738">
        <v>32029.0</v>
      </c>
      <c r="D100" s="737">
        <f t="shared" si="11"/>
        <v>32</v>
      </c>
      <c r="E100" s="737" t="s">
        <v>6076</v>
      </c>
      <c r="F100" s="737" t="s">
        <v>6077</v>
      </c>
      <c r="G100" s="739">
        <f>133946+176866</f>
        <v>310812</v>
      </c>
      <c r="J100" s="748" t="s">
        <v>4851</v>
      </c>
    </row>
    <row r="101" ht="15.75" customHeight="1">
      <c r="A101" s="741" t="s">
        <v>6216</v>
      </c>
      <c r="B101" s="737" t="s">
        <v>6075</v>
      </c>
      <c r="C101" s="738">
        <v>24485.0</v>
      </c>
      <c r="D101" s="737">
        <f t="shared" si="11"/>
        <v>52</v>
      </c>
      <c r="E101" s="737" t="s">
        <v>6120</v>
      </c>
      <c r="F101" s="737" t="s">
        <v>6077</v>
      </c>
      <c r="G101" s="739">
        <v>60784.0</v>
      </c>
    </row>
    <row r="102" ht="15.75" customHeight="1">
      <c r="A102" s="747" t="s">
        <v>5179</v>
      </c>
      <c r="B102" s="737" t="s">
        <v>6083</v>
      </c>
      <c r="C102" s="738">
        <v>21939.0</v>
      </c>
      <c r="D102" s="737">
        <f t="shared" si="11"/>
        <v>59</v>
      </c>
      <c r="E102" s="737" t="s">
        <v>6176</v>
      </c>
      <c r="F102" s="737"/>
      <c r="G102" s="739">
        <v>198476.5</v>
      </c>
    </row>
    <row r="103" ht="15.75" customHeight="1">
      <c r="A103" s="747" t="s">
        <v>6217</v>
      </c>
      <c r="B103" s="737" t="s">
        <v>6075</v>
      </c>
      <c r="C103" s="738">
        <v>27955.0</v>
      </c>
      <c r="D103" s="737">
        <f t="shared" si="11"/>
        <v>43</v>
      </c>
      <c r="E103" s="737" t="s">
        <v>6125</v>
      </c>
      <c r="F103" s="737" t="s">
        <v>6077</v>
      </c>
      <c r="G103" s="739">
        <v>150629.56</v>
      </c>
      <c r="M103" s="748" t="s">
        <v>4851</v>
      </c>
    </row>
    <row r="104" ht="15.75" customHeight="1">
      <c r="A104" s="741" t="s">
        <v>6218</v>
      </c>
      <c r="B104" s="737" t="s">
        <v>6083</v>
      </c>
      <c r="C104" s="738">
        <v>28704.0</v>
      </c>
      <c r="D104" s="737">
        <f t="shared" si="11"/>
        <v>41</v>
      </c>
      <c r="E104" s="737" t="s">
        <v>6087</v>
      </c>
      <c r="F104" s="737" t="s">
        <v>6146</v>
      </c>
      <c r="G104" s="739">
        <v>100118.47</v>
      </c>
      <c r="H104" s="748"/>
      <c r="I104" s="748"/>
    </row>
    <row r="105" ht="15.75" customHeight="1">
      <c r="A105" s="747" t="s">
        <v>5194</v>
      </c>
      <c r="B105" s="737" t="s">
        <v>6083</v>
      </c>
      <c r="C105" s="738">
        <v>29520.0</v>
      </c>
      <c r="D105" s="737">
        <f t="shared" si="11"/>
        <v>39</v>
      </c>
      <c r="E105" s="737" t="s">
        <v>6219</v>
      </c>
      <c r="F105" s="737"/>
      <c r="G105" s="739">
        <v>354808.07</v>
      </c>
      <c r="L105" s="748" t="s">
        <v>4851</v>
      </c>
    </row>
    <row r="106" ht="15.75" customHeight="1">
      <c r="A106" s="473" t="s">
        <v>6220</v>
      </c>
      <c r="B106" s="737" t="s">
        <v>6083</v>
      </c>
      <c r="C106" s="738">
        <v>29544.0</v>
      </c>
      <c r="D106" s="737">
        <f t="shared" si="11"/>
        <v>39</v>
      </c>
      <c r="E106" s="737" t="s">
        <v>6190</v>
      </c>
      <c r="F106" s="737" t="s">
        <v>6077</v>
      </c>
      <c r="G106" s="739">
        <v>103186.0</v>
      </c>
      <c r="K106" s="748" t="s">
        <v>4851</v>
      </c>
    </row>
    <row r="107" ht="15.75" customHeight="1">
      <c r="A107" s="741" t="s">
        <v>6221</v>
      </c>
      <c r="B107" s="737" t="s">
        <v>6083</v>
      </c>
      <c r="C107" s="738">
        <v>21261.0</v>
      </c>
      <c r="D107" s="737">
        <f t="shared" si="11"/>
        <v>61</v>
      </c>
      <c r="E107" s="737" t="s">
        <v>6222</v>
      </c>
      <c r="F107" s="737" t="s">
        <v>6111</v>
      </c>
      <c r="G107" s="739">
        <v>210352.0</v>
      </c>
      <c r="J107" s="748" t="s">
        <v>4851</v>
      </c>
    </row>
    <row r="108" ht="15.75" customHeight="1">
      <c r="A108" s="747" t="s">
        <v>5227</v>
      </c>
      <c r="B108" s="737" t="s">
        <v>6075</v>
      </c>
      <c r="C108" s="738">
        <v>21704.0</v>
      </c>
      <c r="D108" s="737">
        <f t="shared" si="11"/>
        <v>60</v>
      </c>
      <c r="E108" s="737" t="s">
        <v>6120</v>
      </c>
      <c r="F108" s="737"/>
      <c r="G108" s="739">
        <v>518146.65</v>
      </c>
      <c r="K108" s="748" t="s">
        <v>4851</v>
      </c>
    </row>
    <row r="109" ht="15.75" customHeight="1">
      <c r="A109" s="473" t="s">
        <v>5930</v>
      </c>
      <c r="B109" s="737" t="s">
        <v>6083</v>
      </c>
      <c r="C109" s="738">
        <v>21926.0</v>
      </c>
      <c r="D109" s="737">
        <f t="shared" si="11"/>
        <v>59</v>
      </c>
      <c r="E109" s="737" t="s">
        <v>6139</v>
      </c>
      <c r="F109" s="737" t="s">
        <v>6077</v>
      </c>
      <c r="G109" s="739">
        <v>168315.0</v>
      </c>
    </row>
    <row r="110" ht="15.75" customHeight="1">
      <c r="A110" s="741" t="s">
        <v>6223</v>
      </c>
      <c r="B110" s="737" t="s">
        <v>6083</v>
      </c>
      <c r="C110" s="738">
        <v>31805.0</v>
      </c>
      <c r="D110" s="737">
        <f t="shared" si="11"/>
        <v>32</v>
      </c>
      <c r="E110" s="737" t="s">
        <v>6224</v>
      </c>
      <c r="F110" s="737" t="s">
        <v>6077</v>
      </c>
      <c r="G110" s="739">
        <v>123497.0</v>
      </c>
    </row>
    <row r="111" ht="15.75" customHeight="1">
      <c r="A111" s="741" t="s">
        <v>6225</v>
      </c>
      <c r="B111" s="737" t="s">
        <v>6083</v>
      </c>
      <c r="C111" s="738">
        <v>32080.0</v>
      </c>
      <c r="D111" s="737">
        <f t="shared" si="11"/>
        <v>32</v>
      </c>
      <c r="E111" s="737" t="s">
        <v>6104</v>
      </c>
      <c r="F111" s="737" t="s">
        <v>6077</v>
      </c>
      <c r="G111" s="739">
        <v>135476.0</v>
      </c>
    </row>
    <row r="112" ht="15.75" customHeight="1">
      <c r="A112" s="741" t="s">
        <v>6226</v>
      </c>
      <c r="B112" s="737" t="s">
        <v>6083</v>
      </c>
      <c r="C112" s="738">
        <v>32700.0</v>
      </c>
      <c r="D112" s="737">
        <f t="shared" si="11"/>
        <v>30</v>
      </c>
      <c r="E112" s="737" t="s">
        <v>6227</v>
      </c>
      <c r="F112" s="737" t="s">
        <v>6077</v>
      </c>
      <c r="G112" s="739">
        <v>5250.0</v>
      </c>
      <c r="J112" s="748" t="s">
        <v>4851</v>
      </c>
    </row>
    <row r="113" ht="15.75" customHeight="1">
      <c r="A113" s="741" t="s">
        <v>6228</v>
      </c>
      <c r="B113" s="737" t="s">
        <v>6075</v>
      </c>
      <c r="C113" s="738">
        <v>29491.0</v>
      </c>
      <c r="D113" s="737">
        <f t="shared" si="11"/>
        <v>39</v>
      </c>
      <c r="E113" s="737"/>
      <c r="F113" s="737" t="s">
        <v>6077</v>
      </c>
      <c r="G113" s="739">
        <v>61457.0</v>
      </c>
      <c r="J113" s="748" t="s">
        <v>4851</v>
      </c>
    </row>
    <row r="114" ht="15.75" customHeight="1">
      <c r="A114" s="749" t="s">
        <v>6229</v>
      </c>
      <c r="B114" s="737" t="s">
        <v>6075</v>
      </c>
      <c r="C114" s="738">
        <v>20383.0</v>
      </c>
      <c r="D114" s="737">
        <f t="shared" si="11"/>
        <v>64</v>
      </c>
      <c r="E114" s="737" t="s">
        <v>6230</v>
      </c>
      <c r="F114" s="737" t="s">
        <v>6077</v>
      </c>
      <c r="G114" s="739">
        <v>185472.0</v>
      </c>
      <c r="J114" s="748" t="s">
        <v>4851</v>
      </c>
      <c r="K114" s="748" t="s">
        <v>4851</v>
      </c>
    </row>
    <row r="115" ht="15.75" customHeight="1">
      <c r="A115" s="473" t="s">
        <v>6231</v>
      </c>
      <c r="B115" s="737" t="s">
        <v>6075</v>
      </c>
      <c r="C115" s="738">
        <v>36924.0</v>
      </c>
      <c r="D115" s="737">
        <f t="shared" si="11"/>
        <v>18</v>
      </c>
      <c r="E115" s="737" t="s">
        <v>6095</v>
      </c>
      <c r="F115" s="737" t="s">
        <v>6077</v>
      </c>
      <c r="G115" s="739">
        <v>238256.0</v>
      </c>
      <c r="L115" s="748" t="s">
        <v>4851</v>
      </c>
    </row>
    <row r="116" ht="15.75" customHeight="1">
      <c r="A116" s="741" t="s">
        <v>6232</v>
      </c>
      <c r="B116" s="737" t="s">
        <v>6083</v>
      </c>
      <c r="C116" s="738">
        <v>21111.0</v>
      </c>
      <c r="D116" s="737">
        <f t="shared" si="11"/>
        <v>62</v>
      </c>
      <c r="E116" s="737" t="s">
        <v>6139</v>
      </c>
      <c r="F116" s="737" t="s">
        <v>6077</v>
      </c>
      <c r="G116" s="739">
        <v>612317.0</v>
      </c>
    </row>
    <row r="117" ht="15.75" customHeight="1">
      <c r="A117" s="741" t="s">
        <v>6233</v>
      </c>
      <c r="B117" s="737" t="s">
        <v>6075</v>
      </c>
      <c r="C117" s="738">
        <v>24865.0</v>
      </c>
      <c r="D117" s="737">
        <f t="shared" si="11"/>
        <v>51</v>
      </c>
      <c r="E117" s="737" t="s">
        <v>6087</v>
      </c>
      <c r="F117" s="737" t="s">
        <v>6077</v>
      </c>
      <c r="G117" s="739">
        <v>278735.0</v>
      </c>
    </row>
    <row r="118" ht="15.75" customHeight="1">
      <c r="A118" s="747" t="s">
        <v>2500</v>
      </c>
      <c r="B118" s="737" t="s">
        <v>6075</v>
      </c>
      <c r="C118" s="738">
        <v>28041.0</v>
      </c>
      <c r="D118" s="737">
        <f t="shared" si="11"/>
        <v>43</v>
      </c>
      <c r="E118" s="737" t="s">
        <v>6234</v>
      </c>
      <c r="F118" s="737"/>
      <c r="G118" s="739">
        <v>104765.52</v>
      </c>
    </row>
    <row r="119" ht="15.75" customHeight="1">
      <c r="B119" s="754"/>
      <c r="C119" s="754" t="s">
        <v>6235</v>
      </c>
      <c r="D119" s="754"/>
      <c r="E119" s="754" t="s">
        <v>6235</v>
      </c>
      <c r="F119" s="754"/>
      <c r="G119" s="754" t="s">
        <v>6078</v>
      </c>
    </row>
    <row r="120" ht="15.75" customHeight="1">
      <c r="B120" s="754"/>
      <c r="C120" s="754">
        <f>COUNTIF(C2:C118,"")</f>
        <v>5</v>
      </c>
      <c r="D120" s="754"/>
      <c r="E120" s="754">
        <f>COUNTIF(E2:E118,"")</f>
        <v>5</v>
      </c>
      <c r="F120" s="754"/>
      <c r="G120" s="755">
        <f>SUM(G2:G119)</f>
        <v>32577145.17</v>
      </c>
      <c r="J120" s="748" t="s">
        <v>4851</v>
      </c>
    </row>
    <row r="121" ht="15.75" customHeight="1">
      <c r="B121" s="754"/>
      <c r="C121" s="756">
        <v>43833.0</v>
      </c>
      <c r="D121" s="754"/>
      <c r="E121" s="754"/>
      <c r="F121" s="754"/>
    </row>
    <row r="122" ht="15.75" customHeight="1">
      <c r="B122" s="754"/>
      <c r="C122" s="754"/>
      <c r="D122" s="754"/>
      <c r="E122" s="754"/>
      <c r="F122" s="754"/>
    </row>
    <row r="123" ht="15.75" customHeight="1">
      <c r="B123" s="754"/>
      <c r="C123" s="754"/>
      <c r="D123" s="754"/>
      <c r="E123" s="754"/>
      <c r="F123" s="754"/>
    </row>
    <row r="124" ht="15.75" customHeight="1">
      <c r="B124" s="754"/>
      <c r="C124" s="754"/>
      <c r="D124" s="754"/>
      <c r="E124" s="754"/>
      <c r="F124" s="754"/>
    </row>
    <row r="125" ht="15.75" customHeight="1">
      <c r="A125" s="473" t="s">
        <v>6236</v>
      </c>
      <c r="B125" s="743">
        <v>3.262206002E7</v>
      </c>
      <c r="C125" s="743">
        <v>799508.4</v>
      </c>
      <c r="D125" s="743">
        <v>7162789.72</v>
      </c>
      <c r="E125" s="757">
        <f t="shared" ref="E125:E127" si="12">SUM(B125:D125)</f>
        <v>40584358.14</v>
      </c>
      <c r="F125" s="754"/>
    </row>
    <row r="126" ht="15.75" customHeight="1">
      <c r="A126" s="473" t="s">
        <v>6237</v>
      </c>
      <c r="B126" s="743">
        <v>3.50797521E7</v>
      </c>
      <c r="C126" s="743">
        <v>1206943.15</v>
      </c>
      <c r="D126" s="743">
        <v>7539307.39</v>
      </c>
      <c r="E126" s="757">
        <f t="shared" si="12"/>
        <v>43826002.64</v>
      </c>
      <c r="F126" s="754"/>
    </row>
    <row r="127" ht="15.75" customHeight="1">
      <c r="A127" s="473" t="s">
        <v>6238</v>
      </c>
      <c r="B127" s="743">
        <v>3.236243678E7</v>
      </c>
      <c r="C127" s="743">
        <v>1197314.59</v>
      </c>
      <c r="D127" s="743">
        <v>6426195.59</v>
      </c>
      <c r="E127" s="757">
        <f t="shared" si="12"/>
        <v>39985946.96</v>
      </c>
      <c r="F127" s="754"/>
    </row>
    <row r="128" ht="15.75" customHeight="1">
      <c r="B128" s="754"/>
      <c r="C128" s="754"/>
      <c r="D128" s="754"/>
      <c r="E128" s="754"/>
      <c r="F128" s="754"/>
    </row>
    <row r="129" ht="15.75" customHeight="1">
      <c r="B129" s="754"/>
      <c r="C129" s="754"/>
      <c r="D129" s="754"/>
      <c r="E129" s="754"/>
      <c r="F129" s="754"/>
    </row>
    <row r="130" ht="15.75" customHeight="1">
      <c r="B130" s="754"/>
      <c r="C130" s="754"/>
      <c r="D130" s="754"/>
      <c r="E130" s="754"/>
      <c r="F130" s="754"/>
    </row>
    <row r="131" ht="15.75" customHeight="1">
      <c r="B131" s="754"/>
      <c r="C131" s="754"/>
      <c r="D131" s="754"/>
      <c r="E131" s="754"/>
      <c r="F131" s="754"/>
    </row>
    <row r="132" ht="15.75" customHeight="1">
      <c r="B132" s="754"/>
      <c r="C132" s="754"/>
      <c r="D132" s="754"/>
      <c r="E132" s="754"/>
      <c r="F132" s="754"/>
    </row>
    <row r="133" ht="15.75" customHeight="1">
      <c r="B133" s="754"/>
      <c r="C133" s="754"/>
      <c r="D133" s="754"/>
      <c r="E133" s="754"/>
      <c r="F133" s="754"/>
    </row>
    <row r="134" ht="15.75" customHeight="1">
      <c r="B134" s="754"/>
      <c r="C134" s="754"/>
      <c r="D134" s="754"/>
      <c r="E134" s="754"/>
      <c r="F134" s="754"/>
    </row>
    <row r="135" ht="15.75" customHeight="1">
      <c r="B135" s="754"/>
      <c r="C135" s="754"/>
      <c r="D135" s="754"/>
      <c r="E135" s="754"/>
      <c r="F135" s="754"/>
    </row>
    <row r="136" ht="15.75" customHeight="1">
      <c r="B136" s="754"/>
      <c r="C136" s="754"/>
      <c r="D136" s="754"/>
      <c r="E136" s="754"/>
      <c r="F136" s="754"/>
    </row>
    <row r="137" ht="15.75" customHeight="1">
      <c r="B137" s="754"/>
      <c r="C137" s="754"/>
      <c r="D137" s="754"/>
      <c r="E137" s="754"/>
      <c r="F137" s="754"/>
    </row>
    <row r="138" ht="15.75" customHeight="1">
      <c r="B138" s="754"/>
      <c r="C138" s="754"/>
      <c r="D138" s="754"/>
      <c r="E138" s="754"/>
      <c r="F138" s="754"/>
    </row>
    <row r="139" ht="15.75" customHeight="1">
      <c r="B139" s="754"/>
      <c r="C139" s="754"/>
      <c r="D139" s="754"/>
      <c r="E139" s="754"/>
      <c r="F139" s="754"/>
    </row>
    <row r="140" ht="15.75" customHeight="1">
      <c r="B140" s="754"/>
      <c r="C140" s="754"/>
      <c r="D140" s="754"/>
      <c r="E140" s="754"/>
      <c r="F140" s="754"/>
    </row>
    <row r="141" ht="15.75" customHeight="1">
      <c r="B141" s="754"/>
      <c r="C141" s="754"/>
      <c r="D141" s="754"/>
      <c r="E141" s="754"/>
      <c r="F141" s="754"/>
    </row>
    <row r="142" ht="15.75" customHeight="1">
      <c r="B142" s="754"/>
      <c r="C142" s="754"/>
      <c r="D142" s="754"/>
      <c r="E142" s="754"/>
      <c r="F142" s="754"/>
    </row>
    <row r="143" ht="15.75" customHeight="1">
      <c r="B143" s="754"/>
      <c r="C143" s="754"/>
      <c r="D143" s="754"/>
      <c r="E143" s="754"/>
      <c r="F143" s="754"/>
    </row>
    <row r="144" ht="15.75" customHeight="1">
      <c r="B144" s="754"/>
      <c r="C144" s="754"/>
      <c r="D144" s="754"/>
      <c r="E144" s="754"/>
      <c r="F144" s="754"/>
    </row>
    <row r="145" ht="15.75" customHeight="1">
      <c r="B145" s="754"/>
      <c r="C145" s="754"/>
      <c r="D145" s="754"/>
      <c r="E145" s="754"/>
      <c r="F145" s="754"/>
    </row>
    <row r="146" ht="15.75" customHeight="1">
      <c r="B146" s="754"/>
      <c r="C146" s="754"/>
      <c r="D146" s="754"/>
      <c r="E146" s="754"/>
      <c r="F146" s="754"/>
    </row>
    <row r="147" ht="15.75" customHeight="1">
      <c r="B147" s="754"/>
      <c r="C147" s="754"/>
      <c r="D147" s="754"/>
      <c r="E147" s="754"/>
      <c r="F147" s="754"/>
    </row>
    <row r="148" ht="15.75" customHeight="1">
      <c r="B148" s="754"/>
      <c r="C148" s="754"/>
      <c r="D148" s="754"/>
      <c r="E148" s="754"/>
      <c r="F148" s="754"/>
    </row>
    <row r="149" ht="15.75" customHeight="1">
      <c r="B149" s="754"/>
      <c r="C149" s="754"/>
      <c r="D149" s="754"/>
      <c r="E149" s="754"/>
      <c r="F149" s="754"/>
    </row>
    <row r="150" ht="15.75" customHeight="1">
      <c r="B150" s="754"/>
      <c r="C150" s="754"/>
      <c r="D150" s="754"/>
      <c r="E150" s="754"/>
      <c r="F150" s="754"/>
    </row>
    <row r="151" ht="15.75" customHeight="1">
      <c r="B151" s="754"/>
      <c r="C151" s="754"/>
      <c r="D151" s="754"/>
      <c r="E151" s="754"/>
      <c r="F151" s="754"/>
    </row>
    <row r="152" ht="15.75" customHeight="1">
      <c r="B152" s="754"/>
      <c r="C152" s="754"/>
      <c r="D152" s="754"/>
      <c r="E152" s="754"/>
      <c r="F152" s="754"/>
    </row>
    <row r="153" ht="15.75" customHeight="1">
      <c r="B153" s="754"/>
      <c r="C153" s="754"/>
      <c r="D153" s="754"/>
      <c r="E153" s="754"/>
      <c r="F153" s="754"/>
    </row>
    <row r="154" ht="15.75" customHeight="1">
      <c r="B154" s="754"/>
      <c r="C154" s="754"/>
      <c r="D154" s="754"/>
      <c r="E154" s="754"/>
      <c r="F154" s="754"/>
    </row>
    <row r="155" ht="15.75" customHeight="1">
      <c r="B155" s="754"/>
      <c r="C155" s="754"/>
      <c r="D155" s="754"/>
      <c r="E155" s="754"/>
      <c r="F155" s="754"/>
    </row>
    <row r="156" ht="15.75" customHeight="1">
      <c r="B156" s="754"/>
      <c r="C156" s="754"/>
      <c r="D156" s="754"/>
      <c r="E156" s="754"/>
      <c r="F156" s="754"/>
    </row>
    <row r="157" ht="15.75" customHeight="1">
      <c r="B157" s="754"/>
      <c r="C157" s="754"/>
      <c r="D157" s="754"/>
      <c r="E157" s="754"/>
      <c r="F157" s="754"/>
    </row>
    <row r="158" ht="15.75" customHeight="1">
      <c r="B158" s="754"/>
      <c r="C158" s="754"/>
      <c r="D158" s="754"/>
      <c r="E158" s="754"/>
      <c r="F158" s="754"/>
    </row>
    <row r="159" ht="15.75" customHeight="1">
      <c r="B159" s="754"/>
      <c r="C159" s="754"/>
      <c r="D159" s="754"/>
      <c r="E159" s="754"/>
      <c r="F159" s="754"/>
    </row>
    <row r="160" ht="15.75" customHeight="1">
      <c r="B160" s="754"/>
      <c r="C160" s="754"/>
      <c r="D160" s="754"/>
      <c r="E160" s="754"/>
      <c r="F160" s="754"/>
    </row>
    <row r="161" ht="15.75" customHeight="1">
      <c r="B161" s="754"/>
      <c r="C161" s="754"/>
      <c r="D161" s="754"/>
      <c r="E161" s="754"/>
      <c r="F161" s="754"/>
    </row>
    <row r="162" ht="15.75" customHeight="1">
      <c r="B162" s="754"/>
      <c r="C162" s="754"/>
      <c r="D162" s="754"/>
      <c r="E162" s="754"/>
      <c r="F162" s="754"/>
    </row>
    <row r="163" ht="15.75" customHeight="1">
      <c r="B163" s="754"/>
      <c r="C163" s="754"/>
      <c r="D163" s="754"/>
      <c r="E163" s="754"/>
      <c r="F163" s="754"/>
    </row>
    <row r="164" ht="15.75" customHeight="1">
      <c r="B164" s="754"/>
      <c r="C164" s="754"/>
      <c r="D164" s="754"/>
      <c r="E164" s="754"/>
      <c r="F164" s="754"/>
    </row>
    <row r="165" ht="15.75" customHeight="1">
      <c r="B165" s="754"/>
      <c r="C165" s="754"/>
      <c r="D165" s="754"/>
      <c r="E165" s="754"/>
      <c r="F165" s="754"/>
    </row>
    <row r="166" ht="15.75" customHeight="1">
      <c r="B166" s="754"/>
      <c r="C166" s="754"/>
      <c r="D166" s="754"/>
      <c r="E166" s="754"/>
      <c r="F166" s="754"/>
    </row>
    <row r="167" ht="15.75" customHeight="1">
      <c r="B167" s="754"/>
      <c r="C167" s="754"/>
      <c r="D167" s="754"/>
      <c r="E167" s="754"/>
      <c r="F167" s="754"/>
    </row>
    <row r="168" ht="15.75" customHeight="1">
      <c r="B168" s="754"/>
      <c r="C168" s="754"/>
      <c r="D168" s="754"/>
      <c r="E168" s="754"/>
      <c r="F168" s="754"/>
    </row>
    <row r="169" ht="15.75" customHeight="1">
      <c r="B169" s="754"/>
      <c r="C169" s="754"/>
      <c r="D169" s="754"/>
      <c r="E169" s="754"/>
      <c r="F169" s="754"/>
    </row>
    <row r="170" ht="15.75" customHeight="1">
      <c r="B170" s="754"/>
      <c r="C170" s="754"/>
      <c r="D170" s="754"/>
      <c r="E170" s="754"/>
      <c r="F170" s="754"/>
    </row>
    <row r="171" ht="15.75" customHeight="1">
      <c r="B171" s="754"/>
      <c r="C171" s="754"/>
      <c r="D171" s="754"/>
      <c r="E171" s="754"/>
      <c r="F171" s="754"/>
    </row>
    <row r="172" ht="15.75" customHeight="1">
      <c r="B172" s="754"/>
      <c r="C172" s="754"/>
      <c r="D172" s="754"/>
      <c r="E172" s="754"/>
      <c r="F172" s="754"/>
    </row>
    <row r="173" ht="15.75" customHeight="1">
      <c r="B173" s="754"/>
      <c r="C173" s="754"/>
      <c r="D173" s="754"/>
      <c r="E173" s="754"/>
      <c r="F173" s="754"/>
    </row>
    <row r="174" ht="15.75" customHeight="1">
      <c r="B174" s="754"/>
      <c r="C174" s="754"/>
      <c r="D174" s="754"/>
      <c r="E174" s="754"/>
      <c r="F174" s="754"/>
    </row>
    <row r="175" ht="15.75" customHeight="1">
      <c r="B175" s="754"/>
      <c r="C175" s="754"/>
      <c r="D175" s="754"/>
      <c r="E175" s="754"/>
      <c r="F175" s="754"/>
    </row>
    <row r="176" ht="15.75" customHeight="1">
      <c r="B176" s="754"/>
      <c r="C176" s="754"/>
      <c r="D176" s="754"/>
      <c r="E176" s="754"/>
      <c r="F176" s="754"/>
    </row>
    <row r="177" ht="15.75" customHeight="1">
      <c r="B177" s="754"/>
      <c r="C177" s="754"/>
      <c r="D177" s="754"/>
      <c r="E177" s="754"/>
      <c r="F177" s="754"/>
    </row>
    <row r="178" ht="15.75" customHeight="1">
      <c r="B178" s="754"/>
      <c r="C178" s="754"/>
      <c r="D178" s="754"/>
      <c r="E178" s="754"/>
      <c r="F178" s="754"/>
    </row>
    <row r="179" ht="15.75" customHeight="1">
      <c r="B179" s="754"/>
      <c r="C179" s="754"/>
      <c r="D179" s="754"/>
      <c r="E179" s="754"/>
      <c r="F179" s="754"/>
    </row>
    <row r="180" ht="15.75" customHeight="1">
      <c r="B180" s="754"/>
      <c r="C180" s="754"/>
      <c r="D180" s="754"/>
      <c r="E180" s="754"/>
      <c r="F180" s="754"/>
    </row>
    <row r="181" ht="15.75" customHeight="1">
      <c r="B181" s="754"/>
      <c r="C181" s="754"/>
      <c r="D181" s="754"/>
      <c r="E181" s="754"/>
      <c r="F181" s="754"/>
    </row>
    <row r="182" ht="15.75" customHeight="1">
      <c r="B182" s="754"/>
      <c r="C182" s="754"/>
      <c r="D182" s="754"/>
      <c r="E182" s="754"/>
      <c r="F182" s="754"/>
    </row>
    <row r="183" ht="15.75" customHeight="1">
      <c r="B183" s="754"/>
      <c r="C183" s="754"/>
      <c r="D183" s="754"/>
      <c r="E183" s="754"/>
      <c r="F183" s="754"/>
    </row>
    <row r="184" ht="15.75" customHeight="1">
      <c r="B184" s="754"/>
      <c r="C184" s="754"/>
      <c r="D184" s="754"/>
      <c r="E184" s="754"/>
      <c r="F184" s="754"/>
    </row>
    <row r="185" ht="15.75" customHeight="1">
      <c r="B185" s="754"/>
      <c r="C185" s="754"/>
      <c r="D185" s="754"/>
      <c r="E185" s="754"/>
      <c r="F185" s="754"/>
    </row>
    <row r="186" ht="15.75" customHeight="1">
      <c r="B186" s="754"/>
      <c r="C186" s="754"/>
      <c r="D186" s="754"/>
      <c r="E186" s="754"/>
      <c r="F186" s="754"/>
    </row>
    <row r="187" ht="15.75" customHeight="1">
      <c r="B187" s="754"/>
      <c r="C187" s="754"/>
      <c r="D187" s="754"/>
      <c r="E187" s="754"/>
      <c r="F187" s="754"/>
    </row>
    <row r="188" ht="15.75" customHeight="1">
      <c r="B188" s="754"/>
      <c r="C188" s="754"/>
      <c r="D188" s="754"/>
      <c r="E188" s="754"/>
      <c r="F188" s="754"/>
    </row>
    <row r="189" ht="15.75" customHeight="1">
      <c r="B189" s="754"/>
      <c r="C189" s="754"/>
      <c r="D189" s="754"/>
      <c r="E189" s="754"/>
      <c r="F189" s="754"/>
    </row>
    <row r="190" ht="15.75" customHeight="1">
      <c r="B190" s="754"/>
      <c r="C190" s="754"/>
      <c r="D190" s="754"/>
      <c r="E190" s="754"/>
      <c r="F190" s="754"/>
    </row>
    <row r="191" ht="15.75" customHeight="1">
      <c r="B191" s="754"/>
      <c r="C191" s="754"/>
      <c r="D191" s="754"/>
      <c r="E191" s="754"/>
      <c r="F191" s="754"/>
    </row>
    <row r="192" ht="15.75" customHeight="1">
      <c r="B192" s="754"/>
      <c r="C192" s="754"/>
      <c r="D192" s="754"/>
      <c r="E192" s="754"/>
      <c r="F192" s="754"/>
    </row>
    <row r="193" ht="15.75" customHeight="1">
      <c r="B193" s="754"/>
      <c r="C193" s="754"/>
      <c r="D193" s="754"/>
      <c r="E193" s="754"/>
      <c r="F193" s="754"/>
    </row>
    <row r="194" ht="15.75" customHeight="1">
      <c r="B194" s="754"/>
      <c r="C194" s="754"/>
      <c r="D194" s="754"/>
      <c r="E194" s="754"/>
      <c r="F194" s="754"/>
    </row>
    <row r="195" ht="15.75" customHeight="1">
      <c r="B195" s="754"/>
      <c r="C195" s="754"/>
      <c r="D195" s="754"/>
      <c r="E195" s="754"/>
      <c r="F195" s="754"/>
    </row>
    <row r="196" ht="15.75" customHeight="1">
      <c r="B196" s="754"/>
      <c r="C196" s="754"/>
      <c r="D196" s="754"/>
      <c r="E196" s="754"/>
      <c r="F196" s="754"/>
    </row>
    <row r="197" ht="15.75" customHeight="1">
      <c r="B197" s="754"/>
      <c r="C197" s="754"/>
      <c r="D197" s="754"/>
      <c r="E197" s="754"/>
      <c r="F197" s="754"/>
    </row>
    <row r="198" ht="15.75" customHeight="1">
      <c r="B198" s="754"/>
      <c r="C198" s="754"/>
      <c r="D198" s="754"/>
      <c r="E198" s="754"/>
      <c r="F198" s="754"/>
    </row>
    <row r="199" ht="15.75" customHeight="1">
      <c r="B199" s="754"/>
      <c r="C199" s="754"/>
      <c r="D199" s="754"/>
      <c r="E199" s="754"/>
      <c r="F199" s="754"/>
    </row>
    <row r="200" ht="15.75" customHeight="1">
      <c r="B200" s="754"/>
      <c r="C200" s="754"/>
      <c r="D200" s="754"/>
      <c r="E200" s="754"/>
      <c r="F200" s="754"/>
    </row>
    <row r="201" ht="15.75" customHeight="1">
      <c r="B201" s="754"/>
      <c r="C201" s="754"/>
      <c r="D201" s="754"/>
      <c r="E201" s="754"/>
      <c r="F201" s="754"/>
    </row>
    <row r="202" ht="15.75" customHeight="1">
      <c r="B202" s="754"/>
      <c r="C202" s="754"/>
      <c r="D202" s="754"/>
      <c r="E202" s="754"/>
      <c r="F202" s="754"/>
    </row>
    <row r="203" ht="15.75" customHeight="1">
      <c r="B203" s="754"/>
      <c r="C203" s="754"/>
      <c r="D203" s="754"/>
      <c r="E203" s="754"/>
      <c r="F203" s="754"/>
    </row>
    <row r="204" ht="15.75" customHeight="1">
      <c r="B204" s="754"/>
      <c r="C204" s="754"/>
      <c r="D204" s="754"/>
      <c r="E204" s="754"/>
      <c r="F204" s="754"/>
    </row>
    <row r="205" ht="15.75" customHeight="1">
      <c r="B205" s="754"/>
      <c r="C205" s="754"/>
      <c r="D205" s="754"/>
      <c r="E205" s="754"/>
      <c r="F205" s="754"/>
    </row>
    <row r="206" ht="15.75" customHeight="1">
      <c r="B206" s="754"/>
      <c r="C206" s="754"/>
      <c r="D206" s="754"/>
      <c r="E206" s="754"/>
      <c r="F206" s="754"/>
    </row>
    <row r="207" ht="15.75" customHeight="1">
      <c r="B207" s="754"/>
      <c r="C207" s="754"/>
      <c r="D207" s="754"/>
      <c r="E207" s="754"/>
      <c r="F207" s="754"/>
    </row>
    <row r="208" ht="15.75" customHeight="1">
      <c r="B208" s="754"/>
      <c r="C208" s="754"/>
      <c r="D208" s="754"/>
      <c r="E208" s="754"/>
      <c r="F208" s="754"/>
    </row>
    <row r="209" ht="15.75" customHeight="1">
      <c r="B209" s="754"/>
      <c r="C209" s="754"/>
      <c r="D209" s="754"/>
      <c r="E209" s="754"/>
      <c r="F209" s="754"/>
    </row>
    <row r="210" ht="15.75" customHeight="1">
      <c r="B210" s="754"/>
      <c r="C210" s="754"/>
      <c r="D210" s="754"/>
      <c r="E210" s="754"/>
      <c r="F210" s="754"/>
    </row>
    <row r="211" ht="15.75" customHeight="1">
      <c r="B211" s="754"/>
      <c r="C211" s="754"/>
      <c r="D211" s="754"/>
      <c r="E211" s="754"/>
      <c r="F211" s="754"/>
    </row>
    <row r="212" ht="15.75" customHeight="1">
      <c r="B212" s="754"/>
      <c r="C212" s="754"/>
      <c r="D212" s="754"/>
      <c r="E212" s="754"/>
      <c r="F212" s="754"/>
    </row>
    <row r="213" ht="15.75" customHeight="1">
      <c r="B213" s="754"/>
      <c r="C213" s="754"/>
      <c r="D213" s="754"/>
      <c r="E213" s="754"/>
      <c r="F213" s="754"/>
    </row>
    <row r="214" ht="15.75" customHeight="1">
      <c r="B214" s="754"/>
      <c r="C214" s="754"/>
      <c r="D214" s="754"/>
      <c r="E214" s="754"/>
      <c r="F214" s="754"/>
    </row>
    <row r="215" ht="15.75" customHeight="1">
      <c r="B215" s="754"/>
      <c r="C215" s="754"/>
      <c r="D215" s="754"/>
      <c r="E215" s="754"/>
      <c r="F215" s="754"/>
    </row>
    <row r="216" ht="15.75" customHeight="1">
      <c r="B216" s="754"/>
      <c r="C216" s="754"/>
      <c r="D216" s="754"/>
      <c r="E216" s="754"/>
      <c r="F216" s="754"/>
    </row>
    <row r="217" ht="15.75" customHeight="1">
      <c r="B217" s="754"/>
      <c r="C217" s="754"/>
      <c r="D217" s="754"/>
      <c r="E217" s="754"/>
      <c r="F217" s="754"/>
    </row>
    <row r="218" ht="15.75" customHeight="1">
      <c r="B218" s="754"/>
      <c r="C218" s="754"/>
      <c r="D218" s="754"/>
      <c r="E218" s="754"/>
      <c r="F218" s="754"/>
    </row>
    <row r="219" ht="15.75" customHeight="1">
      <c r="B219" s="754"/>
      <c r="C219" s="754"/>
      <c r="D219" s="754"/>
      <c r="E219" s="754"/>
      <c r="F219" s="754"/>
    </row>
    <row r="220" ht="15.75" customHeight="1">
      <c r="B220" s="754"/>
      <c r="C220" s="754"/>
      <c r="D220" s="754"/>
      <c r="E220" s="754"/>
      <c r="F220" s="754"/>
    </row>
    <row r="221" ht="15.75" customHeight="1">
      <c r="B221" s="754"/>
      <c r="C221" s="754"/>
      <c r="D221" s="754"/>
      <c r="E221" s="754"/>
      <c r="F221" s="754"/>
    </row>
    <row r="222" ht="15.75" customHeight="1">
      <c r="B222" s="754"/>
      <c r="C222" s="754"/>
      <c r="D222" s="754"/>
      <c r="E222" s="754"/>
      <c r="F222" s="754"/>
    </row>
    <row r="223" ht="15.75" customHeight="1">
      <c r="B223" s="754"/>
      <c r="C223" s="754"/>
      <c r="D223" s="754"/>
      <c r="E223" s="754"/>
      <c r="F223" s="754"/>
    </row>
    <row r="224" ht="15.75" customHeight="1">
      <c r="B224" s="754"/>
      <c r="C224" s="754"/>
      <c r="D224" s="754"/>
      <c r="E224" s="754"/>
      <c r="F224" s="754"/>
    </row>
    <row r="225" ht="15.75" customHeight="1">
      <c r="B225" s="754"/>
      <c r="C225" s="754"/>
      <c r="D225" s="754"/>
      <c r="E225" s="754"/>
      <c r="F225" s="754"/>
    </row>
    <row r="226" ht="15.75" customHeight="1">
      <c r="B226" s="754"/>
      <c r="C226" s="754"/>
      <c r="D226" s="754"/>
      <c r="E226" s="754"/>
      <c r="F226" s="754"/>
    </row>
    <row r="227" ht="15.75" customHeight="1">
      <c r="B227" s="754"/>
      <c r="C227" s="754"/>
      <c r="D227" s="754"/>
      <c r="E227" s="754"/>
      <c r="F227" s="754"/>
    </row>
    <row r="228" ht="15.75" customHeight="1">
      <c r="B228" s="754"/>
      <c r="C228" s="754"/>
      <c r="D228" s="754"/>
      <c r="E228" s="754"/>
      <c r="F228" s="754"/>
    </row>
    <row r="229" ht="15.75" customHeight="1">
      <c r="B229" s="754"/>
      <c r="C229" s="754"/>
      <c r="D229" s="754"/>
      <c r="E229" s="754"/>
      <c r="F229" s="754"/>
    </row>
    <row r="230" ht="15.75" customHeight="1">
      <c r="B230" s="754"/>
      <c r="C230" s="754"/>
      <c r="D230" s="754"/>
      <c r="E230" s="754"/>
      <c r="F230" s="754"/>
    </row>
    <row r="231" ht="15.75" customHeight="1">
      <c r="B231" s="754"/>
      <c r="C231" s="754"/>
      <c r="D231" s="754"/>
      <c r="E231" s="754"/>
      <c r="F231" s="754"/>
    </row>
    <row r="232" ht="15.75" customHeight="1">
      <c r="B232" s="754"/>
      <c r="C232" s="754"/>
      <c r="D232" s="754"/>
      <c r="E232" s="754"/>
      <c r="F232" s="754"/>
    </row>
    <row r="233" ht="15.75" customHeight="1">
      <c r="B233" s="754"/>
      <c r="C233" s="754"/>
      <c r="D233" s="754"/>
      <c r="E233" s="754"/>
      <c r="F233" s="754"/>
    </row>
    <row r="234" ht="15.75" customHeight="1">
      <c r="B234" s="754"/>
      <c r="C234" s="754"/>
      <c r="D234" s="754"/>
      <c r="E234" s="754"/>
      <c r="F234" s="754"/>
    </row>
    <row r="235" ht="15.75" customHeight="1">
      <c r="B235" s="754"/>
      <c r="C235" s="754"/>
      <c r="D235" s="754"/>
      <c r="E235" s="754"/>
      <c r="F235" s="754"/>
    </row>
    <row r="236" ht="15.75" customHeight="1">
      <c r="B236" s="754"/>
      <c r="C236" s="754"/>
      <c r="D236" s="754"/>
      <c r="E236" s="754"/>
      <c r="F236" s="754"/>
    </row>
    <row r="237" ht="15.75" customHeight="1">
      <c r="B237" s="754"/>
      <c r="C237" s="754"/>
      <c r="D237" s="754"/>
      <c r="E237" s="754"/>
      <c r="F237" s="754"/>
    </row>
    <row r="238" ht="15.75" customHeight="1">
      <c r="B238" s="754"/>
      <c r="C238" s="754"/>
      <c r="D238" s="754"/>
      <c r="E238" s="754"/>
      <c r="F238" s="754"/>
    </row>
    <row r="239" ht="15.75" customHeight="1">
      <c r="B239" s="754"/>
      <c r="C239" s="754"/>
      <c r="D239" s="754"/>
      <c r="E239" s="754"/>
      <c r="F239" s="754"/>
    </row>
    <row r="240" ht="15.75" customHeight="1">
      <c r="B240" s="754"/>
      <c r="C240" s="754"/>
      <c r="D240" s="754"/>
      <c r="E240" s="754"/>
      <c r="F240" s="754"/>
    </row>
    <row r="241" ht="15.75" customHeight="1">
      <c r="B241" s="754"/>
      <c r="C241" s="754"/>
      <c r="D241" s="754"/>
      <c r="E241" s="754"/>
      <c r="F241" s="754"/>
    </row>
    <row r="242" ht="15.75" customHeight="1">
      <c r="B242" s="754"/>
      <c r="C242" s="754"/>
      <c r="D242" s="754"/>
      <c r="E242" s="754"/>
      <c r="F242" s="754"/>
    </row>
    <row r="243" ht="15.75" customHeight="1">
      <c r="B243" s="754"/>
      <c r="C243" s="754"/>
      <c r="D243" s="754"/>
      <c r="E243" s="754"/>
      <c r="F243" s="754"/>
    </row>
    <row r="244" ht="15.75" customHeight="1">
      <c r="B244" s="754"/>
      <c r="C244" s="754"/>
      <c r="D244" s="754"/>
      <c r="E244" s="754"/>
      <c r="F244" s="754"/>
    </row>
    <row r="245" ht="15.75" customHeight="1">
      <c r="B245" s="754"/>
      <c r="C245" s="754"/>
      <c r="D245" s="754"/>
      <c r="E245" s="754"/>
      <c r="F245" s="754"/>
    </row>
    <row r="246" ht="15.75" customHeight="1">
      <c r="B246" s="754"/>
      <c r="C246" s="754"/>
      <c r="D246" s="754"/>
      <c r="E246" s="754"/>
      <c r="F246" s="754"/>
    </row>
    <row r="247" ht="15.75" customHeight="1">
      <c r="B247" s="754"/>
      <c r="C247" s="754"/>
      <c r="D247" s="754"/>
      <c r="E247" s="754"/>
      <c r="F247" s="754"/>
    </row>
    <row r="248" ht="15.75" customHeight="1">
      <c r="B248" s="754"/>
      <c r="C248" s="754"/>
      <c r="D248" s="754"/>
      <c r="E248" s="754"/>
      <c r="F248" s="754"/>
    </row>
    <row r="249" ht="15.75" customHeight="1">
      <c r="B249" s="754"/>
      <c r="C249" s="754"/>
      <c r="D249" s="754"/>
      <c r="E249" s="754"/>
      <c r="F249" s="754"/>
    </row>
    <row r="250" ht="15.75" customHeight="1">
      <c r="B250" s="754"/>
      <c r="C250" s="754"/>
      <c r="D250" s="754"/>
      <c r="E250" s="754"/>
      <c r="F250" s="754"/>
    </row>
    <row r="251" ht="15.75" customHeight="1">
      <c r="B251" s="754"/>
      <c r="C251" s="754"/>
      <c r="D251" s="754"/>
      <c r="E251" s="754"/>
      <c r="F251" s="754"/>
    </row>
    <row r="252" ht="15.75" customHeight="1">
      <c r="B252" s="754"/>
      <c r="C252" s="754"/>
      <c r="D252" s="754"/>
      <c r="E252" s="754"/>
      <c r="F252" s="754"/>
    </row>
    <row r="253" ht="15.75" customHeight="1">
      <c r="B253" s="754"/>
      <c r="C253" s="754"/>
      <c r="D253" s="754"/>
      <c r="E253" s="754"/>
      <c r="F253" s="754"/>
    </row>
    <row r="254" ht="15.75" customHeight="1">
      <c r="B254" s="754"/>
      <c r="C254" s="754"/>
      <c r="D254" s="754"/>
      <c r="E254" s="754"/>
      <c r="F254" s="754"/>
    </row>
    <row r="255" ht="15.75" customHeight="1">
      <c r="B255" s="754"/>
      <c r="C255" s="754"/>
      <c r="D255" s="754"/>
      <c r="E255" s="754"/>
      <c r="F255" s="754"/>
    </row>
    <row r="256" ht="15.75" customHeight="1">
      <c r="B256" s="754"/>
      <c r="C256" s="754"/>
      <c r="D256" s="754"/>
      <c r="E256" s="754"/>
      <c r="F256" s="754"/>
    </row>
    <row r="257" ht="15.75" customHeight="1">
      <c r="B257" s="754"/>
      <c r="C257" s="754"/>
      <c r="D257" s="754"/>
      <c r="E257" s="754"/>
      <c r="F257" s="754"/>
    </row>
    <row r="258" ht="15.75" customHeight="1">
      <c r="B258" s="754"/>
      <c r="C258" s="754"/>
      <c r="D258" s="754"/>
      <c r="E258" s="754"/>
      <c r="F258" s="754"/>
    </row>
    <row r="259" ht="15.75" customHeight="1">
      <c r="B259" s="754"/>
      <c r="C259" s="754"/>
      <c r="D259" s="754"/>
      <c r="E259" s="754"/>
      <c r="F259" s="754"/>
    </row>
    <row r="260" ht="15.75" customHeight="1">
      <c r="B260" s="754"/>
      <c r="C260" s="754"/>
      <c r="D260" s="754"/>
      <c r="E260" s="754"/>
      <c r="F260" s="754"/>
    </row>
    <row r="261" ht="15.75" customHeight="1">
      <c r="B261" s="754"/>
      <c r="C261" s="754"/>
      <c r="D261" s="754"/>
      <c r="E261" s="754"/>
      <c r="F261" s="754"/>
    </row>
    <row r="262" ht="15.75" customHeight="1">
      <c r="B262" s="754"/>
      <c r="C262" s="754"/>
      <c r="D262" s="754"/>
      <c r="E262" s="754"/>
      <c r="F262" s="754"/>
    </row>
    <row r="263" ht="15.75" customHeight="1">
      <c r="B263" s="754"/>
      <c r="C263" s="754"/>
      <c r="D263" s="754"/>
      <c r="E263" s="754"/>
      <c r="F263" s="754"/>
    </row>
    <row r="264" ht="15.75" customHeight="1">
      <c r="B264" s="754"/>
      <c r="C264" s="754"/>
      <c r="D264" s="754"/>
      <c r="E264" s="754"/>
      <c r="F264" s="754"/>
    </row>
    <row r="265" ht="15.75" customHeight="1">
      <c r="B265" s="754"/>
      <c r="C265" s="754"/>
      <c r="D265" s="754"/>
      <c r="E265" s="754"/>
      <c r="F265" s="754"/>
    </row>
    <row r="266" ht="15.75" customHeight="1">
      <c r="B266" s="754"/>
      <c r="C266" s="754"/>
      <c r="D266" s="754"/>
      <c r="E266" s="754"/>
      <c r="F266" s="754"/>
    </row>
    <row r="267" ht="15.75" customHeight="1">
      <c r="B267" s="754"/>
      <c r="C267" s="754"/>
      <c r="D267" s="754"/>
      <c r="E267" s="754"/>
      <c r="F267" s="754"/>
    </row>
    <row r="268" ht="15.75" customHeight="1">
      <c r="B268" s="754"/>
      <c r="C268" s="754"/>
      <c r="D268" s="754"/>
      <c r="E268" s="754"/>
      <c r="F268" s="754"/>
    </row>
    <row r="269" ht="15.75" customHeight="1">
      <c r="B269" s="754"/>
      <c r="C269" s="754"/>
      <c r="D269" s="754"/>
      <c r="E269" s="754"/>
      <c r="F269" s="754"/>
    </row>
    <row r="270" ht="15.75" customHeight="1">
      <c r="B270" s="754"/>
      <c r="C270" s="754"/>
      <c r="D270" s="754"/>
      <c r="E270" s="754"/>
      <c r="F270" s="754"/>
    </row>
    <row r="271" ht="15.75" customHeight="1">
      <c r="B271" s="754"/>
      <c r="C271" s="754"/>
      <c r="D271" s="754"/>
      <c r="E271" s="754"/>
      <c r="F271" s="754"/>
    </row>
    <row r="272" ht="15.75" customHeight="1">
      <c r="B272" s="754"/>
      <c r="C272" s="754"/>
      <c r="D272" s="754"/>
      <c r="E272" s="754"/>
      <c r="F272" s="754"/>
    </row>
    <row r="273" ht="15.75" customHeight="1">
      <c r="B273" s="754"/>
      <c r="C273" s="754"/>
      <c r="D273" s="754"/>
      <c r="E273" s="754"/>
      <c r="F273" s="754"/>
    </row>
    <row r="274" ht="15.75" customHeight="1">
      <c r="B274" s="754"/>
      <c r="C274" s="754"/>
      <c r="D274" s="754"/>
      <c r="E274" s="754"/>
      <c r="F274" s="754"/>
    </row>
    <row r="275" ht="15.75" customHeight="1">
      <c r="B275" s="754"/>
      <c r="C275" s="754"/>
      <c r="D275" s="754"/>
      <c r="E275" s="754"/>
      <c r="F275" s="754"/>
    </row>
    <row r="276" ht="15.75" customHeight="1">
      <c r="B276" s="754"/>
      <c r="C276" s="754"/>
      <c r="D276" s="754"/>
      <c r="E276" s="754"/>
      <c r="F276" s="754"/>
    </row>
    <row r="277" ht="15.75" customHeight="1">
      <c r="B277" s="754"/>
      <c r="C277" s="754"/>
      <c r="D277" s="754"/>
      <c r="E277" s="754"/>
      <c r="F277" s="754"/>
    </row>
    <row r="278" ht="15.75" customHeight="1">
      <c r="B278" s="754"/>
      <c r="C278" s="754"/>
      <c r="D278" s="754"/>
      <c r="E278" s="754"/>
      <c r="F278" s="754"/>
    </row>
    <row r="279" ht="15.75" customHeight="1">
      <c r="B279" s="754"/>
      <c r="C279" s="754"/>
      <c r="D279" s="754"/>
      <c r="E279" s="754"/>
      <c r="F279" s="754"/>
    </row>
    <row r="280" ht="15.75" customHeight="1">
      <c r="B280" s="754"/>
      <c r="C280" s="754"/>
      <c r="D280" s="754"/>
      <c r="E280" s="754"/>
      <c r="F280" s="754"/>
    </row>
    <row r="281" ht="15.75" customHeight="1">
      <c r="B281" s="754"/>
      <c r="C281" s="754"/>
      <c r="D281" s="754"/>
      <c r="E281" s="754"/>
      <c r="F281" s="754"/>
    </row>
    <row r="282" ht="15.75" customHeight="1">
      <c r="B282" s="754"/>
      <c r="C282" s="754"/>
      <c r="D282" s="754"/>
      <c r="E282" s="754"/>
      <c r="F282" s="754"/>
    </row>
    <row r="283" ht="15.75" customHeight="1">
      <c r="B283" s="754"/>
      <c r="C283" s="754"/>
      <c r="D283" s="754"/>
      <c r="E283" s="754"/>
      <c r="F283" s="754"/>
    </row>
    <row r="284" ht="15.75" customHeight="1">
      <c r="B284" s="754"/>
      <c r="C284" s="754"/>
      <c r="D284" s="754"/>
      <c r="E284" s="754"/>
      <c r="F284" s="754"/>
    </row>
    <row r="285" ht="15.75" customHeight="1">
      <c r="B285" s="754"/>
      <c r="C285" s="754"/>
      <c r="D285" s="754"/>
      <c r="E285" s="754"/>
      <c r="F285" s="754"/>
    </row>
    <row r="286" ht="15.75" customHeight="1">
      <c r="B286" s="754"/>
      <c r="C286" s="754"/>
      <c r="D286" s="754"/>
      <c r="E286" s="754"/>
      <c r="F286" s="754"/>
    </row>
    <row r="287" ht="15.75" customHeight="1">
      <c r="B287" s="754"/>
      <c r="C287" s="754"/>
      <c r="D287" s="754"/>
      <c r="E287" s="754"/>
      <c r="F287" s="754"/>
    </row>
    <row r="288" ht="15.75" customHeight="1">
      <c r="B288" s="754"/>
      <c r="C288" s="754"/>
      <c r="D288" s="754"/>
      <c r="E288" s="754"/>
      <c r="F288" s="754"/>
    </row>
    <row r="289" ht="15.75" customHeight="1">
      <c r="B289" s="754"/>
      <c r="C289" s="754"/>
      <c r="D289" s="754"/>
      <c r="E289" s="754"/>
      <c r="F289" s="754"/>
    </row>
    <row r="290" ht="15.75" customHeight="1">
      <c r="B290" s="754"/>
      <c r="C290" s="754"/>
      <c r="D290" s="754"/>
      <c r="E290" s="754"/>
      <c r="F290" s="754"/>
    </row>
    <row r="291" ht="15.75" customHeight="1">
      <c r="B291" s="754"/>
      <c r="C291" s="754"/>
      <c r="D291" s="754"/>
      <c r="E291" s="754"/>
      <c r="F291" s="754"/>
    </row>
    <row r="292" ht="15.75" customHeight="1">
      <c r="B292" s="754"/>
      <c r="C292" s="754"/>
      <c r="D292" s="754"/>
      <c r="E292" s="754"/>
      <c r="F292" s="754"/>
    </row>
    <row r="293" ht="15.75" customHeight="1">
      <c r="B293" s="754"/>
      <c r="C293" s="754"/>
      <c r="D293" s="754"/>
      <c r="E293" s="754"/>
      <c r="F293" s="754"/>
    </row>
    <row r="294" ht="15.75" customHeight="1">
      <c r="B294" s="754"/>
      <c r="C294" s="754"/>
      <c r="D294" s="754"/>
      <c r="E294" s="754"/>
      <c r="F294" s="754"/>
    </row>
    <row r="295" ht="15.75" customHeight="1">
      <c r="B295" s="754"/>
      <c r="C295" s="754"/>
      <c r="D295" s="754"/>
      <c r="E295" s="754"/>
      <c r="F295" s="754"/>
    </row>
    <row r="296" ht="15.75" customHeight="1">
      <c r="B296" s="754"/>
      <c r="C296" s="754"/>
      <c r="D296" s="754"/>
      <c r="E296" s="754"/>
      <c r="F296" s="754"/>
    </row>
    <row r="297" ht="15.75" customHeight="1">
      <c r="B297" s="754"/>
      <c r="C297" s="754"/>
      <c r="D297" s="754"/>
      <c r="E297" s="754"/>
      <c r="F297" s="754"/>
    </row>
    <row r="298" ht="15.75" customHeight="1">
      <c r="B298" s="754"/>
      <c r="C298" s="754"/>
      <c r="D298" s="754"/>
      <c r="E298" s="754"/>
      <c r="F298" s="754"/>
    </row>
    <row r="299" ht="15.75" customHeight="1">
      <c r="B299" s="754"/>
      <c r="C299" s="754"/>
      <c r="D299" s="754"/>
      <c r="E299" s="754"/>
      <c r="F299" s="754"/>
    </row>
    <row r="300" ht="15.75" customHeight="1">
      <c r="B300" s="754"/>
      <c r="C300" s="754"/>
      <c r="D300" s="754"/>
      <c r="E300" s="754"/>
      <c r="F300" s="754"/>
    </row>
    <row r="301" ht="15.75" customHeight="1">
      <c r="B301" s="754"/>
      <c r="C301" s="754"/>
      <c r="D301" s="754"/>
      <c r="E301" s="754"/>
      <c r="F301" s="754"/>
    </row>
    <row r="302" ht="15.75" customHeight="1">
      <c r="B302" s="754"/>
      <c r="C302" s="754"/>
      <c r="D302" s="754"/>
      <c r="E302" s="754"/>
      <c r="F302" s="754"/>
    </row>
    <row r="303" ht="15.75" customHeight="1">
      <c r="B303" s="754"/>
      <c r="C303" s="754"/>
      <c r="D303" s="754"/>
      <c r="E303" s="754"/>
      <c r="F303" s="754"/>
    </row>
    <row r="304" ht="15.75" customHeight="1">
      <c r="B304" s="754"/>
      <c r="C304" s="754"/>
      <c r="D304" s="754"/>
      <c r="E304" s="754"/>
      <c r="F304" s="754"/>
    </row>
    <row r="305" ht="15.75" customHeight="1">
      <c r="B305" s="754"/>
      <c r="C305" s="754"/>
      <c r="D305" s="754"/>
      <c r="E305" s="754"/>
      <c r="F305" s="754"/>
    </row>
    <row r="306" ht="15.75" customHeight="1">
      <c r="B306" s="754"/>
      <c r="C306" s="754"/>
      <c r="D306" s="754"/>
      <c r="E306" s="754"/>
      <c r="F306" s="754"/>
    </row>
    <row r="307" ht="15.75" customHeight="1">
      <c r="B307" s="754"/>
      <c r="C307" s="754"/>
      <c r="D307" s="754"/>
      <c r="E307" s="754"/>
      <c r="F307" s="754"/>
    </row>
    <row r="308" ht="15.75" customHeight="1">
      <c r="B308" s="754"/>
      <c r="C308" s="754"/>
      <c r="D308" s="754"/>
      <c r="E308" s="754"/>
      <c r="F308" s="754"/>
    </row>
    <row r="309" ht="15.75" customHeight="1">
      <c r="B309" s="754"/>
      <c r="C309" s="754"/>
      <c r="D309" s="754"/>
      <c r="E309" s="754"/>
      <c r="F309" s="754"/>
    </row>
    <row r="310" ht="15.75" customHeight="1">
      <c r="B310" s="754"/>
      <c r="C310" s="754"/>
      <c r="D310" s="754"/>
      <c r="E310" s="754"/>
      <c r="F310" s="754"/>
    </row>
    <row r="311" ht="15.75" customHeight="1">
      <c r="B311" s="754"/>
      <c r="C311" s="754"/>
      <c r="D311" s="754"/>
      <c r="E311" s="754"/>
      <c r="F311" s="754"/>
    </row>
    <row r="312" ht="15.75" customHeight="1">
      <c r="B312" s="754"/>
      <c r="C312" s="754"/>
      <c r="D312" s="754"/>
      <c r="E312" s="754"/>
      <c r="F312" s="754"/>
    </row>
    <row r="313" ht="15.75" customHeight="1">
      <c r="B313" s="754"/>
      <c r="C313" s="754"/>
      <c r="D313" s="754"/>
      <c r="E313" s="754"/>
      <c r="F313" s="754"/>
    </row>
    <row r="314" ht="15.75" customHeight="1">
      <c r="B314" s="754"/>
      <c r="C314" s="754"/>
      <c r="D314" s="754"/>
      <c r="E314" s="754"/>
      <c r="F314" s="754"/>
    </row>
    <row r="315" ht="15.75" customHeight="1">
      <c r="B315" s="754"/>
      <c r="C315" s="754"/>
      <c r="D315" s="754"/>
      <c r="E315" s="754"/>
      <c r="F315" s="754"/>
    </row>
    <row r="316" ht="15.75" customHeight="1">
      <c r="B316" s="754"/>
      <c r="C316" s="754"/>
      <c r="D316" s="754"/>
      <c r="E316" s="754"/>
      <c r="F316" s="754"/>
    </row>
    <row r="317" ht="15.75" customHeight="1">
      <c r="B317" s="754"/>
      <c r="C317" s="754"/>
      <c r="D317" s="754"/>
      <c r="E317" s="754"/>
      <c r="F317" s="754"/>
    </row>
    <row r="318" ht="15.75" customHeight="1">
      <c r="B318" s="754"/>
      <c r="C318" s="754"/>
      <c r="D318" s="754"/>
      <c r="E318" s="754"/>
      <c r="F318" s="754"/>
    </row>
    <row r="319" ht="15.75" customHeight="1">
      <c r="B319" s="754"/>
      <c r="C319" s="754"/>
      <c r="D319" s="754"/>
      <c r="E319" s="754"/>
      <c r="F319" s="754"/>
    </row>
    <row r="320" ht="15.75" customHeight="1">
      <c r="B320" s="754"/>
      <c r="C320" s="754"/>
      <c r="D320" s="754"/>
      <c r="E320" s="754"/>
      <c r="F320" s="754"/>
    </row>
    <row r="321" ht="15.75" customHeight="1">
      <c r="B321" s="754"/>
      <c r="C321" s="754"/>
      <c r="D321" s="754"/>
      <c r="E321" s="754"/>
      <c r="F321" s="754"/>
    </row>
    <row r="322" ht="15.75" customHeight="1">
      <c r="B322" s="754"/>
      <c r="C322" s="754"/>
      <c r="D322" s="754"/>
      <c r="E322" s="754"/>
      <c r="F322" s="754"/>
    </row>
    <row r="323" ht="15.75" customHeight="1">
      <c r="B323" s="754"/>
      <c r="C323" s="754"/>
      <c r="D323" s="754"/>
      <c r="E323" s="754"/>
      <c r="F323" s="754"/>
    </row>
    <row r="324" ht="15.75" customHeight="1">
      <c r="B324" s="754"/>
      <c r="C324" s="754"/>
      <c r="D324" s="754"/>
      <c r="E324" s="754"/>
      <c r="F324" s="754"/>
    </row>
    <row r="325" ht="15.75" customHeight="1">
      <c r="B325" s="754"/>
      <c r="C325" s="754"/>
      <c r="D325" s="754"/>
      <c r="E325" s="754"/>
      <c r="F325" s="754"/>
    </row>
    <row r="326" ht="15.75" customHeight="1">
      <c r="B326" s="754"/>
      <c r="C326" s="754"/>
      <c r="D326" s="754"/>
      <c r="E326" s="754"/>
      <c r="F326" s="754"/>
    </row>
    <row r="327" ht="15.75" customHeight="1">
      <c r="B327" s="754"/>
      <c r="C327" s="754"/>
      <c r="D327" s="754"/>
      <c r="E327" s="754"/>
      <c r="F327" s="75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58" t="s">
        <v>6067</v>
      </c>
      <c r="B1" s="759" t="s">
        <v>6239</v>
      </c>
      <c r="C1" s="758" t="s">
        <v>4</v>
      </c>
      <c r="D1" s="758" t="s">
        <v>6</v>
      </c>
      <c r="E1" s="760"/>
      <c r="F1" s="760" t="s">
        <v>89</v>
      </c>
      <c r="G1" s="760" t="s">
        <v>6240</v>
      </c>
      <c r="H1" s="760" t="s">
        <v>92</v>
      </c>
      <c r="I1" s="760" t="s">
        <v>6241</v>
      </c>
      <c r="J1" s="760" t="s">
        <v>94</v>
      </c>
      <c r="K1" s="760" t="s">
        <v>2546</v>
      </c>
      <c r="L1" s="760"/>
      <c r="M1" s="760" t="s">
        <v>3624</v>
      </c>
      <c r="N1" s="760" t="s">
        <v>3625</v>
      </c>
      <c r="O1" s="760" t="s">
        <v>3627</v>
      </c>
      <c r="P1" s="760" t="s">
        <v>3629</v>
      </c>
      <c r="Q1" s="760" t="s">
        <v>6242</v>
      </c>
      <c r="R1" s="760" t="s">
        <v>6243</v>
      </c>
    </row>
    <row r="2" ht="15.75" customHeight="1">
      <c r="A2" s="473" t="s">
        <v>4107</v>
      </c>
      <c r="B2" s="737">
        <v>5490529.0</v>
      </c>
      <c r="C2" s="737" t="s">
        <v>2550</v>
      </c>
      <c r="D2" s="737" t="s">
        <v>2550</v>
      </c>
      <c r="E2" s="737" t="str">
        <f>IFERROR(VLOOKUP(D2,'Cadastro de assessores'!A:B,2,FALSE),"Não Cadastrado")</f>
        <v>18986</v>
      </c>
      <c r="F2" s="761" t="s">
        <v>107</v>
      </c>
      <c r="G2" s="761" t="s">
        <v>6244</v>
      </c>
      <c r="H2" s="762">
        <v>44222.0</v>
      </c>
      <c r="I2" s="737" t="s">
        <v>6245</v>
      </c>
      <c r="J2" s="742">
        <v>0.02</v>
      </c>
      <c r="K2" s="763" t="s">
        <v>2580</v>
      </c>
      <c r="L2" s="764" t="s">
        <v>29</v>
      </c>
      <c r="M2" s="764">
        <v>124054.43</v>
      </c>
      <c r="N2" s="764">
        <v>115021.75</v>
      </c>
      <c r="O2" s="764">
        <v>124854.25</v>
      </c>
      <c r="P2" s="764">
        <v>124900.58</v>
      </c>
      <c r="Q2" s="764">
        <v>129858.96</v>
      </c>
      <c r="R2" s="765">
        <v>131958.1</v>
      </c>
    </row>
    <row r="3" ht="15.75" customHeight="1">
      <c r="A3" s="473" t="s">
        <v>4973</v>
      </c>
      <c r="B3" s="737">
        <v>1759765.0</v>
      </c>
      <c r="C3" s="737" t="s">
        <v>18</v>
      </c>
      <c r="D3" s="737" t="s">
        <v>3666</v>
      </c>
      <c r="E3" s="737" t="str">
        <f>IFERROR(VLOOKUP(D3,'Cadastro de assessores'!A:B,2,FALSE),"Não Cadastrado")</f>
        <v>14739</v>
      </c>
      <c r="F3" s="761" t="s">
        <v>107</v>
      </c>
      <c r="G3" s="761" t="s">
        <v>6244</v>
      </c>
      <c r="H3" s="762">
        <v>44321.0</v>
      </c>
      <c r="I3" s="737" t="s">
        <v>63</v>
      </c>
      <c r="J3" s="742">
        <v>0.012</v>
      </c>
      <c r="K3" s="763" t="s">
        <v>3884</v>
      </c>
      <c r="L3" s="764" t="s">
        <v>29</v>
      </c>
      <c r="M3" s="764"/>
      <c r="N3" s="764"/>
      <c r="O3" s="764"/>
      <c r="P3" s="764"/>
      <c r="Q3" s="764">
        <v>271738.86</v>
      </c>
      <c r="R3" s="764">
        <v>279151.86</v>
      </c>
    </row>
    <row r="4" ht="15.75" customHeight="1">
      <c r="B4" s="75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66" t="s">
        <v>6</v>
      </c>
      <c r="B1" s="767" t="s">
        <v>6246</v>
      </c>
      <c r="C1" s="766" t="s">
        <v>89</v>
      </c>
      <c r="D1" s="768"/>
      <c r="E1" s="768"/>
      <c r="F1" s="768"/>
      <c r="G1" s="768"/>
      <c r="H1" s="768"/>
      <c r="I1" s="768"/>
      <c r="J1" s="768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</row>
    <row r="2" ht="15.75" customHeight="1">
      <c r="A2" s="769" t="s">
        <v>3827</v>
      </c>
      <c r="B2" s="767" t="s">
        <v>6247</v>
      </c>
      <c r="C2" s="766" t="str">
        <f>IFERROR(__xludf.DUMMYFUNCTION("IF(COUNTA(filter(B:B,B:B=B2))=1,""Regular"",""Conta Repetida"")"),"Regular")</f>
        <v>Regular</v>
      </c>
      <c r="D2" s="768"/>
      <c r="E2" s="768"/>
      <c r="F2" s="745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</row>
    <row r="3" ht="15.75" customHeight="1">
      <c r="A3" s="766" t="s">
        <v>5266</v>
      </c>
      <c r="B3" s="767" t="s">
        <v>6248</v>
      </c>
      <c r="C3" s="766" t="str">
        <f>IFERROR(__xludf.DUMMYFUNCTION("IF(COUNTA(filter(B:B,B:B=B3))=1,""Regular"",""Conta Repetida"")"),"Regular")</f>
        <v>Regular</v>
      </c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</row>
    <row r="4" ht="15.75" customHeight="1">
      <c r="A4" s="766" t="s">
        <v>4146</v>
      </c>
      <c r="B4" s="767" t="s">
        <v>6249</v>
      </c>
      <c r="C4" s="766" t="str">
        <f>IFERROR(__xludf.DUMMYFUNCTION("IF(COUNTA(filter(B:B,B:B=B4))=1,""Regular"",""Conta Repetida"")"),"Regular")</f>
        <v>Regular</v>
      </c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</row>
    <row r="5" ht="15.75" customHeight="1">
      <c r="A5" s="766" t="s">
        <v>2213</v>
      </c>
      <c r="B5" s="767" t="s">
        <v>6250</v>
      </c>
      <c r="C5" s="766" t="str">
        <f>IFERROR(__xludf.DUMMYFUNCTION("IF(COUNTA(filter(B:B,B:B=B5))=1,""Regular"",""Conta Repetida"")"),"Regular")</f>
        <v>Regular</v>
      </c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</row>
    <row r="6" ht="15.75" customHeight="1">
      <c r="A6" s="766" t="s">
        <v>3708</v>
      </c>
      <c r="B6" s="767" t="s">
        <v>6251</v>
      </c>
      <c r="C6" s="766" t="str">
        <f>IFERROR(__xludf.DUMMYFUNCTION("IF(COUNTA(filter(B:B,B:B=B6))=1,""Regular"",""Conta Repetida"")"),"Regular")</f>
        <v>Regular</v>
      </c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</row>
    <row r="7" ht="15.75" customHeight="1">
      <c r="A7" s="766" t="s">
        <v>3660</v>
      </c>
      <c r="B7" s="767" t="s">
        <v>6252</v>
      </c>
      <c r="C7" s="766" t="str">
        <f>IFERROR(__xludf.DUMMYFUNCTION("IF(COUNTA(filter(B:B,B:B=B7))=1,""Regular"",""Conta Repetida"")"),"Regular")</f>
        <v>Regular</v>
      </c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</row>
    <row r="8" ht="15.75" customHeight="1">
      <c r="A8" s="766" t="s">
        <v>6253</v>
      </c>
      <c r="B8" s="767" t="s">
        <v>6254</v>
      </c>
      <c r="C8" s="766" t="str">
        <f>IFERROR(__xludf.DUMMYFUNCTION("IF(COUNTA(filter(B:B,B:B=B8))=1,""Regular"",""Conta Repetida"")"),"Regular")</f>
        <v>Regular</v>
      </c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</row>
    <row r="9" ht="15.75" customHeight="1">
      <c r="A9" s="766" t="s">
        <v>3873</v>
      </c>
      <c r="B9" s="767" t="s">
        <v>6255</v>
      </c>
      <c r="C9" s="766" t="str">
        <f>IFERROR(__xludf.DUMMYFUNCTION("IF(COUNTA(filter(B:B,B:B=B9))=1,""Regular"",""Conta Repetida"")"),"Regular")</f>
        <v>Regular</v>
      </c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</row>
    <row r="10" ht="15.75" customHeight="1">
      <c r="A10" s="766" t="s">
        <v>3878</v>
      </c>
      <c r="B10" s="767" t="s">
        <v>6256</v>
      </c>
      <c r="C10" s="766" t="str">
        <f>IFERROR(__xludf.DUMMYFUNCTION("IF(COUNTA(filter(B:B,B:B=B10))=1,""Regular"",""Conta Repetida"")"),"Regular")</f>
        <v>Regular</v>
      </c>
      <c r="D10" s="768"/>
      <c r="E10" s="768"/>
      <c r="F10" s="768"/>
      <c r="G10" s="768"/>
      <c r="H10" s="768"/>
      <c r="I10" s="768"/>
      <c r="J10" s="768"/>
      <c r="K10" s="768"/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</row>
    <row r="11" ht="15.75" customHeight="1">
      <c r="A11" s="766" t="s">
        <v>2550</v>
      </c>
      <c r="B11" s="767" t="s">
        <v>6257</v>
      </c>
      <c r="C11" s="766" t="str">
        <f>IFERROR(__xludf.DUMMYFUNCTION("IF(COUNTA(filter(B:B,B:B=B11))=1,""Regular"",""Conta Repetida"")"),"Regular")</f>
        <v>Regular</v>
      </c>
      <c r="D11" s="768"/>
      <c r="E11" s="768"/>
      <c r="F11" s="768"/>
      <c r="G11" s="768"/>
      <c r="H11" s="768"/>
      <c r="I11" s="768"/>
      <c r="J11" s="768"/>
      <c r="K11" s="768"/>
      <c r="L11" s="768"/>
      <c r="M11" s="768"/>
      <c r="N11" s="768"/>
      <c r="O11" s="768"/>
      <c r="P11" s="768"/>
      <c r="Q11" s="768"/>
      <c r="R11" s="768"/>
      <c r="S11" s="768"/>
      <c r="T11" s="768"/>
      <c r="U11" s="768"/>
      <c r="V11" s="768"/>
      <c r="W11" s="768"/>
    </row>
    <row r="12" ht="15.75" customHeight="1">
      <c r="A12" s="766" t="s">
        <v>5313</v>
      </c>
      <c r="B12" s="767" t="s">
        <v>6258</v>
      </c>
      <c r="C12" s="766" t="str">
        <f>IFERROR(__xludf.DUMMYFUNCTION("IF(COUNTA(filter(B:B,B:B=B12))=1,""Regular"",""Conta Repetida"")"),"Regular")</f>
        <v>Regular</v>
      </c>
      <c r="D12" s="768"/>
      <c r="E12" s="768"/>
      <c r="F12" s="768"/>
      <c r="G12" s="768"/>
      <c r="H12" s="768"/>
      <c r="I12" s="768"/>
      <c r="J12" s="768"/>
      <c r="K12" s="768"/>
      <c r="L12" s="768"/>
      <c r="M12" s="768"/>
      <c r="N12" s="768"/>
      <c r="O12" s="768"/>
      <c r="P12" s="768"/>
      <c r="Q12" s="768"/>
      <c r="R12" s="768"/>
      <c r="S12" s="768"/>
      <c r="T12" s="768"/>
      <c r="U12" s="768"/>
      <c r="V12" s="768"/>
      <c r="W12" s="768"/>
    </row>
    <row r="13" ht="15.75" customHeight="1">
      <c r="A13" s="766" t="s">
        <v>3897</v>
      </c>
      <c r="B13" s="767" t="s">
        <v>6259</v>
      </c>
      <c r="C13" s="766" t="str">
        <f>IFERROR(__xludf.DUMMYFUNCTION("IF(COUNTA(filter(B:B,B:B=B13))=1,""Regular"",""Conta Repetida"")"),"Regular")</f>
        <v>Regular</v>
      </c>
      <c r="D13" s="768"/>
      <c r="E13" s="768"/>
      <c r="F13" s="768"/>
      <c r="G13" s="768"/>
      <c r="H13" s="768"/>
      <c r="I13" s="768"/>
      <c r="J13" s="768"/>
      <c r="K13" s="768"/>
      <c r="L13" s="768"/>
      <c r="M13" s="768"/>
      <c r="N13" s="768"/>
      <c r="O13" s="768"/>
      <c r="P13" s="768"/>
      <c r="Q13" s="768"/>
      <c r="R13" s="768"/>
      <c r="S13" s="768"/>
      <c r="T13" s="768"/>
      <c r="U13" s="768"/>
      <c r="V13" s="768"/>
      <c r="W13" s="768"/>
    </row>
    <row r="14" ht="15.75" customHeight="1">
      <c r="A14" s="766" t="s">
        <v>6260</v>
      </c>
      <c r="B14" s="767" t="s">
        <v>6261</v>
      </c>
      <c r="C14" s="766" t="str">
        <f>IFERROR(__xludf.DUMMYFUNCTION("IF(COUNTA(filter(B:B,B:B=B14))=1,""Regular"",""Conta Repetida"")"),"Regular")</f>
        <v>Regular</v>
      </c>
      <c r="D14" s="768"/>
      <c r="E14" s="768"/>
      <c r="F14" s="768"/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  <c r="W14" s="768"/>
    </row>
    <row r="15" ht="15.75" customHeight="1">
      <c r="A15" s="766" t="s">
        <v>373</v>
      </c>
      <c r="B15" s="767" t="s">
        <v>6262</v>
      </c>
      <c r="C15" s="766" t="str">
        <f>IFERROR(__xludf.DUMMYFUNCTION("IF(COUNTA(filter(B:B,B:B=B15))=1,""Regular"",""Conta Repetida"")"),"Regular")</f>
        <v>Regular</v>
      </c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</row>
    <row r="16" ht="15.75" customHeight="1">
      <c r="A16" s="766" t="s">
        <v>5215</v>
      </c>
      <c r="B16" s="767" t="s">
        <v>6263</v>
      </c>
      <c r="C16" s="766" t="str">
        <f>IFERROR(__xludf.DUMMYFUNCTION("IF(COUNTA(filter(B:B,B:B=B16))=1,""Regular"",""Conta Repetida"")"),"Regular")</f>
        <v>Regular</v>
      </c>
      <c r="D16" s="768"/>
      <c r="E16" s="768"/>
      <c r="F16" s="768"/>
      <c r="G16" s="768"/>
      <c r="H16" s="768"/>
      <c r="I16" s="768"/>
      <c r="J16" s="768"/>
      <c r="K16" s="768"/>
      <c r="L16" s="768"/>
      <c r="M16" s="768"/>
      <c r="N16" s="768"/>
      <c r="O16" s="768"/>
      <c r="P16" s="768"/>
      <c r="Q16" s="768"/>
      <c r="R16" s="768"/>
      <c r="S16" s="768"/>
      <c r="T16" s="768"/>
      <c r="U16" s="768"/>
      <c r="V16" s="768"/>
      <c r="W16" s="768"/>
    </row>
    <row r="17" ht="15.75" customHeight="1">
      <c r="A17" s="766" t="s">
        <v>3914</v>
      </c>
      <c r="B17" s="767" t="s">
        <v>6264</v>
      </c>
      <c r="C17" s="766" t="str">
        <f>IFERROR(__xludf.DUMMYFUNCTION("IF(COUNTA(filter(B:B,B:B=B17))=1,""Regular"",""Conta Repetida"")"),"Regular")</f>
        <v>Regular</v>
      </c>
      <c r="D17" s="768"/>
      <c r="E17" s="768"/>
      <c r="F17" s="768"/>
      <c r="G17" s="768"/>
      <c r="H17" s="768"/>
      <c r="I17" s="768"/>
      <c r="J17" s="768"/>
      <c r="K17" s="768"/>
      <c r="L17" s="768"/>
      <c r="M17" s="768"/>
      <c r="N17" s="768"/>
      <c r="O17" s="768"/>
      <c r="P17" s="768"/>
      <c r="Q17" s="768"/>
      <c r="R17" s="768"/>
      <c r="S17" s="768"/>
      <c r="T17" s="768"/>
      <c r="U17" s="768"/>
      <c r="V17" s="768"/>
      <c r="W17" s="768"/>
    </row>
    <row r="18" ht="15.75" customHeight="1">
      <c r="A18" s="766" t="s">
        <v>213</v>
      </c>
      <c r="B18" s="767" t="s">
        <v>5054</v>
      </c>
      <c r="C18" s="766" t="str">
        <f>IFERROR(__xludf.DUMMYFUNCTION("IF(COUNTA(filter(B:B,B:B=B18))=1,""Regular"",""Conta Repetida"")"),"Regular")</f>
        <v>Regular</v>
      </c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</row>
    <row r="19" ht="15.75" customHeight="1">
      <c r="A19" s="766" t="s">
        <v>704</v>
      </c>
      <c r="B19" s="767" t="s">
        <v>6265</v>
      </c>
      <c r="C19" s="766" t="str">
        <f>IFERROR(__xludf.DUMMYFUNCTION("IF(COUNTA(filter(B:B,B:B=B19))=1,""Regular"",""Conta Repetida"")"),"Regular")</f>
        <v>Regular</v>
      </c>
      <c r="D19" s="768"/>
      <c r="E19" s="768"/>
      <c r="F19" s="768"/>
      <c r="G19" s="768"/>
      <c r="H19" s="768"/>
      <c r="I19" s="768"/>
      <c r="J19" s="768"/>
      <c r="K19" s="768"/>
      <c r="L19" s="768"/>
      <c r="M19" s="768"/>
      <c r="N19" s="768"/>
      <c r="O19" s="768"/>
      <c r="P19" s="768"/>
      <c r="Q19" s="768"/>
      <c r="R19" s="768"/>
      <c r="S19" s="768"/>
      <c r="T19" s="768"/>
      <c r="U19" s="768"/>
      <c r="V19" s="768"/>
      <c r="W19" s="768"/>
    </row>
    <row r="20" ht="15.75" customHeight="1">
      <c r="A20" s="766" t="s">
        <v>6266</v>
      </c>
      <c r="B20" s="767" t="s">
        <v>6267</v>
      </c>
      <c r="C20" s="766" t="str">
        <f>IFERROR(__xludf.DUMMYFUNCTION("IF(COUNTA(filter(B:B,B:B=B20))=1,""Regular"",""Conta Repetida"")"),"Regular")</f>
        <v>Regular</v>
      </c>
      <c r="D20" s="768"/>
      <c r="E20" s="768"/>
      <c r="F20" s="768"/>
      <c r="G20" s="768"/>
      <c r="H20" s="768"/>
      <c r="I20" s="768"/>
      <c r="J20" s="768"/>
      <c r="K20" s="768"/>
      <c r="L20" s="768"/>
      <c r="M20" s="768"/>
      <c r="N20" s="768"/>
      <c r="O20" s="768"/>
      <c r="P20" s="768"/>
      <c r="Q20" s="768"/>
      <c r="R20" s="768"/>
      <c r="S20" s="768"/>
      <c r="T20" s="768"/>
      <c r="U20" s="768"/>
      <c r="V20" s="768"/>
      <c r="W20" s="768"/>
    </row>
    <row r="21" ht="15.75" customHeight="1">
      <c r="A21" s="766" t="s">
        <v>3973</v>
      </c>
      <c r="B21" s="767" t="s">
        <v>6268</v>
      </c>
      <c r="C21" s="766" t="str">
        <f>IFERROR(__xludf.DUMMYFUNCTION("IF(COUNTA(filter(B:B,B:B=B21))=1,""Regular"",""Conta Repetida"")"),"Regular")</f>
        <v>Regular</v>
      </c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</row>
    <row r="22" ht="15.75" customHeight="1">
      <c r="A22" s="766" t="s">
        <v>2551</v>
      </c>
      <c r="B22" s="767" t="s">
        <v>6269</v>
      </c>
      <c r="C22" s="766" t="str">
        <f>IFERROR(__xludf.DUMMYFUNCTION("IF(COUNTA(filter(B:B,B:B=B22))=1,""Regular"",""Conta Repetida"")"),"Regular")</f>
        <v>Regular</v>
      </c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</row>
    <row r="23" ht="15.75" customHeight="1">
      <c r="A23" s="766" t="s">
        <v>3993</v>
      </c>
      <c r="B23" s="767" t="s">
        <v>6270</v>
      </c>
      <c r="C23" s="766" t="str">
        <f>IFERROR(__xludf.DUMMYFUNCTION("IF(COUNTA(filter(B:B,B:B=B23))=1,""Regular"",""Conta Repetida"")"),"Regular")</f>
        <v>Regular</v>
      </c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768"/>
      <c r="O23" s="768"/>
      <c r="P23" s="768"/>
      <c r="Q23" s="768"/>
      <c r="R23" s="768"/>
      <c r="S23" s="768"/>
      <c r="T23" s="768"/>
      <c r="U23" s="768"/>
      <c r="V23" s="768"/>
      <c r="W23" s="768"/>
    </row>
    <row r="24" ht="15.75" customHeight="1">
      <c r="A24" s="766" t="s">
        <v>71</v>
      </c>
      <c r="B24" s="767" t="s">
        <v>6271</v>
      </c>
      <c r="C24" s="766" t="str">
        <f>IFERROR(__xludf.DUMMYFUNCTION("IF(COUNTA(filter(B:B,B:B=B24))=1,""Regular"",""Conta Repetida"")"),"Regular")</f>
        <v>Regular</v>
      </c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</row>
    <row r="25" ht="15.75" customHeight="1">
      <c r="A25" s="766" t="s">
        <v>2931</v>
      </c>
      <c r="B25" s="767" t="s">
        <v>6272</v>
      </c>
      <c r="C25" s="766" t="str">
        <f>IFERROR(__xludf.DUMMYFUNCTION("IF(COUNTA(filter(B:B,B:B=B25))=1,""Regular"",""Conta Repetida"")"),"Regular")</f>
        <v>Regular</v>
      </c>
      <c r="D25" s="768"/>
      <c r="E25" s="768"/>
      <c r="F25" s="768"/>
      <c r="G25" s="768"/>
      <c r="H25" s="768"/>
      <c r="I25" s="768"/>
      <c r="J25" s="768"/>
      <c r="K25" s="768"/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</row>
    <row r="26" ht="15.75" customHeight="1">
      <c r="A26" s="766" t="s">
        <v>256</v>
      </c>
      <c r="B26" s="767" t="s">
        <v>6273</v>
      </c>
      <c r="C26" s="766" t="str">
        <f>IFERROR(__xludf.DUMMYFUNCTION("IF(COUNTA(filter(B:B,B:B=B26))=1,""Regular"",""Conta Repetida"")"),"Regular")</f>
        <v>Regular</v>
      </c>
      <c r="D26" s="768"/>
      <c r="E26" s="768"/>
      <c r="F26" s="768"/>
      <c r="G26" s="768"/>
      <c r="H26" s="768"/>
      <c r="I26" s="768"/>
      <c r="J26" s="768"/>
      <c r="K26" s="768"/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</row>
    <row r="27" ht="15.75" customHeight="1">
      <c r="A27" s="766" t="s">
        <v>5195</v>
      </c>
      <c r="B27" s="767" t="s">
        <v>6274</v>
      </c>
      <c r="C27" s="766" t="str">
        <f>IFERROR(__xludf.DUMMYFUNCTION("IF(COUNTA(filter(B:B,B:B=B27))=1,""Regular"",""Conta Repetida"")"),"Regular")</f>
        <v>Regular</v>
      </c>
      <c r="D27" s="768"/>
      <c r="E27" s="768"/>
      <c r="F27" s="768"/>
      <c r="G27" s="768"/>
      <c r="H27" s="768"/>
      <c r="I27" s="768"/>
      <c r="J27" s="768"/>
      <c r="K27" s="768"/>
      <c r="L27" s="768"/>
      <c r="M27" s="768"/>
      <c r="N27" s="768"/>
      <c r="O27" s="768"/>
      <c r="P27" s="768"/>
      <c r="Q27" s="768"/>
      <c r="R27" s="768"/>
      <c r="S27" s="768"/>
      <c r="T27" s="768"/>
      <c r="U27" s="768"/>
      <c r="V27" s="768"/>
      <c r="W27" s="768"/>
    </row>
    <row r="28" ht="15.75" customHeight="1">
      <c r="A28" s="766" t="s">
        <v>4075</v>
      </c>
      <c r="B28" s="767" t="s">
        <v>6275</v>
      </c>
      <c r="C28" s="766" t="str">
        <f>IFERROR(__xludf.DUMMYFUNCTION("IF(COUNTA(filter(B:B,B:B=B28))=1,""Regular"",""Conta Repetida"")"),"Regular")</f>
        <v>Regular</v>
      </c>
      <c r="D28" s="768"/>
      <c r="E28" s="768"/>
      <c r="F28" s="768"/>
      <c r="G28" s="768"/>
      <c r="H28" s="768"/>
      <c r="I28" s="768"/>
      <c r="J28" s="768"/>
      <c r="K28" s="768"/>
      <c r="L28" s="768"/>
      <c r="M28" s="768"/>
      <c r="N28" s="768"/>
      <c r="O28" s="768"/>
      <c r="P28" s="768"/>
      <c r="Q28" s="768"/>
      <c r="R28" s="768"/>
      <c r="S28" s="768"/>
      <c r="T28" s="768"/>
      <c r="U28" s="768"/>
      <c r="V28" s="768"/>
      <c r="W28" s="768"/>
    </row>
    <row r="29" ht="15.75" customHeight="1">
      <c r="A29" s="766" t="s">
        <v>4084</v>
      </c>
      <c r="B29" s="767" t="s">
        <v>6276</v>
      </c>
      <c r="C29" s="766" t="str">
        <f>IFERROR(__xludf.DUMMYFUNCTION("IF(COUNTA(filter(B:B,B:B=B29))=1,""Regular"",""Conta Repetida"")"),"Regular")</f>
        <v>Regular</v>
      </c>
      <c r="D29" s="768"/>
      <c r="E29" s="768"/>
      <c r="F29" s="768"/>
      <c r="G29" s="768"/>
      <c r="H29" s="768"/>
      <c r="I29" s="768"/>
      <c r="J29" s="768"/>
      <c r="K29" s="768"/>
      <c r="L29" s="768"/>
      <c r="M29" s="768"/>
      <c r="N29" s="768"/>
      <c r="O29" s="768"/>
      <c r="P29" s="768"/>
      <c r="Q29" s="768"/>
      <c r="R29" s="768"/>
      <c r="S29" s="768"/>
      <c r="T29" s="768"/>
      <c r="U29" s="768"/>
      <c r="V29" s="768"/>
      <c r="W29" s="768"/>
    </row>
    <row r="30" ht="15.75" customHeight="1">
      <c r="A30" s="766" t="s">
        <v>4087</v>
      </c>
      <c r="B30" s="767" t="s">
        <v>6277</v>
      </c>
      <c r="C30" s="766" t="str">
        <f>IFERROR(__xludf.DUMMYFUNCTION("IF(COUNTA(filter(B:B,B:B=B30))=1,""Regular"",""Conta Repetida"")"),"Regular")</f>
        <v>Regular</v>
      </c>
      <c r="D30" s="768"/>
      <c r="E30" s="768"/>
      <c r="F30" s="768"/>
      <c r="G30" s="768"/>
      <c r="H30" s="768"/>
      <c r="I30" s="768"/>
      <c r="J30" s="768"/>
      <c r="K30" s="768"/>
      <c r="L30" s="768"/>
      <c r="M30" s="768"/>
      <c r="N30" s="768"/>
      <c r="O30" s="768"/>
      <c r="P30" s="768"/>
      <c r="Q30" s="768"/>
      <c r="R30" s="768"/>
      <c r="S30" s="768"/>
      <c r="T30" s="768"/>
      <c r="U30" s="768"/>
      <c r="V30" s="768"/>
      <c r="W30" s="768"/>
    </row>
    <row r="31" ht="15.75" customHeight="1">
      <c r="A31" s="766" t="s">
        <v>6278</v>
      </c>
      <c r="B31" s="767" t="s">
        <v>6279</v>
      </c>
      <c r="C31" s="766" t="str">
        <f>IFERROR(__xludf.DUMMYFUNCTION("IF(COUNTA(filter(B:B,B:B=B31))=1,""Regular"",""Conta Repetida"")"),"Regular")</f>
        <v>Regular</v>
      </c>
      <c r="D31" s="768"/>
      <c r="E31" s="768"/>
      <c r="F31" s="768"/>
      <c r="G31" s="768"/>
      <c r="H31" s="768"/>
      <c r="I31" s="768"/>
      <c r="J31" s="768"/>
      <c r="K31" s="768"/>
      <c r="L31" s="768"/>
      <c r="M31" s="768"/>
      <c r="N31" s="768"/>
      <c r="O31" s="768"/>
      <c r="P31" s="768"/>
      <c r="Q31" s="768"/>
      <c r="R31" s="768"/>
      <c r="S31" s="768"/>
      <c r="T31" s="768"/>
      <c r="U31" s="768"/>
      <c r="V31" s="768"/>
      <c r="W31" s="768"/>
    </row>
    <row r="32" ht="15.75" customHeight="1">
      <c r="A32" s="766" t="s">
        <v>4375</v>
      </c>
      <c r="B32" s="767" t="s">
        <v>6280</v>
      </c>
      <c r="C32" s="766" t="str">
        <f>IFERROR(__xludf.DUMMYFUNCTION("IF(COUNTA(filter(B:B,B:B=B32))=1,""Regular"",""Conta Repetida"")"),"Regular")</f>
        <v>Regular</v>
      </c>
      <c r="D32" s="768"/>
      <c r="E32" s="768"/>
      <c r="F32" s="768"/>
      <c r="G32" s="768"/>
      <c r="H32" s="768"/>
      <c r="I32" s="768"/>
      <c r="J32" s="768"/>
      <c r="K32" s="768"/>
      <c r="L32" s="768"/>
      <c r="M32" s="768"/>
      <c r="N32" s="768"/>
      <c r="O32" s="768"/>
      <c r="P32" s="768"/>
      <c r="Q32" s="768"/>
      <c r="R32" s="768"/>
      <c r="S32" s="768"/>
      <c r="T32" s="768"/>
      <c r="U32" s="768"/>
      <c r="V32" s="768"/>
      <c r="W32" s="768"/>
    </row>
    <row r="33" ht="15.75" customHeight="1">
      <c r="A33" s="766" t="s">
        <v>5029</v>
      </c>
      <c r="B33" s="767" t="s">
        <v>6281</v>
      </c>
      <c r="C33" s="766" t="str">
        <f>IFERROR(__xludf.DUMMYFUNCTION("IF(COUNTA(filter(B:B,B:B=B33))=1,""Regular"",""Conta Repetida"")"),"Regular")</f>
        <v>Regular</v>
      </c>
      <c r="D33" s="768"/>
      <c r="E33" s="768"/>
      <c r="F33" s="768"/>
      <c r="G33" s="768"/>
      <c r="H33" s="768"/>
      <c r="I33" s="768"/>
      <c r="J33" s="768"/>
      <c r="K33" s="768"/>
      <c r="L33" s="768"/>
      <c r="M33" s="768"/>
      <c r="N33" s="768"/>
      <c r="O33" s="768"/>
      <c r="P33" s="768"/>
      <c r="Q33" s="768"/>
      <c r="R33" s="768"/>
      <c r="S33" s="768"/>
      <c r="T33" s="768"/>
      <c r="U33" s="768"/>
      <c r="V33" s="768"/>
      <c r="W33" s="768"/>
    </row>
    <row r="34" ht="15.75" customHeight="1">
      <c r="A34" s="766" t="s">
        <v>4122</v>
      </c>
      <c r="B34" s="767" t="s">
        <v>6282</v>
      </c>
      <c r="C34" s="766" t="str">
        <f>IFERROR(__xludf.DUMMYFUNCTION("IF(COUNTA(filter(B:B,B:B=B34))=1,""Regular"",""Conta Repetida"")"),"Regular")</f>
        <v>Regular</v>
      </c>
      <c r="D34" s="768"/>
      <c r="E34" s="768"/>
      <c r="F34" s="768"/>
      <c r="G34" s="768"/>
      <c r="H34" s="768"/>
      <c r="I34" s="768"/>
      <c r="J34" s="768"/>
      <c r="K34" s="768"/>
      <c r="L34" s="768"/>
      <c r="M34" s="768"/>
      <c r="N34" s="768"/>
      <c r="O34" s="768"/>
      <c r="P34" s="768"/>
      <c r="Q34" s="768"/>
      <c r="R34" s="768"/>
      <c r="S34" s="768"/>
      <c r="T34" s="768"/>
      <c r="U34" s="768"/>
      <c r="V34" s="768"/>
      <c r="W34" s="768"/>
    </row>
    <row r="35" ht="15.75" customHeight="1">
      <c r="A35" s="766" t="s">
        <v>105</v>
      </c>
      <c r="B35" s="767" t="s">
        <v>6283</v>
      </c>
      <c r="C35" s="766" t="str">
        <f>IFERROR(__xludf.DUMMYFUNCTION("IF(COUNTA(filter(B:B,B:B=B35))=1,""Regular"",""Conta Repetida"")"),"Regular")</f>
        <v>Regular</v>
      </c>
      <c r="D35" s="768"/>
      <c r="E35" s="768"/>
      <c r="F35" s="768"/>
      <c r="G35" s="768"/>
      <c r="H35" s="768"/>
      <c r="I35" s="768"/>
      <c r="J35" s="768"/>
      <c r="K35" s="768"/>
      <c r="L35" s="768"/>
      <c r="M35" s="768"/>
      <c r="N35" s="768"/>
      <c r="O35" s="768"/>
      <c r="P35" s="768"/>
      <c r="Q35" s="768"/>
      <c r="R35" s="768"/>
      <c r="S35" s="768"/>
      <c r="T35" s="768"/>
      <c r="U35" s="768"/>
      <c r="V35" s="768"/>
      <c r="W35" s="768"/>
    </row>
    <row r="36" ht="15.75" customHeight="1">
      <c r="A36" s="766" t="s">
        <v>4152</v>
      </c>
      <c r="B36" s="767" t="s">
        <v>6284</v>
      </c>
      <c r="C36" s="766" t="str">
        <f>IFERROR(__xludf.DUMMYFUNCTION("IF(COUNTA(filter(B:B,B:B=B36))=1,""Regular"",""Conta Repetida"")"),"Regular")</f>
        <v>Regular</v>
      </c>
      <c r="D36" s="768"/>
      <c r="E36" s="768"/>
      <c r="F36" s="768"/>
      <c r="G36" s="768"/>
      <c r="H36" s="768"/>
      <c r="I36" s="768"/>
      <c r="J36" s="768"/>
      <c r="K36" s="768"/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</row>
    <row r="37" ht="15.75" customHeight="1">
      <c r="A37" s="766" t="s">
        <v>637</v>
      </c>
      <c r="B37" s="767" t="s">
        <v>6285</v>
      </c>
      <c r="C37" s="766" t="str">
        <f>IFERROR(__xludf.DUMMYFUNCTION("IF(COUNTA(filter(B:B,B:B=B37))=1,""Regular"",""Conta Repetida"")"),"Regular")</f>
        <v>Regular</v>
      </c>
      <c r="D37" s="768"/>
      <c r="E37" s="768"/>
      <c r="F37" s="768"/>
      <c r="G37" s="768"/>
      <c r="H37" s="768"/>
      <c r="I37" s="768"/>
      <c r="J37" s="768"/>
      <c r="K37" s="768"/>
      <c r="L37" s="768"/>
      <c r="M37" s="768"/>
      <c r="N37" s="768"/>
      <c r="O37" s="768"/>
      <c r="P37" s="768"/>
      <c r="Q37" s="768"/>
      <c r="R37" s="768"/>
      <c r="S37" s="768"/>
      <c r="T37" s="768"/>
      <c r="U37" s="768"/>
      <c r="V37" s="768"/>
      <c r="W37" s="768"/>
    </row>
    <row r="38" ht="15.75" customHeight="1">
      <c r="A38" s="766" t="s">
        <v>6286</v>
      </c>
      <c r="B38" s="767" t="s">
        <v>6287</v>
      </c>
      <c r="C38" s="766" t="str">
        <f>IFERROR(__xludf.DUMMYFUNCTION("IF(COUNTA(filter(B:B,B:B=B38))=1,""Regular"",""Conta Repetida"")"),"Regular")</f>
        <v>Regular</v>
      </c>
      <c r="D38" s="768"/>
      <c r="E38" s="768"/>
      <c r="F38" s="768"/>
      <c r="G38" s="768"/>
      <c r="H38" s="768"/>
      <c r="I38" s="768"/>
      <c r="J38" s="768"/>
      <c r="K38" s="768"/>
      <c r="L38" s="768"/>
      <c r="M38" s="768"/>
      <c r="N38" s="768"/>
      <c r="O38" s="768"/>
      <c r="P38" s="768"/>
      <c r="Q38" s="768"/>
      <c r="R38" s="768"/>
      <c r="S38" s="768"/>
      <c r="T38" s="768"/>
      <c r="U38" s="768"/>
      <c r="V38" s="768"/>
      <c r="W38" s="768"/>
    </row>
    <row r="39" ht="15.75" customHeight="1">
      <c r="A39" s="766" t="s">
        <v>3887</v>
      </c>
      <c r="B39" s="767" t="s">
        <v>6288</v>
      </c>
      <c r="C39" s="766" t="str">
        <f>IFERROR(__xludf.DUMMYFUNCTION("IF(COUNTA(filter(B:B,B:B=B39))=1,""Regular"",""Conta Repetida"")"),"Regular")</f>
        <v>Regular</v>
      </c>
      <c r="D39" s="768"/>
      <c r="E39" s="768"/>
      <c r="F39" s="768"/>
      <c r="G39" s="768"/>
      <c r="H39" s="768"/>
      <c r="I39" s="768"/>
      <c r="J39" s="768"/>
      <c r="K39" s="768"/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</row>
    <row r="40" ht="15.75" customHeight="1">
      <c r="A40" s="766" t="s">
        <v>4176</v>
      </c>
      <c r="B40" s="767" t="s">
        <v>6289</v>
      </c>
      <c r="C40" s="766" t="str">
        <f>IFERROR(__xludf.DUMMYFUNCTION("IF(COUNTA(filter(B:B,B:B=B40))=1,""Regular"",""Conta Repetida"")"),"Regular")</f>
        <v>Regular</v>
      </c>
      <c r="D40" s="768"/>
      <c r="E40" s="768"/>
      <c r="F40" s="768"/>
      <c r="G40" s="768"/>
      <c r="H40" s="768"/>
      <c r="I40" s="768"/>
      <c r="J40" s="768"/>
      <c r="K40" s="768"/>
      <c r="L40" s="768"/>
      <c r="M40" s="768"/>
      <c r="N40" s="768"/>
      <c r="O40" s="768"/>
      <c r="P40" s="768"/>
      <c r="Q40" s="768"/>
      <c r="R40" s="768"/>
      <c r="S40" s="768"/>
      <c r="T40" s="768"/>
      <c r="U40" s="768"/>
      <c r="V40" s="768"/>
      <c r="W40" s="768"/>
    </row>
    <row r="41" ht="15.75" customHeight="1">
      <c r="A41" s="766" t="s">
        <v>4185</v>
      </c>
      <c r="B41" s="767" t="s">
        <v>6290</v>
      </c>
      <c r="C41" s="766" t="str">
        <f>IFERROR(__xludf.DUMMYFUNCTION("IF(COUNTA(filter(B:B,B:B=B41))=1,""Regular"",""Conta Repetida"")"),"Regular")</f>
        <v>Regular</v>
      </c>
      <c r="D41" s="768"/>
      <c r="E41" s="768"/>
      <c r="F41" s="768"/>
      <c r="G41" s="768"/>
      <c r="H41" s="768"/>
      <c r="I41" s="768"/>
      <c r="J41" s="768"/>
      <c r="K41" s="768"/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8"/>
    </row>
    <row r="42" ht="15.75" customHeight="1">
      <c r="A42" s="766" t="s">
        <v>6291</v>
      </c>
      <c r="B42" s="767" t="s">
        <v>6292</v>
      </c>
      <c r="C42" s="766" t="str">
        <f>IFERROR(__xludf.DUMMYFUNCTION("IF(COUNTA(filter(B:B,B:B=B42))=1,""Regular"",""Conta Repetida"")"),"Regular")</f>
        <v>Regular</v>
      </c>
      <c r="D42" s="768"/>
      <c r="E42" s="768"/>
      <c r="F42" s="768"/>
      <c r="G42" s="768"/>
      <c r="H42" s="768"/>
      <c r="I42" s="768"/>
      <c r="J42" s="768"/>
      <c r="K42" s="768"/>
      <c r="L42" s="768"/>
      <c r="M42" s="768"/>
      <c r="N42" s="768"/>
      <c r="O42" s="768"/>
      <c r="P42" s="768"/>
      <c r="Q42" s="768"/>
      <c r="R42" s="768"/>
      <c r="S42" s="768"/>
      <c r="T42" s="768"/>
      <c r="U42" s="768"/>
      <c r="V42" s="768"/>
      <c r="W42" s="768"/>
    </row>
    <row r="43" ht="15.75" customHeight="1">
      <c r="A43" s="766" t="s">
        <v>2803</v>
      </c>
      <c r="B43" s="767" t="s">
        <v>6293</v>
      </c>
      <c r="C43" s="766" t="str">
        <f>IFERROR(__xludf.DUMMYFUNCTION("IF(COUNTA(filter(B:B,B:B=B43))=1,""Regular"",""Conta Repetida"")"),"Regular")</f>
        <v>Regular</v>
      </c>
      <c r="D43" s="768"/>
      <c r="E43" s="768"/>
      <c r="F43" s="768"/>
      <c r="G43" s="768"/>
      <c r="H43" s="768"/>
      <c r="I43" s="768"/>
      <c r="J43" s="768"/>
      <c r="K43" s="768"/>
      <c r="L43" s="768"/>
      <c r="M43" s="768"/>
      <c r="N43" s="768"/>
      <c r="O43" s="768"/>
      <c r="P43" s="768"/>
      <c r="Q43" s="768"/>
      <c r="R43" s="768"/>
      <c r="S43" s="768"/>
      <c r="T43" s="768"/>
      <c r="U43" s="768"/>
      <c r="V43" s="768"/>
      <c r="W43" s="768"/>
    </row>
    <row r="44" ht="15.75" customHeight="1">
      <c r="A44" s="766" t="s">
        <v>6294</v>
      </c>
      <c r="B44" s="767" t="s">
        <v>6295</v>
      </c>
      <c r="C44" s="766" t="str">
        <f>IFERROR(__xludf.DUMMYFUNCTION("IF(COUNTA(filter(B:B,B:B=B44))=1,""Regular"",""Conta Repetida"")"),"Regular")</f>
        <v>Regular</v>
      </c>
      <c r="D44" s="768"/>
      <c r="E44" s="768"/>
      <c r="F44" s="768"/>
      <c r="G44" s="768"/>
      <c r="H44" s="768"/>
      <c r="I44" s="768"/>
      <c r="J44" s="768"/>
      <c r="K44" s="768"/>
      <c r="L44" s="768"/>
      <c r="M44" s="768"/>
      <c r="N44" s="768"/>
      <c r="O44" s="768"/>
      <c r="P44" s="768"/>
      <c r="Q44" s="768"/>
      <c r="R44" s="768"/>
      <c r="S44" s="768"/>
      <c r="T44" s="768"/>
      <c r="U44" s="768"/>
      <c r="V44" s="768"/>
      <c r="W44" s="768"/>
    </row>
    <row r="45" ht="15.75" customHeight="1">
      <c r="A45" s="766" t="s">
        <v>4316</v>
      </c>
      <c r="B45" s="767" t="s">
        <v>6296</v>
      </c>
      <c r="C45" s="766" t="str">
        <f>IFERROR(__xludf.DUMMYFUNCTION("IF(COUNTA(filter(B:B,B:B=B45))=1,""Regular"",""Conta Repetida"")"),"Regular")</f>
        <v>Regular</v>
      </c>
      <c r="D45" s="768"/>
      <c r="E45" s="768"/>
      <c r="F45" s="768"/>
      <c r="G45" s="768"/>
      <c r="H45" s="768"/>
      <c r="I45" s="768"/>
      <c r="J45" s="768"/>
      <c r="K45" s="768"/>
      <c r="L45" s="768"/>
      <c r="M45" s="768"/>
      <c r="N45" s="768"/>
      <c r="O45" s="768"/>
      <c r="P45" s="768"/>
      <c r="Q45" s="768"/>
      <c r="R45" s="768"/>
      <c r="S45" s="768"/>
      <c r="T45" s="768"/>
      <c r="U45" s="768"/>
      <c r="V45" s="768"/>
      <c r="W45" s="768"/>
    </row>
    <row r="46" ht="15.75" customHeight="1">
      <c r="A46" s="766" t="s">
        <v>3666</v>
      </c>
      <c r="B46" s="767" t="s">
        <v>6297</v>
      </c>
      <c r="C46" s="766" t="str">
        <f>IFERROR(__xludf.DUMMYFUNCTION("IF(COUNTA(filter(B:B,B:B=B46))=1,""Regular"",""Conta Repetida"")"),"Regular")</f>
        <v>Regular</v>
      </c>
      <c r="D46" s="768"/>
      <c r="E46" s="768"/>
      <c r="F46" s="768"/>
      <c r="G46" s="768"/>
      <c r="H46" s="768"/>
      <c r="I46" s="768"/>
      <c r="J46" s="768"/>
      <c r="K46" s="768"/>
      <c r="L46" s="768"/>
      <c r="M46" s="768"/>
      <c r="N46" s="768"/>
      <c r="O46" s="768"/>
      <c r="P46" s="768"/>
      <c r="Q46" s="768"/>
      <c r="R46" s="768"/>
      <c r="S46" s="768"/>
      <c r="T46" s="768"/>
      <c r="U46" s="768"/>
      <c r="V46" s="768"/>
      <c r="W46" s="768"/>
    </row>
    <row r="47" ht="15.75" customHeight="1">
      <c r="A47" s="766" t="s">
        <v>4330</v>
      </c>
      <c r="B47" s="767" t="s">
        <v>6298</v>
      </c>
      <c r="C47" s="766" t="str">
        <f>IFERROR(__xludf.DUMMYFUNCTION("IF(COUNTA(filter(B:B,B:B=B47))=1,""Regular"",""Conta Repetida"")"),"Regular")</f>
        <v>Regular</v>
      </c>
      <c r="D47" s="768"/>
      <c r="E47" s="768"/>
      <c r="F47" s="768"/>
      <c r="G47" s="768"/>
      <c r="H47" s="768"/>
      <c r="I47" s="768"/>
      <c r="J47" s="768"/>
      <c r="K47" s="768"/>
      <c r="L47" s="768"/>
      <c r="M47" s="768"/>
      <c r="N47" s="768"/>
      <c r="O47" s="768"/>
      <c r="P47" s="768"/>
      <c r="Q47" s="768"/>
      <c r="R47" s="768"/>
      <c r="S47" s="768"/>
      <c r="T47" s="768"/>
      <c r="U47" s="768"/>
      <c r="V47" s="768"/>
      <c r="W47" s="768"/>
    </row>
    <row r="48" ht="15.75" customHeight="1">
      <c r="A48" s="766" t="s">
        <v>6299</v>
      </c>
      <c r="B48" s="767" t="s">
        <v>6300</v>
      </c>
      <c r="C48" s="766" t="str">
        <f>IFERROR(__xludf.DUMMYFUNCTION("IF(COUNTA(filter(B:B,B:B=B48))=1,""Regular"",""Conta Repetida"")"),"Regular")</f>
        <v>Regular</v>
      </c>
      <c r="D48" s="768"/>
      <c r="E48" s="768"/>
      <c r="F48" s="768"/>
      <c r="G48" s="768"/>
      <c r="H48" s="768"/>
      <c r="I48" s="768"/>
      <c r="J48" s="768"/>
      <c r="K48" s="768"/>
      <c r="L48" s="768"/>
      <c r="M48" s="768"/>
      <c r="N48" s="768"/>
      <c r="O48" s="768"/>
      <c r="P48" s="768"/>
      <c r="Q48" s="768"/>
      <c r="R48" s="768"/>
      <c r="S48" s="768"/>
      <c r="T48" s="768"/>
      <c r="U48" s="768"/>
      <c r="V48" s="768"/>
      <c r="W48" s="768"/>
    </row>
    <row r="49" ht="15.75" customHeight="1">
      <c r="A49" s="766" t="s">
        <v>4378</v>
      </c>
      <c r="B49" s="767" t="s">
        <v>6301</v>
      </c>
      <c r="C49" s="766" t="str">
        <f>IFERROR(__xludf.DUMMYFUNCTION("IF(COUNTA(filter(B:B,B:B=B49))=1,""Regular"",""Conta Repetida"")"),"Regular")</f>
        <v>Regular</v>
      </c>
      <c r="D49" s="768"/>
      <c r="E49" s="768"/>
      <c r="F49" s="768"/>
      <c r="G49" s="768"/>
      <c r="H49" s="768"/>
      <c r="I49" s="768"/>
      <c r="J49" s="768"/>
      <c r="K49" s="768"/>
      <c r="L49" s="768"/>
      <c r="M49" s="768"/>
      <c r="N49" s="768"/>
      <c r="O49" s="768"/>
      <c r="P49" s="768"/>
      <c r="Q49" s="768"/>
      <c r="R49" s="768"/>
      <c r="S49" s="768"/>
      <c r="T49" s="768"/>
      <c r="U49" s="768"/>
      <c r="V49" s="768"/>
      <c r="W49" s="768"/>
    </row>
    <row r="50" ht="15.75" customHeight="1">
      <c r="A50" s="766" t="s">
        <v>6302</v>
      </c>
      <c r="B50" s="767" t="s">
        <v>6303</v>
      </c>
      <c r="C50" s="766" t="str">
        <f>IFERROR(__xludf.DUMMYFUNCTION("IF(COUNTA(filter(B:B,B:B=B50))=1,""Regular"",""Conta Repetida"")"),"Regular")</f>
        <v>Regular</v>
      </c>
      <c r="D50" s="768"/>
      <c r="E50" s="768"/>
      <c r="F50" s="768"/>
      <c r="G50" s="768"/>
      <c r="H50" s="768"/>
      <c r="I50" s="768"/>
      <c r="J50" s="768"/>
      <c r="K50" s="768"/>
      <c r="L50" s="768"/>
      <c r="M50" s="768"/>
      <c r="N50" s="768"/>
      <c r="O50" s="768"/>
      <c r="P50" s="768"/>
      <c r="Q50" s="768"/>
      <c r="R50" s="768"/>
      <c r="S50" s="768"/>
      <c r="T50" s="768"/>
      <c r="U50" s="768"/>
      <c r="V50" s="768"/>
      <c r="W50" s="768"/>
    </row>
    <row r="51" ht="15.75" customHeight="1">
      <c r="A51" s="766" t="s">
        <v>4486</v>
      </c>
      <c r="B51" s="767" t="s">
        <v>6304</v>
      </c>
      <c r="C51" s="766" t="str">
        <f>IFERROR(__xludf.DUMMYFUNCTION("IF(COUNTA(filter(B:B,B:B=B51))=1,""Regular"",""Conta Repetida"")"),"Regular")</f>
        <v>Regular</v>
      </c>
      <c r="D51" s="768"/>
      <c r="E51" s="768"/>
      <c r="F51" s="768"/>
      <c r="G51" s="768"/>
      <c r="H51" s="768"/>
      <c r="I51" s="768"/>
      <c r="J51" s="768"/>
      <c r="K51" s="768"/>
      <c r="L51" s="768"/>
      <c r="M51" s="768"/>
      <c r="N51" s="768"/>
      <c r="O51" s="768"/>
      <c r="P51" s="768"/>
      <c r="Q51" s="768"/>
      <c r="R51" s="768"/>
      <c r="S51" s="768"/>
      <c r="T51" s="768"/>
      <c r="U51" s="768"/>
      <c r="V51" s="768"/>
      <c r="W51" s="768"/>
    </row>
    <row r="52" ht="15.75" customHeight="1">
      <c r="A52" s="766" t="s">
        <v>3703</v>
      </c>
      <c r="B52" s="767" t="s">
        <v>6305</v>
      </c>
      <c r="C52" s="766" t="str">
        <f>IFERROR(__xludf.DUMMYFUNCTION("IF(COUNTA(filter(B:B,B:B=B52))=1,""Regular"",""Conta Repetida"")"),"Regular")</f>
        <v>Regular</v>
      </c>
      <c r="D52" s="768"/>
      <c r="E52" s="768"/>
      <c r="F52" s="768"/>
      <c r="G52" s="768"/>
      <c r="H52" s="768"/>
      <c r="I52" s="768"/>
      <c r="J52" s="768"/>
      <c r="K52" s="768"/>
      <c r="L52" s="768"/>
      <c r="M52" s="768"/>
      <c r="N52" s="768"/>
      <c r="O52" s="768"/>
      <c r="P52" s="768"/>
      <c r="Q52" s="768"/>
      <c r="R52" s="768"/>
      <c r="S52" s="768"/>
      <c r="T52" s="768"/>
      <c r="U52" s="768"/>
      <c r="V52" s="768"/>
      <c r="W52" s="768"/>
    </row>
    <row r="53" ht="15.75" customHeight="1">
      <c r="A53" s="766" t="s">
        <v>2605</v>
      </c>
      <c r="B53" s="767" t="s">
        <v>6306</v>
      </c>
      <c r="C53" s="766" t="str">
        <f>IFERROR(__xludf.DUMMYFUNCTION("IF(COUNTA(filter(B:B,B:B=B53))=1,""Regular"",""Conta Repetida"")"),"Regular")</f>
        <v>Regular</v>
      </c>
      <c r="D53" s="768"/>
      <c r="E53" s="768"/>
      <c r="F53" s="768"/>
      <c r="G53" s="768"/>
      <c r="H53" s="768"/>
      <c r="I53" s="768"/>
      <c r="J53" s="768"/>
      <c r="K53" s="768"/>
      <c r="L53" s="768"/>
      <c r="M53" s="768"/>
      <c r="N53" s="768"/>
      <c r="O53" s="768"/>
      <c r="P53" s="768"/>
      <c r="Q53" s="768"/>
      <c r="R53" s="768"/>
      <c r="S53" s="768"/>
      <c r="T53" s="768"/>
      <c r="U53" s="768"/>
      <c r="V53" s="768"/>
      <c r="W53" s="768"/>
    </row>
    <row r="54" ht="15.75" customHeight="1">
      <c r="A54" s="766" t="s">
        <v>6307</v>
      </c>
      <c r="B54" s="767" t="s">
        <v>6308</v>
      </c>
      <c r="C54" s="766" t="str">
        <f>IFERROR(__xludf.DUMMYFUNCTION("IF(COUNTA(filter(B:B,B:B=B54))=1,""Regular"",""Conta Repetida"")"),"Regular")</f>
        <v>Regular</v>
      </c>
      <c r="D54" s="768"/>
      <c r="E54" s="768"/>
      <c r="F54" s="768"/>
      <c r="G54" s="768"/>
      <c r="H54" s="768"/>
      <c r="I54" s="768"/>
      <c r="J54" s="768"/>
      <c r="K54" s="768"/>
      <c r="L54" s="768"/>
      <c r="M54" s="768"/>
      <c r="N54" s="768"/>
      <c r="O54" s="768"/>
      <c r="P54" s="768"/>
      <c r="Q54" s="768"/>
      <c r="R54" s="768"/>
      <c r="S54" s="768"/>
      <c r="T54" s="768"/>
      <c r="U54" s="768"/>
      <c r="V54" s="768"/>
      <c r="W54" s="768"/>
    </row>
    <row r="55" ht="15.75" customHeight="1">
      <c r="A55" s="766" t="s">
        <v>4738</v>
      </c>
      <c r="B55" s="767" t="s">
        <v>6309</v>
      </c>
      <c r="C55" s="766" t="str">
        <f>IFERROR(__xludf.DUMMYFUNCTION("IF(COUNTA(filter(B:B,B:B=B55))=1,""Regular"",""Conta Repetida"")"),"Regular")</f>
        <v>Regular</v>
      </c>
      <c r="D55" s="768"/>
      <c r="E55" s="768"/>
      <c r="F55" s="768"/>
      <c r="G55" s="768"/>
      <c r="H55" s="768"/>
      <c r="I55" s="768"/>
      <c r="J55" s="768"/>
      <c r="K55" s="768"/>
      <c r="L55" s="768"/>
      <c r="M55" s="768"/>
      <c r="N55" s="768"/>
      <c r="O55" s="768"/>
      <c r="P55" s="768"/>
      <c r="Q55" s="768"/>
      <c r="R55" s="768"/>
      <c r="S55" s="768"/>
      <c r="T55" s="768"/>
      <c r="U55" s="768"/>
      <c r="V55" s="768"/>
      <c r="W55" s="768"/>
    </row>
    <row r="56" ht="15.75" customHeight="1">
      <c r="A56" s="766" t="s">
        <v>4765</v>
      </c>
      <c r="B56" s="767" t="s">
        <v>6310</v>
      </c>
      <c r="C56" s="766" t="str">
        <f>IFERROR(__xludf.DUMMYFUNCTION("IF(COUNTA(filter(B:B,B:B=B56))=1,""Regular"",""Conta Repetida"")"),"Regular")</f>
        <v>Regular</v>
      </c>
      <c r="D56" s="768"/>
      <c r="E56" s="768"/>
      <c r="F56" s="768"/>
      <c r="G56" s="768"/>
      <c r="H56" s="768"/>
      <c r="I56" s="768"/>
      <c r="J56" s="768"/>
      <c r="K56" s="768"/>
      <c r="L56" s="768"/>
      <c r="M56" s="768"/>
      <c r="N56" s="768"/>
      <c r="O56" s="768"/>
      <c r="P56" s="768"/>
      <c r="Q56" s="768"/>
      <c r="R56" s="768"/>
      <c r="S56" s="768"/>
      <c r="T56" s="768"/>
      <c r="U56" s="768"/>
      <c r="V56" s="768"/>
      <c r="W56" s="768"/>
    </row>
    <row r="57" ht="15.75" customHeight="1">
      <c r="A57" s="766" t="s">
        <v>4808</v>
      </c>
      <c r="B57" s="767" t="s">
        <v>6311</v>
      </c>
      <c r="C57" s="766" t="str">
        <f>IFERROR(__xludf.DUMMYFUNCTION("IF(COUNTA(filter(B:B,B:B=B57))=1,""Regular"",""Conta Repetida"")"),"Regular")</f>
        <v>Regular</v>
      </c>
      <c r="D57" s="768"/>
      <c r="E57" s="768"/>
      <c r="F57" s="768"/>
      <c r="G57" s="768"/>
      <c r="H57" s="768"/>
      <c r="I57" s="768"/>
      <c r="J57" s="768"/>
      <c r="K57" s="768"/>
      <c r="L57" s="768"/>
      <c r="M57" s="768"/>
      <c r="N57" s="768"/>
      <c r="O57" s="768"/>
      <c r="P57" s="768"/>
      <c r="Q57" s="768"/>
      <c r="R57" s="768"/>
      <c r="S57" s="768"/>
      <c r="T57" s="768"/>
      <c r="U57" s="768"/>
      <c r="V57" s="768"/>
      <c r="W57" s="768"/>
    </row>
    <row r="58" ht="15.75" customHeight="1">
      <c r="A58" s="766" t="s">
        <v>4844</v>
      </c>
      <c r="B58" s="767" t="s">
        <v>6312</v>
      </c>
      <c r="C58" s="766" t="str">
        <f>IFERROR(__xludf.DUMMYFUNCTION("IF(COUNTA(filter(B:B,B:B=B58))=1,""Regular"",""Conta Repetida"")"),"Regular")</f>
        <v>Regular</v>
      </c>
      <c r="D58" s="768"/>
      <c r="E58" s="768"/>
      <c r="F58" s="768"/>
      <c r="G58" s="768"/>
      <c r="H58" s="768"/>
      <c r="I58" s="768"/>
      <c r="J58" s="768"/>
      <c r="K58" s="768"/>
      <c r="L58" s="768"/>
      <c r="M58" s="768"/>
      <c r="N58" s="768"/>
      <c r="O58" s="768"/>
      <c r="P58" s="768"/>
      <c r="Q58" s="768"/>
      <c r="R58" s="768"/>
      <c r="S58" s="768"/>
      <c r="T58" s="768"/>
      <c r="U58" s="768"/>
      <c r="V58" s="768"/>
      <c r="W58" s="768"/>
    </row>
    <row r="59" ht="15.75" customHeight="1">
      <c r="A59" s="766" t="s">
        <v>4358</v>
      </c>
      <c r="B59" s="767" t="s">
        <v>6313</v>
      </c>
      <c r="C59" s="766" t="str">
        <f>IFERROR(__xludf.DUMMYFUNCTION("IF(COUNTA(filter(B:B,B:B=B59))=1,""Regular"",""Conta Repetida"")"),"Regular")</f>
        <v>Regular</v>
      </c>
      <c r="D59" s="768"/>
      <c r="E59" s="768"/>
      <c r="F59" s="768"/>
      <c r="G59" s="768"/>
      <c r="H59" s="768"/>
      <c r="I59" s="768"/>
      <c r="J59" s="768"/>
      <c r="K59" s="768"/>
      <c r="L59" s="768"/>
      <c r="M59" s="768"/>
      <c r="N59" s="768"/>
      <c r="O59" s="768"/>
      <c r="P59" s="768"/>
      <c r="Q59" s="768"/>
      <c r="R59" s="768"/>
      <c r="S59" s="768"/>
      <c r="T59" s="768"/>
      <c r="U59" s="768"/>
      <c r="V59" s="768"/>
      <c r="W59" s="768"/>
    </row>
    <row r="60" ht="15.75" customHeight="1">
      <c r="A60" s="766" t="s">
        <v>6314</v>
      </c>
      <c r="B60" s="767" t="s">
        <v>6315</v>
      </c>
      <c r="C60" s="766" t="str">
        <f>IFERROR(__xludf.DUMMYFUNCTION("IF(COUNTA(filter(B:B,B:B=B60))=1,""Regular"",""Conta Repetida"")"),"Regular")</f>
        <v>Regular</v>
      </c>
      <c r="D60" s="768"/>
      <c r="E60" s="768"/>
      <c r="F60" s="768"/>
      <c r="G60" s="768"/>
      <c r="H60" s="768"/>
      <c r="I60" s="768"/>
      <c r="J60" s="768"/>
      <c r="K60" s="768"/>
      <c r="L60" s="768"/>
      <c r="M60" s="768"/>
      <c r="N60" s="768"/>
      <c r="O60" s="768"/>
      <c r="P60" s="768"/>
      <c r="Q60" s="768"/>
      <c r="R60" s="768"/>
      <c r="S60" s="768"/>
      <c r="T60" s="768"/>
      <c r="U60" s="768"/>
      <c r="V60" s="768"/>
      <c r="W60" s="768"/>
    </row>
    <row r="61" ht="15.75" customHeight="1">
      <c r="A61" s="766" t="s">
        <v>6316</v>
      </c>
      <c r="B61" s="767" t="s">
        <v>6317</v>
      </c>
      <c r="C61" s="766" t="str">
        <f>IFERROR(__xludf.DUMMYFUNCTION("IF(COUNTA(filter(B:B,B:B=B61))=1,""Regular"",""Conta Repetida"")"),"Regular")</f>
        <v>Regular</v>
      </c>
      <c r="D61" s="768"/>
      <c r="E61" s="768"/>
      <c r="F61" s="768"/>
      <c r="G61" s="768"/>
      <c r="H61" s="768"/>
      <c r="I61" s="768"/>
      <c r="J61" s="768"/>
      <c r="K61" s="768"/>
      <c r="L61" s="768"/>
      <c r="M61" s="768"/>
      <c r="N61" s="768"/>
      <c r="O61" s="768"/>
      <c r="P61" s="768"/>
      <c r="Q61" s="768"/>
      <c r="R61" s="768"/>
      <c r="S61" s="768"/>
      <c r="T61" s="768"/>
      <c r="U61" s="768"/>
      <c r="V61" s="768"/>
      <c r="W61" s="768"/>
    </row>
    <row r="62" ht="15.75" customHeight="1">
      <c r="A62" s="766" t="s">
        <v>5047</v>
      </c>
      <c r="B62" s="767" t="s">
        <v>6318</v>
      </c>
      <c r="C62" s="766" t="str">
        <f>IFERROR(__xludf.DUMMYFUNCTION("IF(COUNTA(filter(B:B,B:B=B62))=1,""Regular"",""Conta Repetida"")"),"Regular")</f>
        <v>Regular</v>
      </c>
      <c r="D62" s="768"/>
      <c r="E62" s="768"/>
      <c r="F62" s="768"/>
      <c r="G62" s="768"/>
      <c r="H62" s="768"/>
      <c r="I62" s="768"/>
      <c r="J62" s="768"/>
      <c r="K62" s="768"/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  <c r="W62" s="768"/>
    </row>
    <row r="63" ht="15.75" customHeight="1">
      <c r="A63" s="766" t="s">
        <v>6319</v>
      </c>
      <c r="B63" s="767" t="s">
        <v>6320</v>
      </c>
      <c r="C63" s="766" t="str">
        <f>IFERROR(__xludf.DUMMYFUNCTION("IF(COUNTA(filter(B:B,B:B=B63))=1,""Regular"",""Conta Repetida"")"),"Regular")</f>
        <v>Regular</v>
      </c>
      <c r="D63" s="768"/>
      <c r="E63" s="768"/>
      <c r="F63" s="768"/>
      <c r="G63" s="768"/>
      <c r="H63" s="768"/>
      <c r="I63" s="768"/>
      <c r="J63" s="768"/>
      <c r="K63" s="768"/>
      <c r="L63" s="768"/>
      <c r="M63" s="768"/>
      <c r="N63" s="768"/>
      <c r="O63" s="768"/>
      <c r="P63" s="768"/>
      <c r="Q63" s="768"/>
      <c r="R63" s="768"/>
      <c r="S63" s="768"/>
      <c r="T63" s="768"/>
      <c r="U63" s="768"/>
      <c r="V63" s="768"/>
      <c r="W63" s="768"/>
    </row>
    <row r="64" ht="15.75" customHeight="1">
      <c r="A64" s="766" t="s">
        <v>5247</v>
      </c>
      <c r="B64" s="767" t="s">
        <v>6321</v>
      </c>
      <c r="C64" s="766" t="str">
        <f>IFERROR(__xludf.DUMMYFUNCTION("IF(COUNTA(filter(B:B,B:B=B64))=1,""Regular"",""Conta Repetida"")"),"Regular")</f>
        <v>Regular</v>
      </c>
      <c r="D64" s="768"/>
      <c r="E64" s="768"/>
      <c r="F64" s="768"/>
      <c r="G64" s="768"/>
      <c r="H64" s="768"/>
      <c r="I64" s="768"/>
      <c r="J64" s="768"/>
      <c r="K64" s="768"/>
      <c r="L64" s="768"/>
      <c r="M64" s="768"/>
      <c r="N64" s="768"/>
      <c r="O64" s="768"/>
      <c r="P64" s="768"/>
      <c r="Q64" s="768"/>
      <c r="R64" s="768"/>
      <c r="S64" s="768"/>
      <c r="T64" s="768"/>
      <c r="U64" s="768"/>
      <c r="V64" s="768"/>
      <c r="W64" s="768"/>
    </row>
    <row r="65" ht="15.75" customHeight="1">
      <c r="A65" s="766" t="s">
        <v>122</v>
      </c>
      <c r="B65" s="767" t="s">
        <v>3931</v>
      </c>
      <c r="C65" s="766" t="str">
        <f>IFERROR(__xludf.DUMMYFUNCTION("IF(COUNTA(filter(B:B,B:B=B65))=1,""Regular"",""Conta Repetida"")"),"Regular")</f>
        <v>Regular</v>
      </c>
      <c r="D65" s="768"/>
      <c r="E65" s="768"/>
      <c r="F65" s="768"/>
      <c r="G65" s="768"/>
      <c r="H65" s="768"/>
      <c r="I65" s="768"/>
      <c r="J65" s="768"/>
      <c r="K65" s="768"/>
      <c r="L65" s="768"/>
      <c r="M65" s="768"/>
      <c r="N65" s="768"/>
      <c r="O65" s="768"/>
      <c r="P65" s="768"/>
      <c r="Q65" s="768"/>
      <c r="R65" s="768"/>
      <c r="S65" s="768"/>
      <c r="T65" s="768"/>
      <c r="U65" s="768"/>
      <c r="V65" s="768"/>
      <c r="W65" s="768"/>
    </row>
    <row r="66" ht="15.75" customHeight="1">
      <c r="A66" s="766" t="s">
        <v>4465</v>
      </c>
      <c r="B66" s="767" t="s">
        <v>6322</v>
      </c>
      <c r="C66" s="766" t="str">
        <f>IFERROR(__xludf.DUMMYFUNCTION("IF(COUNTA(filter(B:B,B:B=B66))=1,""Regular"",""Conta Repetida"")"),"Regular")</f>
        <v>Regular</v>
      </c>
      <c r="D66" s="768"/>
      <c r="E66" s="768"/>
      <c r="F66" s="768"/>
      <c r="G66" s="768"/>
      <c r="H66" s="768"/>
      <c r="I66" s="768"/>
      <c r="J66" s="768"/>
      <c r="K66" s="768"/>
      <c r="L66" s="768"/>
      <c r="M66" s="768"/>
      <c r="N66" s="768"/>
      <c r="O66" s="768"/>
      <c r="P66" s="768"/>
      <c r="Q66" s="768"/>
      <c r="R66" s="768"/>
      <c r="S66" s="768"/>
      <c r="T66" s="768"/>
      <c r="U66" s="768"/>
      <c r="V66" s="768"/>
      <c r="W66" s="768"/>
    </row>
    <row r="67" ht="15.75" customHeight="1">
      <c r="A67" s="766" t="s">
        <v>5406</v>
      </c>
      <c r="B67" s="767" t="s">
        <v>6323</v>
      </c>
      <c r="C67" s="766" t="str">
        <f>IFERROR(__xludf.DUMMYFUNCTION("IF(COUNTA(filter(B:B,B:B=B67))=1,""Regular"",""Conta Repetida"")"),"Regular")</f>
        <v>Regular</v>
      </c>
      <c r="D67" s="768"/>
      <c r="E67" s="768"/>
      <c r="F67" s="768"/>
      <c r="G67" s="768"/>
      <c r="H67" s="768"/>
      <c r="I67" s="768"/>
      <c r="J67" s="768"/>
      <c r="K67" s="768"/>
      <c r="L67" s="768"/>
      <c r="M67" s="768"/>
      <c r="N67" s="768"/>
      <c r="O67" s="768"/>
      <c r="P67" s="768"/>
      <c r="Q67" s="768"/>
      <c r="R67" s="768"/>
      <c r="S67" s="768"/>
      <c r="T67" s="768"/>
      <c r="U67" s="768"/>
      <c r="V67" s="768"/>
      <c r="W67" s="768"/>
    </row>
    <row r="68" ht="15.75" customHeight="1">
      <c r="A68" s="766" t="s">
        <v>2562</v>
      </c>
      <c r="B68" s="767" t="s">
        <v>6324</v>
      </c>
      <c r="C68" s="766" t="str">
        <f>IFERROR(__xludf.DUMMYFUNCTION("IF(COUNTA(filter(B:B,B:B=B68))=1,""Regular"",""Conta Repetida"")"),"Regular")</f>
        <v>Regular</v>
      </c>
      <c r="D68" s="768"/>
      <c r="E68" s="768"/>
      <c r="F68" s="768"/>
      <c r="G68" s="768"/>
      <c r="H68" s="768"/>
      <c r="I68" s="768"/>
      <c r="J68" s="768"/>
      <c r="K68" s="768"/>
      <c r="L68" s="768"/>
      <c r="M68" s="768"/>
      <c r="N68" s="768"/>
      <c r="O68" s="768"/>
      <c r="P68" s="768"/>
      <c r="Q68" s="768"/>
      <c r="R68" s="768"/>
      <c r="S68" s="768"/>
      <c r="T68" s="768"/>
      <c r="U68" s="768"/>
      <c r="V68" s="768"/>
      <c r="W68" s="768"/>
    </row>
    <row r="69" ht="15.75" customHeight="1">
      <c r="A69" s="766" t="s">
        <v>197</v>
      </c>
      <c r="B69" s="767" t="s">
        <v>3560</v>
      </c>
      <c r="C69" s="766" t="str">
        <f>IFERROR(__xludf.DUMMYFUNCTION("IF(COUNTA(filter(B:B,B:B=B69))=1,""Regular"",""Conta Repetida"")"),"Regular")</f>
        <v>Regular</v>
      </c>
      <c r="D69" s="768"/>
      <c r="E69" s="768"/>
      <c r="F69" s="768"/>
      <c r="G69" s="768"/>
      <c r="H69" s="768"/>
      <c r="I69" s="768"/>
      <c r="J69" s="768"/>
      <c r="K69" s="768"/>
      <c r="L69" s="768"/>
      <c r="M69" s="768"/>
      <c r="N69" s="768"/>
      <c r="O69" s="768"/>
      <c r="P69" s="768"/>
      <c r="Q69" s="768"/>
      <c r="R69" s="768"/>
      <c r="S69" s="768"/>
      <c r="T69" s="768"/>
      <c r="U69" s="768"/>
      <c r="V69" s="768"/>
      <c r="W69" s="768"/>
    </row>
    <row r="70" ht="15.75" customHeight="1">
      <c r="A70" s="766" t="s">
        <v>177</v>
      </c>
      <c r="B70" s="767" t="s">
        <v>6325</v>
      </c>
      <c r="C70" s="766" t="str">
        <f>IFERROR(__xludf.DUMMYFUNCTION("IF(COUNTA(filter(B:B,B:B=B70))=1,""Regular"",""Conta Repetida"")"),"Regular")</f>
        <v>Regular</v>
      </c>
      <c r="D70" s="768"/>
      <c r="E70" s="768"/>
      <c r="F70" s="768"/>
      <c r="G70" s="768"/>
      <c r="H70" s="768"/>
      <c r="I70" s="768"/>
      <c r="J70" s="768"/>
      <c r="K70" s="768"/>
      <c r="L70" s="768"/>
      <c r="M70" s="768"/>
      <c r="N70" s="768"/>
      <c r="O70" s="768"/>
      <c r="P70" s="768"/>
      <c r="Q70" s="768"/>
      <c r="R70" s="768"/>
      <c r="S70" s="768"/>
      <c r="T70" s="768"/>
      <c r="U70" s="768"/>
      <c r="V70" s="768"/>
      <c r="W70" s="768"/>
    </row>
    <row r="71" ht="15.75" customHeight="1">
      <c r="A71" s="766" t="s">
        <v>2634</v>
      </c>
      <c r="B71" s="767" t="s">
        <v>6326</v>
      </c>
      <c r="C71" s="766" t="str">
        <f>IFERROR(__xludf.DUMMYFUNCTION("IF(COUNTA(filter(B:B,B:B=B71))=1,""Regular"",""Conta Repetida"")"),"Regular")</f>
        <v>Regular</v>
      </c>
      <c r="D71" s="768"/>
      <c r="E71" s="768"/>
      <c r="F71" s="768"/>
      <c r="G71" s="768"/>
      <c r="H71" s="768"/>
      <c r="I71" s="768"/>
      <c r="J71" s="768"/>
      <c r="K71" s="768"/>
      <c r="L71" s="768"/>
      <c r="M71" s="768"/>
      <c r="N71" s="768"/>
      <c r="O71" s="768"/>
      <c r="P71" s="768"/>
      <c r="Q71" s="768"/>
      <c r="R71" s="768"/>
      <c r="S71" s="768"/>
      <c r="T71" s="768"/>
      <c r="U71" s="768"/>
      <c r="V71" s="768"/>
      <c r="W71" s="768"/>
    </row>
    <row r="72" ht="15.75" customHeight="1">
      <c r="A72" s="766" t="s">
        <v>2659</v>
      </c>
      <c r="B72" s="767" t="s">
        <v>6327</v>
      </c>
      <c r="C72" s="766" t="str">
        <f>IFERROR(__xludf.DUMMYFUNCTION("IF(COUNTA(filter(B:B,B:B=B72))=1,""Regular"",""Conta Repetida"")"),"Regular")</f>
        <v>Regular</v>
      </c>
      <c r="D72" s="768"/>
      <c r="E72" s="768"/>
      <c r="F72" s="768"/>
      <c r="G72" s="768"/>
      <c r="H72" s="768"/>
      <c r="I72" s="768"/>
      <c r="J72" s="768"/>
      <c r="K72" s="768"/>
      <c r="L72" s="768"/>
      <c r="M72" s="768"/>
      <c r="N72" s="768"/>
      <c r="O72" s="768"/>
      <c r="P72" s="768"/>
      <c r="Q72" s="768"/>
      <c r="R72" s="768"/>
      <c r="S72" s="768"/>
      <c r="T72" s="768"/>
      <c r="U72" s="768"/>
      <c r="V72" s="768"/>
      <c r="W72" s="768"/>
    </row>
    <row r="73" ht="15.75" customHeight="1">
      <c r="A73" s="766" t="s">
        <v>6328</v>
      </c>
      <c r="B73" s="767" t="s">
        <v>6329</v>
      </c>
      <c r="C73" s="766" t="str">
        <f>IFERROR(__xludf.DUMMYFUNCTION("IF(COUNTA(filter(B:B,B:B=B73))=1,""Regular"",""Conta Repetida"")"),"Regular")</f>
        <v>Regular</v>
      </c>
      <c r="D73" s="768"/>
      <c r="E73" s="768"/>
      <c r="F73" s="768"/>
      <c r="G73" s="768"/>
      <c r="H73" s="768"/>
      <c r="I73" s="768"/>
      <c r="J73" s="768"/>
      <c r="K73" s="768"/>
      <c r="L73" s="768"/>
      <c r="M73" s="768"/>
      <c r="N73" s="768"/>
      <c r="O73" s="768"/>
      <c r="P73" s="768"/>
      <c r="Q73" s="768"/>
      <c r="R73" s="768"/>
      <c r="S73" s="768"/>
      <c r="T73" s="768"/>
      <c r="U73" s="768"/>
      <c r="V73" s="768"/>
      <c r="W73" s="768"/>
    </row>
    <row r="74" ht="15.75" customHeight="1">
      <c r="A74" s="766" t="s">
        <v>3644</v>
      </c>
      <c r="B74" s="767" t="s">
        <v>6330</v>
      </c>
      <c r="C74" s="766" t="str">
        <f>IFERROR(__xludf.DUMMYFUNCTION("IF(COUNTA(filter(B:B,B:B=B74))=1,""Regular"",""Conta Repetida"")"),"Regular")</f>
        <v>Regular</v>
      </c>
      <c r="D74" s="768"/>
      <c r="E74" s="768"/>
      <c r="F74" s="768"/>
      <c r="G74" s="768"/>
      <c r="H74" s="768"/>
      <c r="I74" s="768"/>
      <c r="J74" s="768"/>
      <c r="K74" s="768"/>
      <c r="L74" s="768"/>
      <c r="M74" s="768"/>
      <c r="N74" s="768"/>
      <c r="O74" s="768"/>
      <c r="P74" s="768"/>
      <c r="Q74" s="768"/>
      <c r="R74" s="768"/>
      <c r="S74" s="768"/>
      <c r="T74" s="768"/>
      <c r="U74" s="768"/>
      <c r="V74" s="768"/>
      <c r="W74" s="768"/>
    </row>
    <row r="75" ht="15.75" customHeight="1">
      <c r="A75" s="766" t="s">
        <v>3678</v>
      </c>
      <c r="B75" s="767" t="s">
        <v>6331</v>
      </c>
      <c r="C75" s="766" t="str">
        <f>IFERROR(__xludf.DUMMYFUNCTION("IF(COUNTA(filter(B:B,B:B=B75))=1,""Regular"",""Conta Repetida"")"),"Regular")</f>
        <v>Regular</v>
      </c>
      <c r="D75" s="768"/>
      <c r="E75" s="768"/>
      <c r="F75" s="768"/>
      <c r="G75" s="768"/>
      <c r="H75" s="768"/>
      <c r="I75" s="768"/>
      <c r="J75" s="768"/>
      <c r="K75" s="768"/>
      <c r="L75" s="768"/>
      <c r="M75" s="768"/>
      <c r="N75" s="768"/>
      <c r="O75" s="768"/>
      <c r="P75" s="768"/>
      <c r="Q75" s="768"/>
      <c r="R75" s="768"/>
      <c r="S75" s="768"/>
      <c r="T75" s="768"/>
      <c r="U75" s="768"/>
      <c r="V75" s="768"/>
      <c r="W75" s="768"/>
    </row>
    <row r="76" ht="15.75" customHeight="1">
      <c r="A76" s="766" t="s">
        <v>3686</v>
      </c>
      <c r="B76" s="767" t="s">
        <v>6332</v>
      </c>
      <c r="C76" s="766" t="str">
        <f>IFERROR(__xludf.DUMMYFUNCTION("IF(COUNTA(filter(B:B,B:B=B76))=1,""Regular"",""Conta Repetida"")"),"Regular")</f>
        <v>Regular</v>
      </c>
      <c r="D76" s="768"/>
      <c r="E76" s="768"/>
      <c r="F76" s="768"/>
      <c r="G76" s="768"/>
      <c r="H76" s="768"/>
      <c r="I76" s="768"/>
      <c r="J76" s="768"/>
      <c r="K76" s="768"/>
      <c r="L76" s="768"/>
      <c r="M76" s="768"/>
      <c r="N76" s="768"/>
      <c r="O76" s="768"/>
      <c r="P76" s="768"/>
      <c r="Q76" s="768"/>
      <c r="R76" s="768"/>
      <c r="S76" s="768"/>
      <c r="T76" s="768"/>
      <c r="U76" s="768"/>
      <c r="V76" s="768"/>
      <c r="W76" s="768"/>
    </row>
    <row r="77" ht="15.75" customHeight="1">
      <c r="A77" s="766" t="s">
        <v>6333</v>
      </c>
      <c r="B77" s="767">
        <v>15678.0</v>
      </c>
      <c r="C77" s="766" t="str">
        <f>IFERROR(__xludf.DUMMYFUNCTION("IF(COUNTA(filter(B:B,B:B=B77))=1,""Regular"",""Conta Repetida"")"),"Regular")</f>
        <v>Regular</v>
      </c>
      <c r="D77" s="768"/>
      <c r="E77" s="768"/>
      <c r="F77" s="768"/>
      <c r="G77" s="768"/>
      <c r="H77" s="768"/>
      <c r="I77" s="768"/>
      <c r="J77" s="768"/>
      <c r="K77" s="768"/>
      <c r="L77" s="768"/>
      <c r="M77" s="768"/>
      <c r="N77" s="768"/>
      <c r="O77" s="768"/>
      <c r="P77" s="768"/>
      <c r="Q77" s="768"/>
      <c r="R77" s="768"/>
      <c r="S77" s="768"/>
      <c r="T77" s="768"/>
      <c r="U77" s="768"/>
      <c r="V77" s="768"/>
      <c r="W77" s="768"/>
    </row>
    <row r="78" ht="15.75" customHeight="1">
      <c r="A78" s="766" t="s">
        <v>2690</v>
      </c>
      <c r="B78" s="767">
        <v>26542.0</v>
      </c>
      <c r="C78" s="766" t="str">
        <f>IFERROR(__xludf.DUMMYFUNCTION("IF(COUNTA(filter(B:B,B:B=B78))=1,""Regular"",""Conta Repetida"")"),"Regular")</f>
        <v>Regular</v>
      </c>
      <c r="D78" s="768"/>
      <c r="E78" s="768"/>
      <c r="F78" s="768"/>
      <c r="G78" s="768"/>
      <c r="H78" s="768"/>
      <c r="I78" s="768"/>
      <c r="J78" s="768"/>
      <c r="K78" s="768"/>
      <c r="L78" s="768"/>
      <c r="M78" s="768"/>
      <c r="N78" s="768"/>
      <c r="O78" s="768"/>
      <c r="P78" s="768"/>
      <c r="Q78" s="768"/>
      <c r="R78" s="768"/>
      <c r="S78" s="768"/>
      <c r="T78" s="768"/>
      <c r="U78" s="768"/>
      <c r="V78" s="768"/>
      <c r="W78" s="768"/>
    </row>
    <row r="79" ht="15.75" customHeight="1">
      <c r="A79" s="770" t="s">
        <v>6334</v>
      </c>
      <c r="B79" s="767">
        <v>12345.0</v>
      </c>
      <c r="C79" s="766" t="str">
        <f>IFERROR(__xludf.DUMMYFUNCTION("IF(COUNTA(filter(B:B,B:B=B79))=1,""Regular"",""Conta Repetida"")"),"Regular")</f>
        <v>Regular</v>
      </c>
      <c r="D79" s="768"/>
      <c r="E79" s="768"/>
      <c r="F79" s="768"/>
      <c r="G79" s="768"/>
      <c r="H79" s="768"/>
      <c r="I79" s="768"/>
      <c r="J79" s="768"/>
      <c r="K79" s="768"/>
      <c r="L79" s="768"/>
      <c r="M79" s="768"/>
      <c r="N79" s="768"/>
      <c r="O79" s="768"/>
      <c r="P79" s="768"/>
      <c r="Q79" s="768"/>
      <c r="R79" s="768"/>
      <c r="S79" s="768"/>
      <c r="T79" s="768"/>
      <c r="U79" s="768"/>
      <c r="V79" s="768"/>
      <c r="W79" s="768"/>
    </row>
    <row r="80" ht="15.75" customHeight="1">
      <c r="A80" s="770" t="s">
        <v>168</v>
      </c>
      <c r="B80" s="767">
        <v>12344.0</v>
      </c>
      <c r="C80" s="766" t="str">
        <f>IFERROR(__xludf.DUMMYFUNCTION("IF(COUNTA(filter(B:B,B:B=B80))=1,""Regular"",""Conta Repetida"")"),"Regular")</f>
        <v>Regular</v>
      </c>
      <c r="D80" s="768"/>
      <c r="E80" s="768"/>
      <c r="F80" s="768"/>
      <c r="G80" s="768"/>
      <c r="H80" s="768"/>
      <c r="I80" s="768"/>
      <c r="J80" s="768"/>
      <c r="K80" s="768"/>
      <c r="L80" s="768"/>
      <c r="M80" s="768"/>
      <c r="N80" s="768"/>
      <c r="O80" s="768"/>
      <c r="P80" s="768"/>
      <c r="Q80" s="768"/>
      <c r="R80" s="768"/>
      <c r="S80" s="768"/>
      <c r="T80" s="768"/>
      <c r="U80" s="768"/>
      <c r="V80" s="768"/>
      <c r="W80" s="768"/>
    </row>
    <row r="81" ht="15.75" customHeight="1">
      <c r="A81" s="766" t="s">
        <v>1955</v>
      </c>
      <c r="B81" s="767">
        <v>12343.0</v>
      </c>
      <c r="C81" s="766" t="str">
        <f>IFERROR(__xludf.DUMMYFUNCTION("IF(COUNTA(filter(B:B,B:B=B81))=1,""Regular"",""Conta Repetida"")"),"Regular")</f>
        <v>Regular</v>
      </c>
      <c r="D81" s="768"/>
      <c r="E81" s="768"/>
      <c r="F81" s="768"/>
      <c r="G81" s="768"/>
      <c r="H81" s="768"/>
      <c r="I81" s="768"/>
      <c r="J81" s="768"/>
      <c r="K81" s="768"/>
      <c r="L81" s="768"/>
      <c r="M81" s="768"/>
      <c r="N81" s="768"/>
      <c r="O81" s="768"/>
      <c r="P81" s="768"/>
      <c r="Q81" s="768"/>
      <c r="R81" s="768"/>
      <c r="S81" s="768"/>
      <c r="T81" s="768"/>
      <c r="U81" s="768"/>
      <c r="V81" s="768"/>
      <c r="W81" s="768"/>
    </row>
    <row r="82" ht="15.75" customHeight="1">
      <c r="A82" s="766" t="s">
        <v>836</v>
      </c>
      <c r="B82" s="767">
        <v>12342.0</v>
      </c>
      <c r="C82" s="766" t="str">
        <f>IFERROR(__xludf.DUMMYFUNCTION("IF(COUNTA(filter(B:B,B:B=B82))=1,""Regular"",""Conta Repetida"")"),"Regular")</f>
        <v>Regular</v>
      </c>
      <c r="D82" s="768"/>
      <c r="E82" s="768"/>
      <c r="F82" s="768"/>
      <c r="G82" s="768"/>
      <c r="H82" s="768"/>
      <c r="I82" s="768"/>
      <c r="J82" s="768"/>
      <c r="K82" s="768"/>
      <c r="L82" s="768"/>
      <c r="M82" s="768"/>
      <c r="N82" s="768"/>
      <c r="O82" s="768"/>
      <c r="P82" s="768"/>
      <c r="Q82" s="768"/>
      <c r="R82" s="768"/>
      <c r="S82" s="768"/>
      <c r="T82" s="768"/>
      <c r="U82" s="768"/>
      <c r="V82" s="768"/>
      <c r="W82" s="768"/>
    </row>
    <row r="83" ht="15.75" customHeight="1">
      <c r="A83" s="741" t="s">
        <v>6335</v>
      </c>
      <c r="B83" s="767">
        <v>12341.0</v>
      </c>
      <c r="C83" s="766" t="str">
        <f>IFERROR(__xludf.DUMMYFUNCTION("IF(COUNTA(filter(B:B,B:B=B83))=1,""Regular"",""Conta Repetida"")"),"Regular")</f>
        <v>Regular</v>
      </c>
      <c r="D83" s="768"/>
      <c r="E83" s="768"/>
      <c r="F83" s="768"/>
      <c r="G83" s="768"/>
      <c r="H83" s="768"/>
      <c r="I83" s="768"/>
      <c r="J83" s="768"/>
      <c r="K83" s="768"/>
      <c r="L83" s="768"/>
      <c r="M83" s="768"/>
      <c r="N83" s="768"/>
      <c r="O83" s="768"/>
      <c r="P83" s="768"/>
      <c r="Q83" s="768"/>
      <c r="R83" s="768"/>
      <c r="S83" s="768"/>
      <c r="T83" s="768"/>
      <c r="U83" s="768"/>
      <c r="V83" s="768"/>
      <c r="W83" s="768"/>
    </row>
    <row r="84" ht="15.75" customHeight="1">
      <c r="A84" s="741" t="s">
        <v>4748</v>
      </c>
      <c r="B84" s="767">
        <v>12340.0</v>
      </c>
      <c r="C84" s="766" t="str">
        <f>IFERROR(__xludf.DUMMYFUNCTION("IF(COUNTA(filter(B:B,B:B=B84))=1,""Regular"",""Conta Repetida"")"),"Regular")</f>
        <v>Regular</v>
      </c>
      <c r="D84" s="768"/>
      <c r="E84" s="768"/>
      <c r="F84" s="768"/>
      <c r="G84" s="768"/>
      <c r="H84" s="768"/>
      <c r="I84" s="768"/>
      <c r="J84" s="768"/>
      <c r="K84" s="768"/>
      <c r="L84" s="768"/>
      <c r="M84" s="768"/>
      <c r="N84" s="768"/>
      <c r="O84" s="768"/>
      <c r="P84" s="768"/>
      <c r="Q84" s="768"/>
      <c r="R84" s="768"/>
      <c r="S84" s="768"/>
      <c r="T84" s="768"/>
      <c r="U84" s="768"/>
      <c r="V84" s="768"/>
      <c r="W84" s="768"/>
    </row>
    <row r="85" ht="15.75" customHeight="1">
      <c r="A85" s="741" t="s">
        <v>4115</v>
      </c>
      <c r="B85" s="767">
        <v>12339.0</v>
      </c>
      <c r="C85" s="766" t="str">
        <f>IFERROR(__xludf.DUMMYFUNCTION("IF(COUNTA(filter(B:B,B:B=B85))=1,""Regular"",""Conta Repetida"")"),"Regular")</f>
        <v>Regular</v>
      </c>
      <c r="D85" s="768"/>
      <c r="E85" s="768"/>
      <c r="F85" s="768"/>
      <c r="G85" s="768"/>
      <c r="H85" s="768"/>
      <c r="I85" s="768"/>
      <c r="J85" s="768"/>
      <c r="K85" s="768"/>
      <c r="L85" s="768"/>
      <c r="M85" s="768"/>
      <c r="N85" s="768"/>
      <c r="O85" s="768"/>
      <c r="P85" s="768"/>
      <c r="Q85" s="768"/>
      <c r="R85" s="768"/>
      <c r="S85" s="768"/>
      <c r="T85" s="768"/>
      <c r="U85" s="768"/>
      <c r="V85" s="768"/>
      <c r="W85" s="768"/>
    </row>
    <row r="86" ht="15.75" customHeight="1">
      <c r="A86" s="771" t="s">
        <v>4947</v>
      </c>
      <c r="B86" s="767">
        <v>12338.0</v>
      </c>
      <c r="C86" s="766" t="str">
        <f>IFERROR(__xludf.DUMMYFUNCTION("IF(COUNTA(filter(B:B,B:B=B86))=1,""Regular"",""Conta Repetida"")"),"Regular")</f>
        <v>Regular</v>
      </c>
      <c r="D86" s="768"/>
      <c r="E86" s="768"/>
      <c r="F86" s="768"/>
      <c r="G86" s="768"/>
      <c r="H86" s="768"/>
      <c r="I86" s="768"/>
      <c r="J86" s="768"/>
      <c r="K86" s="768"/>
      <c r="L86" s="768"/>
      <c r="M86" s="768"/>
      <c r="N86" s="768"/>
      <c r="O86" s="768"/>
      <c r="P86" s="768"/>
      <c r="Q86" s="768"/>
      <c r="R86" s="768"/>
      <c r="S86" s="768"/>
      <c r="T86" s="768"/>
      <c r="U86" s="768"/>
      <c r="V86" s="768"/>
      <c r="W86" s="768"/>
    </row>
    <row r="87" ht="15.75" customHeight="1">
      <c r="A87" s="741" t="s">
        <v>4160</v>
      </c>
      <c r="B87" s="767">
        <v>12337.0</v>
      </c>
      <c r="C87" s="766" t="str">
        <f>IFERROR(__xludf.DUMMYFUNCTION("IF(COUNTA(filter(B:B,B:B=B87))=1,""Regular"",""Conta Repetida"")"),"Regular")</f>
        <v>Regular</v>
      </c>
      <c r="D87" s="768"/>
      <c r="E87" s="768"/>
      <c r="F87" s="768"/>
      <c r="G87" s="768"/>
      <c r="H87" s="768"/>
      <c r="I87" s="768"/>
      <c r="J87" s="768"/>
      <c r="K87" s="768"/>
      <c r="L87" s="768"/>
      <c r="M87" s="768"/>
      <c r="N87" s="768"/>
      <c r="O87" s="768"/>
      <c r="P87" s="768"/>
      <c r="Q87" s="768"/>
      <c r="R87" s="768"/>
      <c r="S87" s="768"/>
      <c r="T87" s="768"/>
      <c r="U87" s="768"/>
      <c r="V87" s="768"/>
      <c r="W87" s="768"/>
    </row>
    <row r="88" ht="15.75" customHeight="1">
      <c r="A88" s="741" t="s">
        <v>3833</v>
      </c>
      <c r="B88" s="767">
        <v>12336.0</v>
      </c>
      <c r="C88" s="766" t="str">
        <f>IFERROR(__xludf.DUMMYFUNCTION("IF(COUNTA(filter(B:B,B:B=B88))=1,""Regular"",""Conta Repetida"")"),"Regular")</f>
        <v>Regular</v>
      </c>
      <c r="D88" s="768"/>
      <c r="E88" s="768"/>
      <c r="F88" s="768"/>
      <c r="G88" s="768"/>
      <c r="H88" s="768"/>
      <c r="I88" s="768"/>
      <c r="J88" s="768"/>
      <c r="K88" s="768"/>
      <c r="L88" s="768"/>
      <c r="M88" s="768"/>
      <c r="N88" s="768"/>
      <c r="O88" s="768"/>
      <c r="P88" s="768"/>
      <c r="Q88" s="768"/>
      <c r="R88" s="768"/>
      <c r="S88" s="768"/>
      <c r="T88" s="768"/>
      <c r="U88" s="768"/>
      <c r="V88" s="768"/>
      <c r="W88" s="768"/>
    </row>
    <row r="89" ht="15.75" customHeight="1">
      <c r="A89" s="741" t="s">
        <v>4235</v>
      </c>
      <c r="B89" s="767">
        <v>12335.0</v>
      </c>
      <c r="C89" s="766" t="str">
        <f>IFERROR(__xludf.DUMMYFUNCTION("IF(COUNTA(filter(B:B,B:B=B89))=1,""Regular"",""Conta Repetida"")"),"Regular")</f>
        <v>Regular</v>
      </c>
      <c r="D89" s="768"/>
      <c r="E89" s="768"/>
      <c r="F89" s="768"/>
      <c r="G89" s="768"/>
      <c r="H89" s="768"/>
      <c r="I89" s="768"/>
      <c r="J89" s="768"/>
      <c r="K89" s="768"/>
      <c r="L89" s="768"/>
      <c r="M89" s="768"/>
      <c r="N89" s="768"/>
      <c r="O89" s="768"/>
      <c r="P89" s="768"/>
      <c r="Q89" s="768"/>
      <c r="R89" s="768"/>
      <c r="S89" s="768"/>
      <c r="T89" s="768"/>
      <c r="U89" s="768"/>
      <c r="V89" s="768"/>
      <c r="W89" s="768"/>
    </row>
    <row r="90" ht="15.75" customHeight="1">
      <c r="A90" s="741" t="s">
        <v>6336</v>
      </c>
      <c r="B90" s="767">
        <v>12334.0</v>
      </c>
      <c r="C90" s="766" t="str">
        <f>IFERROR(__xludf.DUMMYFUNCTION("IF(COUNTA(filter(B:B,B:B=B90))=1,""Regular"",""Conta Repetida"")"),"Regular")</f>
        <v>Regular</v>
      </c>
      <c r="D90" s="768"/>
      <c r="E90" s="768"/>
      <c r="F90" s="768"/>
      <c r="G90" s="768"/>
      <c r="H90" s="768"/>
      <c r="I90" s="768"/>
      <c r="J90" s="768"/>
      <c r="K90" s="768"/>
      <c r="L90" s="768"/>
      <c r="M90" s="768"/>
      <c r="N90" s="768"/>
      <c r="O90" s="768"/>
      <c r="P90" s="768"/>
      <c r="Q90" s="768"/>
      <c r="R90" s="768"/>
      <c r="S90" s="768"/>
      <c r="T90" s="768"/>
      <c r="U90" s="768"/>
      <c r="V90" s="768"/>
      <c r="W90" s="768"/>
    </row>
    <row r="91" ht="15.75" customHeight="1">
      <c r="A91" s="770" t="s">
        <v>6253</v>
      </c>
      <c r="B91" s="767">
        <v>12333.0</v>
      </c>
      <c r="C91" s="766" t="str">
        <f>IFERROR(__xludf.DUMMYFUNCTION("IF(COUNTA(filter(B:B,B:B=B91))=1,""Regular"",""Conta Repetida"")"),"Regular")</f>
        <v>Regular</v>
      </c>
      <c r="D91" s="768"/>
      <c r="E91" s="768"/>
      <c r="F91" s="768"/>
      <c r="G91" s="768"/>
      <c r="H91" s="768"/>
      <c r="I91" s="768"/>
      <c r="J91" s="768"/>
      <c r="K91" s="768"/>
      <c r="L91" s="768"/>
      <c r="M91" s="768"/>
      <c r="N91" s="768"/>
      <c r="O91" s="768"/>
      <c r="P91" s="768"/>
      <c r="Q91" s="768"/>
      <c r="R91" s="768"/>
      <c r="S91" s="768"/>
      <c r="T91" s="768"/>
      <c r="U91" s="768"/>
      <c r="V91" s="768"/>
      <c r="W91" s="768"/>
    </row>
    <row r="92" ht="15.75" customHeight="1">
      <c r="A92" s="770" t="s">
        <v>60</v>
      </c>
      <c r="B92" s="767">
        <v>12332.0</v>
      </c>
      <c r="C92" s="766" t="str">
        <f>IFERROR(__xludf.DUMMYFUNCTION("IF(COUNTA(filter(B:B,B:B=B92))=1,""Regular"",""Conta Repetida"")"),"Regular")</f>
        <v>Regular</v>
      </c>
      <c r="D92" s="768"/>
      <c r="E92" s="768"/>
      <c r="F92" s="768"/>
      <c r="G92" s="768"/>
      <c r="H92" s="768"/>
      <c r="I92" s="768"/>
      <c r="J92" s="768"/>
      <c r="K92" s="768"/>
      <c r="L92" s="768"/>
      <c r="M92" s="768"/>
      <c r="N92" s="768"/>
      <c r="O92" s="768"/>
      <c r="P92" s="768"/>
      <c r="Q92" s="768"/>
      <c r="R92" s="768"/>
      <c r="S92" s="768"/>
      <c r="T92" s="768"/>
      <c r="U92" s="768"/>
      <c r="V92" s="768"/>
      <c r="W92" s="768"/>
    </row>
    <row r="93" ht="15.75" customHeight="1">
      <c r="A93" s="770" t="s">
        <v>20</v>
      </c>
      <c r="B93" s="767">
        <v>12331.0</v>
      </c>
      <c r="C93" s="766" t="str">
        <f>IFERROR(__xludf.DUMMYFUNCTION("IF(COUNTA(filter(B:B,B:B=B93))=1,""Regular"",""Conta Repetida"")"),"Regular")</f>
        <v>Regular</v>
      </c>
      <c r="D93" s="768"/>
      <c r="E93" s="768"/>
      <c r="F93" s="768"/>
      <c r="G93" s="768"/>
      <c r="H93" s="768"/>
      <c r="I93" s="768"/>
      <c r="J93" s="768"/>
      <c r="K93" s="768"/>
      <c r="L93" s="768"/>
      <c r="M93" s="768"/>
      <c r="N93" s="768"/>
      <c r="O93" s="768"/>
      <c r="P93" s="768"/>
      <c r="Q93" s="768"/>
      <c r="R93" s="768"/>
      <c r="S93" s="768"/>
      <c r="T93" s="768"/>
      <c r="U93" s="768"/>
      <c r="V93" s="768"/>
      <c r="W93" s="768"/>
    </row>
    <row r="94" ht="15.75" customHeight="1">
      <c r="A94" s="770" t="s">
        <v>4283</v>
      </c>
      <c r="B94" s="767">
        <v>12330.0</v>
      </c>
      <c r="C94" s="766" t="str">
        <f>IFERROR(__xludf.DUMMYFUNCTION("IF(COUNTA(filter(B:B,B:B=B94))=1,""Regular"",""Conta Repetida"")"),"Regular")</f>
        <v>Regular</v>
      </c>
      <c r="D94" s="768"/>
      <c r="E94" s="768"/>
      <c r="F94" s="768"/>
      <c r="G94" s="768"/>
      <c r="H94" s="768"/>
      <c r="I94" s="768"/>
      <c r="J94" s="768"/>
      <c r="K94" s="768"/>
      <c r="L94" s="768"/>
      <c r="M94" s="768"/>
      <c r="N94" s="768"/>
      <c r="O94" s="768"/>
      <c r="P94" s="768"/>
      <c r="Q94" s="768"/>
      <c r="R94" s="768"/>
      <c r="S94" s="768"/>
      <c r="T94" s="768"/>
      <c r="U94" s="768"/>
      <c r="V94" s="768"/>
      <c r="W94" s="768"/>
    </row>
    <row r="95" ht="15.75" customHeight="1">
      <c r="A95" s="770" t="s">
        <v>4201</v>
      </c>
      <c r="B95" s="767">
        <v>12347.0</v>
      </c>
      <c r="C95" s="766" t="str">
        <f>IFERROR(__xludf.DUMMYFUNCTION("IF(COUNTA(filter(B:B,B:B=B95))=1,""Regular"",""Conta Repetida"")"),"Regular")</f>
        <v>Regular</v>
      </c>
      <c r="D95" s="768"/>
      <c r="E95" s="768"/>
      <c r="F95" s="768"/>
      <c r="G95" s="768"/>
      <c r="H95" s="768"/>
      <c r="I95" s="768"/>
      <c r="J95" s="768"/>
      <c r="K95" s="768"/>
      <c r="L95" s="768"/>
      <c r="M95" s="768"/>
      <c r="N95" s="768"/>
      <c r="O95" s="768"/>
      <c r="P95" s="768"/>
      <c r="Q95" s="768"/>
      <c r="R95" s="768"/>
      <c r="S95" s="768"/>
      <c r="T95" s="768"/>
      <c r="U95" s="768"/>
      <c r="V95" s="768"/>
      <c r="W95" s="768"/>
    </row>
    <row r="96" ht="15.75" customHeight="1">
      <c r="A96" s="770" t="s">
        <v>6337</v>
      </c>
      <c r="B96" s="767">
        <v>12348.0</v>
      </c>
      <c r="C96" s="766" t="str">
        <f>IFERROR(__xludf.DUMMYFUNCTION("IF(COUNTA(filter(B:B,B:B=B96))=1,""Regular"",""Conta Repetida"")"),"Regular")</f>
        <v>Regular</v>
      </c>
      <c r="D96" s="768"/>
      <c r="E96" s="768"/>
      <c r="F96" s="768"/>
      <c r="G96" s="768"/>
      <c r="H96" s="768"/>
      <c r="I96" s="768"/>
      <c r="J96" s="768"/>
      <c r="K96" s="768"/>
      <c r="L96" s="768"/>
      <c r="M96" s="768"/>
      <c r="N96" s="768"/>
      <c r="O96" s="768"/>
      <c r="P96" s="768"/>
      <c r="Q96" s="768"/>
      <c r="R96" s="768"/>
      <c r="S96" s="768"/>
      <c r="T96" s="768"/>
      <c r="U96" s="768"/>
      <c r="V96" s="768"/>
      <c r="W96" s="768"/>
    </row>
    <row r="97" ht="15.75" customHeight="1">
      <c r="A97" s="770" t="s">
        <v>6338</v>
      </c>
      <c r="B97" s="767">
        <v>12349.0</v>
      </c>
      <c r="C97" s="766" t="str">
        <f>IFERROR(__xludf.DUMMYFUNCTION("IF(COUNTA(filter(B:B,B:B=B97))=1,""Regular"",""Conta Repetida"")"),"Regular")</f>
        <v>Regular</v>
      </c>
      <c r="D97" s="768"/>
      <c r="E97" s="768"/>
      <c r="F97" s="768"/>
      <c r="G97" s="768"/>
      <c r="H97" s="768"/>
      <c r="I97" s="768"/>
      <c r="J97" s="768"/>
      <c r="K97" s="768"/>
      <c r="L97" s="768"/>
      <c r="M97" s="768"/>
      <c r="N97" s="768"/>
      <c r="O97" s="768"/>
      <c r="P97" s="768"/>
      <c r="Q97" s="768"/>
      <c r="R97" s="768"/>
      <c r="S97" s="768"/>
      <c r="T97" s="768"/>
      <c r="U97" s="768"/>
      <c r="V97" s="768"/>
      <c r="W97" s="768"/>
    </row>
    <row r="98" ht="15.75" customHeight="1">
      <c r="A98" s="770" t="s">
        <v>1805</v>
      </c>
      <c r="B98" s="767">
        <v>12350.0</v>
      </c>
      <c r="C98" s="766" t="str">
        <f>IFERROR(__xludf.DUMMYFUNCTION("IF(COUNTA(filter(B:B,B:B=B98))=1,""Regular"",""Conta Repetida"")"),"Regular")</f>
        <v>Regular</v>
      </c>
      <c r="D98" s="768"/>
      <c r="E98" s="768"/>
      <c r="F98" s="768"/>
      <c r="G98" s="768"/>
      <c r="H98" s="768"/>
      <c r="I98" s="768"/>
      <c r="J98" s="768"/>
      <c r="K98" s="768"/>
      <c r="L98" s="768"/>
      <c r="M98" s="768"/>
      <c r="N98" s="768"/>
      <c r="O98" s="768"/>
      <c r="P98" s="768"/>
      <c r="Q98" s="768"/>
      <c r="R98" s="768"/>
      <c r="S98" s="768"/>
      <c r="T98" s="768"/>
      <c r="U98" s="768"/>
      <c r="V98" s="768"/>
      <c r="W98" s="768"/>
    </row>
    <row r="99" ht="15.75" customHeight="1">
      <c r="A99" s="770" t="s">
        <v>4003</v>
      </c>
      <c r="B99" s="767">
        <v>12351.0</v>
      </c>
      <c r="C99" s="766" t="str">
        <f>IFERROR(__xludf.DUMMYFUNCTION("IF(COUNTA(filter(B:B,B:B=B99))=1,""Regular"",""Conta Repetida"")"),"Regular")</f>
        <v>Regular</v>
      </c>
      <c r="D99" s="768"/>
      <c r="E99" s="768"/>
      <c r="F99" s="768"/>
      <c r="G99" s="768"/>
      <c r="H99" s="768"/>
      <c r="I99" s="768"/>
      <c r="J99" s="768"/>
      <c r="K99" s="768"/>
      <c r="L99" s="768"/>
      <c r="M99" s="768"/>
      <c r="N99" s="768"/>
      <c r="O99" s="768"/>
      <c r="P99" s="768"/>
      <c r="Q99" s="768"/>
      <c r="R99" s="768"/>
      <c r="S99" s="768"/>
      <c r="T99" s="768"/>
      <c r="U99" s="768"/>
      <c r="V99" s="768"/>
      <c r="W99" s="768"/>
    </row>
    <row r="100" ht="15.75" customHeight="1">
      <c r="A100" s="770" t="s">
        <v>4170</v>
      </c>
      <c r="B100" s="767">
        <v>12352.0</v>
      </c>
      <c r="C100" s="766" t="str">
        <f>IFERROR(__xludf.DUMMYFUNCTION("IF(COUNTA(filter(B:B,B:B=B100))=1,""Regular"",""Conta Repetida"")"),"Regular")</f>
        <v>Regular</v>
      </c>
      <c r="D100" s="768"/>
      <c r="E100" s="768"/>
      <c r="F100" s="768"/>
      <c r="G100" s="768"/>
      <c r="H100" s="768"/>
      <c r="I100" s="768"/>
      <c r="J100" s="768"/>
      <c r="K100" s="768"/>
      <c r="L100" s="768"/>
      <c r="M100" s="768"/>
      <c r="N100" s="768"/>
      <c r="O100" s="768"/>
      <c r="P100" s="768"/>
      <c r="Q100" s="768"/>
      <c r="R100" s="768"/>
      <c r="S100" s="768"/>
      <c r="T100" s="768"/>
      <c r="U100" s="768"/>
      <c r="V100" s="768"/>
      <c r="W100" s="768"/>
    </row>
    <row r="101" ht="15.75" customHeight="1">
      <c r="A101" s="770" t="s">
        <v>6339</v>
      </c>
      <c r="B101" s="767">
        <v>12353.0</v>
      </c>
      <c r="C101" s="766" t="str">
        <f>IFERROR(__xludf.DUMMYFUNCTION("IF(COUNTA(filter(B:B,B:B=B101))=1,""Regular"",""Conta Repetida"")"),"Regular")</f>
        <v>Regular</v>
      </c>
      <c r="D101" s="768"/>
      <c r="E101" s="768"/>
      <c r="F101" s="768"/>
      <c r="G101" s="768"/>
      <c r="H101" s="768"/>
      <c r="I101" s="768"/>
      <c r="J101" s="768"/>
      <c r="K101" s="768"/>
      <c r="L101" s="768"/>
      <c r="M101" s="768"/>
      <c r="N101" s="768"/>
      <c r="O101" s="768"/>
      <c r="P101" s="768"/>
      <c r="Q101" s="768"/>
      <c r="R101" s="768"/>
      <c r="S101" s="768"/>
      <c r="T101" s="768"/>
      <c r="U101" s="768"/>
      <c r="V101" s="768"/>
      <c r="W101" s="768"/>
    </row>
    <row r="102" ht="15.75" customHeight="1">
      <c r="A102" s="767" t="s">
        <v>6340</v>
      </c>
      <c r="B102" s="767">
        <v>12354.0</v>
      </c>
      <c r="C102" s="766" t="str">
        <f>IFERROR(__xludf.DUMMYFUNCTION("IF(COUNTA(filter(B:B,B:B=B102))=1,""Regular"",""Conta Repetida"")"),"Regular")</f>
        <v>Regular</v>
      </c>
      <c r="D102" s="768"/>
      <c r="E102" s="768"/>
      <c r="F102" s="768"/>
      <c r="G102" s="768"/>
      <c r="H102" s="768"/>
      <c r="I102" s="768"/>
      <c r="J102" s="768"/>
      <c r="K102" s="768"/>
      <c r="L102" s="768"/>
      <c r="M102" s="768"/>
      <c r="N102" s="768"/>
      <c r="O102" s="768"/>
      <c r="P102" s="768"/>
      <c r="Q102" s="768"/>
      <c r="R102" s="768"/>
      <c r="S102" s="768"/>
      <c r="T102" s="768"/>
      <c r="U102" s="768"/>
      <c r="V102" s="768"/>
      <c r="W102" s="768"/>
    </row>
    <row r="103" ht="15.75" customHeight="1">
      <c r="A103" s="770" t="s">
        <v>3223</v>
      </c>
      <c r="B103" s="767">
        <v>12355.0</v>
      </c>
      <c r="C103" s="766" t="str">
        <f>IFERROR(__xludf.DUMMYFUNCTION("IF(COUNTA(filter(B:B,B:B=B103))=1,""Regular"",""Conta Repetida"")"),"Regular")</f>
        <v>Regular</v>
      </c>
      <c r="D103" s="768"/>
      <c r="E103" s="768"/>
      <c r="F103" s="768"/>
      <c r="G103" s="768"/>
      <c r="H103" s="768"/>
      <c r="I103" s="768"/>
      <c r="J103" s="768"/>
      <c r="K103" s="768"/>
      <c r="L103" s="768"/>
      <c r="M103" s="768"/>
      <c r="N103" s="768"/>
      <c r="O103" s="768"/>
      <c r="P103" s="768"/>
      <c r="Q103" s="768"/>
      <c r="R103" s="768"/>
      <c r="S103" s="768"/>
      <c r="T103" s="768"/>
      <c r="U103" s="768"/>
      <c r="V103" s="768"/>
      <c r="W103" s="768"/>
    </row>
    <row r="104" ht="15.75" customHeight="1">
      <c r="A104" s="772" t="s">
        <v>3901</v>
      </c>
      <c r="B104" s="773">
        <v>12356.0</v>
      </c>
      <c r="C104" s="768" t="s">
        <v>6341</v>
      </c>
      <c r="D104" s="768"/>
      <c r="E104" s="768"/>
      <c r="F104" s="768"/>
      <c r="G104" s="768"/>
      <c r="H104" s="768"/>
      <c r="I104" s="768"/>
      <c r="J104" s="768"/>
      <c r="K104" s="768"/>
      <c r="L104" s="768"/>
      <c r="M104" s="768"/>
      <c r="N104" s="768"/>
      <c r="O104" s="768"/>
      <c r="P104" s="768"/>
      <c r="Q104" s="768"/>
      <c r="R104" s="768"/>
      <c r="S104" s="768"/>
      <c r="T104" s="768"/>
      <c r="U104" s="768"/>
      <c r="V104" s="768"/>
      <c r="W104" s="768"/>
    </row>
    <row r="105" ht="15.75" customHeight="1">
      <c r="A105" s="774" t="s">
        <v>4598</v>
      </c>
      <c r="B105" s="773">
        <v>12357.0</v>
      </c>
      <c r="C105" s="768" t="s">
        <v>6341</v>
      </c>
      <c r="D105" s="768"/>
      <c r="E105" s="768"/>
      <c r="F105" s="768"/>
      <c r="G105" s="768"/>
      <c r="H105" s="768"/>
      <c r="I105" s="768"/>
      <c r="J105" s="768"/>
      <c r="K105" s="768"/>
      <c r="L105" s="768"/>
      <c r="M105" s="768"/>
      <c r="N105" s="768"/>
      <c r="O105" s="768"/>
      <c r="P105" s="768"/>
      <c r="Q105" s="768"/>
      <c r="R105" s="768"/>
      <c r="S105" s="768"/>
      <c r="T105" s="768"/>
      <c r="U105" s="768"/>
      <c r="V105" s="768"/>
      <c r="W105" s="768"/>
    </row>
    <row r="106" ht="15.75" customHeight="1">
      <c r="A106" s="774" t="s">
        <v>4653</v>
      </c>
      <c r="B106" s="773">
        <v>12358.0</v>
      </c>
      <c r="C106" s="768" t="s">
        <v>6341</v>
      </c>
      <c r="D106" s="768"/>
      <c r="E106" s="768"/>
      <c r="F106" s="768"/>
      <c r="G106" s="768"/>
      <c r="H106" s="768"/>
      <c r="I106" s="768"/>
      <c r="J106" s="768"/>
      <c r="K106" s="768"/>
      <c r="L106" s="768"/>
      <c r="M106" s="768"/>
      <c r="N106" s="768"/>
      <c r="O106" s="768"/>
      <c r="P106" s="768"/>
      <c r="Q106" s="768"/>
      <c r="R106" s="768"/>
      <c r="S106" s="768"/>
      <c r="T106" s="768"/>
      <c r="U106" s="768"/>
      <c r="V106" s="768"/>
      <c r="W106" s="768"/>
    </row>
    <row r="107" ht="15.75" customHeight="1">
      <c r="A107" s="772" t="s">
        <v>294</v>
      </c>
      <c r="B107" s="773">
        <v>12359.0</v>
      </c>
      <c r="C107" s="768" t="s">
        <v>6341</v>
      </c>
      <c r="D107" s="768"/>
      <c r="E107" s="768"/>
      <c r="F107" s="768"/>
      <c r="G107" s="768"/>
      <c r="H107" s="768"/>
      <c r="I107" s="768"/>
      <c r="J107" s="768"/>
      <c r="K107" s="768"/>
      <c r="L107" s="768"/>
      <c r="M107" s="768"/>
      <c r="N107" s="768"/>
      <c r="O107" s="768"/>
      <c r="P107" s="768"/>
      <c r="Q107" s="768"/>
      <c r="R107" s="768"/>
      <c r="S107" s="768"/>
      <c r="T107" s="768"/>
      <c r="U107" s="768"/>
      <c r="V107" s="768"/>
      <c r="W107" s="768"/>
    </row>
    <row r="108" ht="15.75" customHeight="1">
      <c r="A108" s="772" t="s">
        <v>4929</v>
      </c>
      <c r="B108" s="773">
        <v>12360.0</v>
      </c>
      <c r="C108" s="768" t="s">
        <v>6341</v>
      </c>
      <c r="D108" s="768"/>
      <c r="E108" s="768"/>
      <c r="F108" s="768"/>
      <c r="G108" s="768"/>
      <c r="H108" s="768"/>
      <c r="I108" s="768"/>
      <c r="J108" s="768"/>
      <c r="K108" s="768"/>
      <c r="L108" s="768"/>
      <c r="M108" s="768"/>
      <c r="N108" s="768"/>
      <c r="O108" s="768"/>
      <c r="P108" s="768"/>
      <c r="Q108" s="768"/>
      <c r="R108" s="768"/>
      <c r="S108" s="768"/>
      <c r="T108" s="768"/>
      <c r="U108" s="768"/>
      <c r="V108" s="768"/>
      <c r="W108" s="768"/>
    </row>
    <row r="109" ht="15.75" customHeight="1">
      <c r="A109" s="774" t="s">
        <v>6342</v>
      </c>
      <c r="B109" s="773">
        <v>12361.0</v>
      </c>
      <c r="C109" s="768" t="s">
        <v>6341</v>
      </c>
      <c r="D109" s="768"/>
      <c r="E109" s="768"/>
      <c r="F109" s="768"/>
      <c r="G109" s="768"/>
      <c r="H109" s="768"/>
      <c r="I109" s="768"/>
      <c r="J109" s="768"/>
      <c r="K109" s="768"/>
      <c r="L109" s="768"/>
      <c r="M109" s="768"/>
      <c r="N109" s="768"/>
      <c r="O109" s="768"/>
      <c r="P109" s="768"/>
      <c r="Q109" s="768"/>
      <c r="R109" s="768"/>
      <c r="S109" s="768"/>
      <c r="T109" s="768"/>
      <c r="U109" s="768"/>
      <c r="V109" s="768"/>
      <c r="W109" s="768"/>
    </row>
    <row r="110" ht="15.75" customHeight="1">
      <c r="A110" s="775" t="s">
        <v>532</v>
      </c>
      <c r="B110" s="773">
        <v>12362.0</v>
      </c>
      <c r="C110" s="768" t="s">
        <v>6341</v>
      </c>
      <c r="D110" s="768"/>
      <c r="E110" s="768"/>
      <c r="F110" s="768"/>
      <c r="G110" s="768"/>
      <c r="H110" s="768"/>
      <c r="I110" s="768"/>
      <c r="J110" s="768"/>
      <c r="K110" s="768"/>
      <c r="L110" s="768"/>
      <c r="M110" s="768"/>
      <c r="N110" s="768"/>
      <c r="O110" s="768"/>
      <c r="P110" s="768"/>
      <c r="Q110" s="768"/>
      <c r="R110" s="768"/>
      <c r="S110" s="768"/>
      <c r="T110" s="768"/>
      <c r="U110" s="768"/>
      <c r="V110" s="768"/>
      <c r="W110" s="768"/>
    </row>
    <row r="111" ht="15.75" customHeight="1">
      <c r="A111" s="776" t="s">
        <v>3450</v>
      </c>
      <c r="B111" s="773">
        <v>12363.0</v>
      </c>
      <c r="C111" s="768" t="s">
        <v>6341</v>
      </c>
      <c r="D111" s="768"/>
      <c r="E111" s="768"/>
      <c r="F111" s="768"/>
      <c r="G111" s="768"/>
      <c r="H111" s="768"/>
      <c r="I111" s="768"/>
      <c r="J111" s="768"/>
      <c r="K111" s="768"/>
      <c r="L111" s="768"/>
      <c r="M111" s="768"/>
      <c r="N111" s="768"/>
      <c r="O111" s="768"/>
      <c r="P111" s="768"/>
      <c r="Q111" s="768"/>
      <c r="R111" s="768"/>
      <c r="S111" s="768"/>
      <c r="T111" s="768"/>
      <c r="U111" s="768"/>
      <c r="V111" s="768"/>
      <c r="W111" s="768"/>
    </row>
    <row r="112" ht="15.75" customHeight="1">
      <c r="A112" s="768"/>
      <c r="B112" s="773"/>
      <c r="C112" s="768"/>
      <c r="D112" s="768"/>
      <c r="E112" s="768"/>
      <c r="F112" s="768"/>
      <c r="G112" s="768"/>
      <c r="H112" s="768"/>
      <c r="I112" s="768"/>
      <c r="J112" s="768"/>
      <c r="K112" s="768"/>
      <c r="L112" s="768"/>
      <c r="M112" s="768"/>
      <c r="N112" s="768"/>
      <c r="O112" s="768"/>
      <c r="P112" s="768"/>
      <c r="Q112" s="768"/>
      <c r="R112" s="768"/>
      <c r="S112" s="768"/>
      <c r="T112" s="768"/>
      <c r="U112" s="768"/>
      <c r="V112" s="768"/>
      <c r="W112" s="768"/>
    </row>
    <row r="113" ht="15.75" customHeight="1">
      <c r="A113" s="768"/>
      <c r="B113" s="773"/>
      <c r="C113" s="768"/>
      <c r="D113" s="768"/>
      <c r="E113" s="768"/>
      <c r="F113" s="768"/>
      <c r="G113" s="768"/>
      <c r="H113" s="768"/>
      <c r="I113" s="768"/>
      <c r="J113" s="768"/>
      <c r="K113" s="768"/>
      <c r="L113" s="768"/>
      <c r="M113" s="768"/>
      <c r="N113" s="768"/>
      <c r="O113" s="768"/>
      <c r="P113" s="768"/>
      <c r="Q113" s="768"/>
      <c r="R113" s="768"/>
      <c r="S113" s="768"/>
      <c r="T113" s="768"/>
      <c r="U113" s="768"/>
      <c r="V113" s="768"/>
      <c r="W113" s="768"/>
    </row>
    <row r="114" ht="15.75" customHeight="1">
      <c r="A114" s="768"/>
      <c r="B114" s="773"/>
      <c r="C114" s="768"/>
      <c r="D114" s="768"/>
      <c r="E114" s="768"/>
      <c r="F114" s="768"/>
      <c r="G114" s="768"/>
      <c r="H114" s="768"/>
      <c r="I114" s="768"/>
      <c r="J114" s="768"/>
      <c r="K114" s="768"/>
      <c r="L114" s="768"/>
      <c r="M114" s="768"/>
      <c r="N114" s="768"/>
      <c r="O114" s="768"/>
      <c r="P114" s="768"/>
      <c r="Q114" s="768"/>
      <c r="R114" s="768"/>
      <c r="S114" s="768"/>
      <c r="T114" s="768"/>
      <c r="U114" s="768"/>
      <c r="V114" s="768"/>
      <c r="W114" s="768"/>
    </row>
    <row r="115" ht="15.75" customHeight="1">
      <c r="A115" s="768"/>
      <c r="B115" s="773"/>
      <c r="C115" s="768"/>
      <c r="D115" s="768"/>
      <c r="E115" s="768"/>
      <c r="F115" s="768"/>
      <c r="G115" s="768"/>
      <c r="H115" s="768"/>
      <c r="I115" s="768"/>
      <c r="J115" s="768"/>
      <c r="K115" s="768"/>
      <c r="L115" s="768"/>
      <c r="M115" s="768"/>
      <c r="N115" s="768"/>
      <c r="O115" s="768"/>
      <c r="P115" s="768"/>
      <c r="Q115" s="768"/>
      <c r="R115" s="768"/>
      <c r="S115" s="768"/>
      <c r="T115" s="768"/>
      <c r="U115" s="768"/>
      <c r="V115" s="768"/>
      <c r="W115" s="768"/>
    </row>
    <row r="116" ht="15.75" customHeight="1">
      <c r="A116" s="768"/>
      <c r="B116" s="773"/>
      <c r="C116" s="768"/>
      <c r="D116" s="768"/>
      <c r="E116" s="768"/>
      <c r="F116" s="768"/>
      <c r="G116" s="768"/>
      <c r="H116" s="768"/>
      <c r="I116" s="768"/>
      <c r="J116" s="768"/>
      <c r="K116" s="768"/>
      <c r="L116" s="768"/>
      <c r="M116" s="768"/>
      <c r="N116" s="768"/>
      <c r="O116" s="768"/>
      <c r="P116" s="768"/>
      <c r="Q116" s="768"/>
      <c r="R116" s="768"/>
      <c r="S116" s="768"/>
      <c r="T116" s="768"/>
      <c r="U116" s="768"/>
      <c r="V116" s="768"/>
      <c r="W116" s="768"/>
    </row>
    <row r="117" ht="15.75" customHeight="1">
      <c r="A117" s="768"/>
      <c r="B117" s="773"/>
      <c r="C117" s="768"/>
      <c r="D117" s="768"/>
      <c r="E117" s="768"/>
      <c r="F117" s="768"/>
      <c r="G117" s="768"/>
      <c r="H117" s="768"/>
      <c r="I117" s="768"/>
      <c r="J117" s="768"/>
      <c r="K117" s="768"/>
      <c r="L117" s="768"/>
      <c r="M117" s="768"/>
      <c r="N117" s="768"/>
      <c r="O117" s="768"/>
      <c r="P117" s="768"/>
      <c r="Q117" s="768"/>
      <c r="R117" s="768"/>
      <c r="S117" s="768"/>
      <c r="T117" s="768"/>
      <c r="U117" s="768"/>
      <c r="V117" s="768"/>
      <c r="W117" s="768"/>
    </row>
    <row r="118" ht="15.75" customHeight="1">
      <c r="A118" s="768"/>
      <c r="B118" s="773"/>
      <c r="C118" s="768"/>
      <c r="D118" s="768"/>
      <c r="E118" s="768"/>
      <c r="F118" s="768"/>
      <c r="G118" s="768"/>
      <c r="H118" s="768"/>
      <c r="I118" s="768"/>
      <c r="J118" s="768"/>
      <c r="K118" s="768"/>
      <c r="L118" s="768"/>
      <c r="M118" s="768"/>
      <c r="N118" s="768"/>
      <c r="O118" s="768"/>
      <c r="P118" s="768"/>
      <c r="Q118" s="768"/>
      <c r="R118" s="768"/>
      <c r="S118" s="768"/>
      <c r="T118" s="768"/>
      <c r="U118" s="768"/>
      <c r="V118" s="768"/>
      <c r="W118" s="768"/>
    </row>
    <row r="119" ht="15.75" customHeight="1">
      <c r="A119" s="768"/>
      <c r="B119" s="773"/>
      <c r="C119" s="768"/>
      <c r="D119" s="768"/>
      <c r="E119" s="768"/>
      <c r="F119" s="768"/>
      <c r="G119" s="768"/>
      <c r="H119" s="768"/>
      <c r="I119" s="768"/>
      <c r="J119" s="768"/>
      <c r="K119" s="768"/>
      <c r="L119" s="768"/>
      <c r="M119" s="768"/>
      <c r="N119" s="768"/>
      <c r="O119" s="768"/>
      <c r="P119" s="768"/>
      <c r="Q119" s="768"/>
      <c r="R119" s="768"/>
      <c r="S119" s="768"/>
      <c r="T119" s="768"/>
      <c r="U119" s="768"/>
      <c r="V119" s="768"/>
      <c r="W119" s="768"/>
    </row>
    <row r="120" ht="15.75" customHeight="1">
      <c r="A120" s="768"/>
      <c r="B120" s="773"/>
      <c r="C120" s="768"/>
      <c r="D120" s="768"/>
      <c r="E120" s="768"/>
      <c r="F120" s="768"/>
      <c r="G120" s="768"/>
      <c r="H120" s="768"/>
      <c r="I120" s="768"/>
      <c r="J120" s="768"/>
      <c r="K120" s="768"/>
      <c r="L120" s="768"/>
      <c r="M120" s="768"/>
      <c r="N120" s="768"/>
      <c r="O120" s="768"/>
      <c r="P120" s="768"/>
      <c r="Q120" s="768"/>
      <c r="R120" s="768"/>
      <c r="S120" s="768"/>
      <c r="T120" s="768"/>
      <c r="U120" s="768"/>
      <c r="V120" s="768"/>
      <c r="W120" s="768"/>
    </row>
    <row r="121" ht="15.75" customHeight="1">
      <c r="A121" s="768"/>
      <c r="B121" s="773"/>
      <c r="C121" s="768"/>
      <c r="D121" s="768"/>
      <c r="E121" s="768"/>
      <c r="F121" s="768"/>
      <c r="G121" s="768"/>
      <c r="H121" s="768"/>
      <c r="I121" s="768"/>
      <c r="J121" s="768"/>
      <c r="K121" s="768"/>
      <c r="L121" s="768"/>
      <c r="M121" s="768"/>
      <c r="N121" s="768"/>
      <c r="O121" s="768"/>
      <c r="P121" s="768"/>
      <c r="Q121" s="768"/>
      <c r="R121" s="768"/>
      <c r="S121" s="768"/>
      <c r="T121" s="768"/>
      <c r="U121" s="768"/>
      <c r="V121" s="768"/>
      <c r="W121" s="768"/>
    </row>
    <row r="122" ht="15.75" customHeight="1">
      <c r="A122" s="768"/>
      <c r="B122" s="773"/>
      <c r="C122" s="768"/>
      <c r="D122" s="768"/>
      <c r="E122" s="768"/>
      <c r="F122" s="768"/>
      <c r="G122" s="768"/>
      <c r="H122" s="768"/>
      <c r="I122" s="768"/>
      <c r="J122" s="768"/>
      <c r="K122" s="768"/>
      <c r="L122" s="768"/>
      <c r="M122" s="768"/>
      <c r="N122" s="768"/>
      <c r="O122" s="768"/>
      <c r="P122" s="768"/>
      <c r="Q122" s="768"/>
      <c r="R122" s="768"/>
      <c r="S122" s="768"/>
      <c r="T122" s="768"/>
      <c r="U122" s="768"/>
      <c r="V122" s="768"/>
      <c r="W122" s="768"/>
    </row>
    <row r="123" ht="15.75" customHeight="1">
      <c r="A123" s="768"/>
      <c r="B123" s="773"/>
      <c r="C123" s="768"/>
      <c r="D123" s="768"/>
      <c r="E123" s="768"/>
      <c r="F123" s="768"/>
      <c r="G123" s="768"/>
      <c r="H123" s="768"/>
      <c r="I123" s="768"/>
      <c r="J123" s="768"/>
      <c r="K123" s="768"/>
      <c r="L123" s="768"/>
      <c r="M123" s="768"/>
      <c r="N123" s="768"/>
      <c r="O123" s="768"/>
      <c r="P123" s="768"/>
      <c r="Q123" s="768"/>
      <c r="R123" s="768"/>
      <c r="S123" s="768"/>
      <c r="T123" s="768"/>
      <c r="U123" s="768"/>
      <c r="V123" s="768"/>
      <c r="W123" s="768"/>
    </row>
    <row r="124" ht="15.75" customHeight="1">
      <c r="A124" s="768"/>
      <c r="B124" s="773"/>
      <c r="C124" s="768"/>
      <c r="D124" s="768"/>
      <c r="E124" s="768"/>
      <c r="F124" s="768"/>
      <c r="G124" s="768"/>
      <c r="H124" s="768"/>
      <c r="I124" s="768"/>
      <c r="J124" s="768"/>
      <c r="K124" s="768"/>
      <c r="L124" s="768"/>
      <c r="M124" s="768"/>
      <c r="N124" s="768"/>
      <c r="O124" s="768"/>
      <c r="P124" s="768"/>
      <c r="Q124" s="768"/>
      <c r="R124" s="768"/>
      <c r="S124" s="768"/>
      <c r="T124" s="768"/>
      <c r="U124" s="768"/>
      <c r="V124" s="768"/>
      <c r="W124" s="768"/>
    </row>
    <row r="125" ht="15.75" customHeight="1">
      <c r="A125" s="768"/>
      <c r="B125" s="773"/>
      <c r="C125" s="768"/>
      <c r="D125" s="768"/>
      <c r="E125" s="768"/>
      <c r="F125" s="768"/>
      <c r="G125" s="768"/>
      <c r="H125" s="768"/>
      <c r="I125" s="768"/>
      <c r="J125" s="768"/>
      <c r="K125" s="768"/>
      <c r="L125" s="768"/>
      <c r="M125" s="768"/>
      <c r="N125" s="768"/>
      <c r="O125" s="768"/>
      <c r="P125" s="768"/>
      <c r="Q125" s="768"/>
      <c r="R125" s="768"/>
      <c r="S125" s="768"/>
      <c r="T125" s="768"/>
      <c r="U125" s="768"/>
      <c r="V125" s="768"/>
      <c r="W125" s="768"/>
    </row>
    <row r="126" ht="15.75" customHeight="1">
      <c r="A126" s="768"/>
      <c r="B126" s="773"/>
      <c r="C126" s="768"/>
      <c r="D126" s="768"/>
      <c r="E126" s="768"/>
      <c r="F126" s="768"/>
      <c r="G126" s="768"/>
      <c r="H126" s="768"/>
      <c r="I126" s="768"/>
      <c r="J126" s="768"/>
      <c r="K126" s="768"/>
      <c r="L126" s="768"/>
      <c r="M126" s="768"/>
      <c r="N126" s="768"/>
      <c r="O126" s="768"/>
      <c r="P126" s="768"/>
      <c r="Q126" s="768"/>
      <c r="R126" s="768"/>
      <c r="S126" s="768"/>
      <c r="T126" s="768"/>
      <c r="U126" s="768"/>
      <c r="V126" s="768"/>
      <c r="W126" s="768"/>
    </row>
    <row r="127" ht="15.75" customHeight="1">
      <c r="A127" s="768"/>
      <c r="B127" s="773"/>
      <c r="C127" s="768"/>
      <c r="D127" s="768"/>
      <c r="E127" s="768"/>
      <c r="F127" s="768"/>
      <c r="G127" s="768"/>
      <c r="H127" s="768"/>
      <c r="I127" s="768"/>
      <c r="J127" s="768"/>
      <c r="K127" s="768"/>
      <c r="L127" s="768"/>
      <c r="M127" s="768"/>
      <c r="N127" s="768"/>
      <c r="O127" s="768"/>
      <c r="P127" s="768"/>
      <c r="Q127" s="768"/>
      <c r="R127" s="768"/>
      <c r="S127" s="768"/>
      <c r="T127" s="768"/>
      <c r="U127" s="768"/>
      <c r="V127" s="768"/>
      <c r="W127" s="768"/>
    </row>
    <row r="128" ht="15.75" customHeight="1">
      <c r="A128" s="768"/>
      <c r="B128" s="773"/>
      <c r="C128" s="768"/>
      <c r="D128" s="768"/>
      <c r="E128" s="768"/>
      <c r="F128" s="768"/>
      <c r="G128" s="768"/>
      <c r="H128" s="768"/>
      <c r="I128" s="768"/>
      <c r="J128" s="768"/>
      <c r="K128" s="768"/>
      <c r="L128" s="768"/>
      <c r="M128" s="768"/>
      <c r="N128" s="768"/>
      <c r="O128" s="768"/>
      <c r="P128" s="768"/>
      <c r="Q128" s="768"/>
      <c r="R128" s="768"/>
      <c r="S128" s="768"/>
      <c r="T128" s="768"/>
      <c r="U128" s="768"/>
      <c r="V128" s="768"/>
      <c r="W128" s="768"/>
    </row>
    <row r="129" ht="15.75" customHeight="1">
      <c r="A129" s="768"/>
      <c r="B129" s="773"/>
      <c r="C129" s="768"/>
      <c r="D129" s="768"/>
      <c r="E129" s="768"/>
      <c r="F129" s="768"/>
      <c r="G129" s="768"/>
      <c r="H129" s="768"/>
      <c r="I129" s="768"/>
      <c r="J129" s="768"/>
      <c r="K129" s="768"/>
      <c r="L129" s="768"/>
      <c r="M129" s="768"/>
      <c r="N129" s="768"/>
      <c r="O129" s="768"/>
      <c r="P129" s="768"/>
      <c r="Q129" s="768"/>
      <c r="R129" s="768"/>
      <c r="S129" s="768"/>
      <c r="T129" s="768"/>
      <c r="U129" s="768"/>
      <c r="V129" s="768"/>
      <c r="W129" s="768"/>
    </row>
    <row r="130" ht="15.75" customHeight="1">
      <c r="A130" s="768"/>
      <c r="B130" s="773"/>
      <c r="C130" s="768"/>
      <c r="D130" s="768"/>
      <c r="E130" s="768"/>
      <c r="F130" s="768"/>
      <c r="G130" s="768"/>
      <c r="H130" s="768"/>
      <c r="I130" s="768"/>
      <c r="J130" s="768"/>
      <c r="K130" s="768"/>
      <c r="L130" s="768"/>
      <c r="M130" s="768"/>
      <c r="N130" s="768"/>
      <c r="O130" s="768"/>
      <c r="P130" s="768"/>
      <c r="Q130" s="768"/>
      <c r="R130" s="768"/>
      <c r="S130" s="768"/>
      <c r="T130" s="768"/>
      <c r="U130" s="768"/>
      <c r="V130" s="768"/>
      <c r="W130" s="768"/>
    </row>
    <row r="131" ht="15.75" customHeight="1">
      <c r="A131" s="768"/>
      <c r="B131" s="773"/>
      <c r="C131" s="768"/>
      <c r="D131" s="768"/>
      <c r="E131" s="768"/>
      <c r="F131" s="768"/>
      <c r="G131" s="768"/>
      <c r="H131" s="768"/>
      <c r="I131" s="768"/>
      <c r="J131" s="768"/>
      <c r="K131" s="768"/>
      <c r="L131" s="768"/>
      <c r="M131" s="768"/>
      <c r="N131" s="768"/>
      <c r="O131" s="768"/>
      <c r="P131" s="768"/>
      <c r="Q131" s="768"/>
      <c r="R131" s="768"/>
      <c r="S131" s="768"/>
      <c r="T131" s="768"/>
      <c r="U131" s="768"/>
      <c r="V131" s="768"/>
      <c r="W131" s="768"/>
    </row>
    <row r="132" ht="15.75" customHeight="1">
      <c r="A132" s="768"/>
      <c r="B132" s="773"/>
      <c r="C132" s="768"/>
      <c r="D132" s="768"/>
      <c r="E132" s="768"/>
      <c r="F132" s="768"/>
      <c r="G132" s="768"/>
      <c r="H132" s="768"/>
      <c r="I132" s="768"/>
      <c r="J132" s="768"/>
      <c r="K132" s="768"/>
      <c r="L132" s="768"/>
      <c r="M132" s="768"/>
      <c r="N132" s="768"/>
      <c r="O132" s="768"/>
      <c r="P132" s="768"/>
      <c r="Q132" s="768"/>
      <c r="R132" s="768"/>
      <c r="S132" s="768"/>
      <c r="T132" s="768"/>
      <c r="U132" s="768"/>
      <c r="V132" s="768"/>
      <c r="W132" s="768"/>
    </row>
    <row r="133" ht="15.75" customHeight="1">
      <c r="A133" s="768"/>
      <c r="B133" s="773"/>
      <c r="C133" s="768"/>
      <c r="D133" s="768"/>
      <c r="E133" s="768"/>
      <c r="F133" s="768"/>
      <c r="G133" s="768"/>
      <c r="H133" s="768"/>
      <c r="I133" s="768"/>
      <c r="J133" s="768"/>
      <c r="K133" s="768"/>
      <c r="L133" s="768"/>
      <c r="M133" s="768"/>
      <c r="N133" s="768"/>
      <c r="O133" s="768"/>
      <c r="P133" s="768"/>
      <c r="Q133" s="768"/>
      <c r="R133" s="768"/>
      <c r="S133" s="768"/>
      <c r="T133" s="768"/>
      <c r="U133" s="768"/>
      <c r="V133" s="768"/>
      <c r="W133" s="768"/>
    </row>
    <row r="134" ht="15.75" customHeight="1">
      <c r="A134" s="768"/>
      <c r="B134" s="773"/>
      <c r="C134" s="768"/>
      <c r="D134" s="768"/>
      <c r="E134" s="768"/>
      <c r="F134" s="768"/>
      <c r="G134" s="768"/>
      <c r="H134" s="768"/>
      <c r="I134" s="768"/>
      <c r="J134" s="768"/>
      <c r="K134" s="768"/>
      <c r="L134" s="768"/>
      <c r="M134" s="768"/>
      <c r="N134" s="768"/>
      <c r="O134" s="768"/>
      <c r="P134" s="768"/>
      <c r="Q134" s="768"/>
      <c r="R134" s="768"/>
      <c r="S134" s="768"/>
      <c r="T134" s="768"/>
      <c r="U134" s="768"/>
      <c r="V134" s="768"/>
      <c r="W134" s="768"/>
    </row>
    <row r="135" ht="15.75" customHeight="1">
      <c r="A135" s="768"/>
      <c r="B135" s="773"/>
      <c r="C135" s="768"/>
      <c r="D135" s="768"/>
      <c r="E135" s="768"/>
      <c r="F135" s="768"/>
      <c r="G135" s="768"/>
      <c r="H135" s="768"/>
      <c r="I135" s="768"/>
      <c r="J135" s="768"/>
      <c r="K135" s="768"/>
      <c r="L135" s="768"/>
      <c r="M135" s="768"/>
      <c r="N135" s="768"/>
      <c r="O135" s="768"/>
      <c r="P135" s="768"/>
      <c r="Q135" s="768"/>
      <c r="R135" s="768"/>
      <c r="S135" s="768"/>
      <c r="T135" s="768"/>
      <c r="U135" s="768"/>
      <c r="V135" s="768"/>
      <c r="W135" s="768"/>
    </row>
    <row r="136" ht="15.75" customHeight="1">
      <c r="A136" s="768"/>
      <c r="B136" s="773"/>
      <c r="C136" s="768"/>
      <c r="D136" s="768"/>
      <c r="E136" s="768"/>
      <c r="F136" s="768"/>
      <c r="G136" s="768"/>
      <c r="H136" s="768"/>
      <c r="I136" s="768"/>
      <c r="J136" s="768"/>
      <c r="K136" s="768"/>
      <c r="L136" s="768"/>
      <c r="M136" s="768"/>
      <c r="N136" s="768"/>
      <c r="O136" s="768"/>
      <c r="P136" s="768"/>
      <c r="Q136" s="768"/>
      <c r="R136" s="768"/>
      <c r="S136" s="768"/>
      <c r="T136" s="768"/>
      <c r="U136" s="768"/>
      <c r="V136" s="768"/>
      <c r="W136" s="768"/>
    </row>
    <row r="137" ht="15.75" customHeight="1">
      <c r="A137" s="768"/>
      <c r="B137" s="773"/>
      <c r="C137" s="768"/>
      <c r="D137" s="768"/>
      <c r="E137" s="768"/>
      <c r="F137" s="768"/>
      <c r="G137" s="768"/>
      <c r="H137" s="768"/>
      <c r="I137" s="768"/>
      <c r="J137" s="768"/>
      <c r="K137" s="768"/>
      <c r="L137" s="768"/>
      <c r="M137" s="768"/>
      <c r="N137" s="768"/>
      <c r="O137" s="768"/>
      <c r="P137" s="768"/>
      <c r="Q137" s="768"/>
      <c r="R137" s="768"/>
      <c r="S137" s="768"/>
      <c r="T137" s="768"/>
      <c r="U137" s="768"/>
      <c r="V137" s="768"/>
      <c r="W137" s="768"/>
    </row>
    <row r="138" ht="15.75" customHeight="1">
      <c r="A138" s="768"/>
      <c r="B138" s="773"/>
      <c r="C138" s="768"/>
      <c r="D138" s="768"/>
      <c r="E138" s="768"/>
      <c r="F138" s="768"/>
      <c r="G138" s="768"/>
      <c r="H138" s="768"/>
      <c r="I138" s="768"/>
      <c r="J138" s="768"/>
      <c r="K138" s="768"/>
      <c r="L138" s="768"/>
      <c r="M138" s="768"/>
      <c r="N138" s="768"/>
      <c r="O138" s="768"/>
      <c r="P138" s="768"/>
      <c r="Q138" s="768"/>
      <c r="R138" s="768"/>
      <c r="S138" s="768"/>
      <c r="T138" s="768"/>
      <c r="U138" s="768"/>
      <c r="V138" s="768"/>
      <c r="W138" s="768"/>
    </row>
    <row r="139" ht="15.75" customHeight="1">
      <c r="A139" s="768"/>
      <c r="B139" s="773"/>
      <c r="C139" s="768"/>
      <c r="D139" s="768"/>
      <c r="E139" s="768"/>
      <c r="F139" s="768"/>
      <c r="G139" s="768"/>
      <c r="H139" s="768"/>
      <c r="I139" s="768"/>
      <c r="J139" s="768"/>
      <c r="K139" s="768"/>
      <c r="L139" s="768"/>
      <c r="M139" s="768"/>
      <c r="N139" s="768"/>
      <c r="O139" s="768"/>
      <c r="P139" s="768"/>
      <c r="Q139" s="768"/>
      <c r="R139" s="768"/>
      <c r="S139" s="768"/>
      <c r="T139" s="768"/>
      <c r="U139" s="768"/>
      <c r="V139" s="768"/>
      <c r="W139" s="768"/>
    </row>
    <row r="140" ht="15.75" customHeight="1">
      <c r="A140" s="768"/>
      <c r="B140" s="773"/>
      <c r="C140" s="768"/>
      <c r="D140" s="768"/>
      <c r="E140" s="768"/>
      <c r="F140" s="768"/>
      <c r="G140" s="768"/>
      <c r="H140" s="768"/>
      <c r="I140" s="768"/>
      <c r="J140" s="768"/>
      <c r="K140" s="768"/>
      <c r="L140" s="768"/>
      <c r="M140" s="768"/>
      <c r="N140" s="768"/>
      <c r="O140" s="768"/>
      <c r="P140" s="768"/>
      <c r="Q140" s="768"/>
      <c r="R140" s="768"/>
      <c r="S140" s="768"/>
      <c r="T140" s="768"/>
      <c r="U140" s="768"/>
      <c r="V140" s="768"/>
      <c r="W140" s="768"/>
    </row>
    <row r="141" ht="15.75" customHeight="1">
      <c r="A141" s="768"/>
      <c r="B141" s="773"/>
      <c r="C141" s="768"/>
      <c r="D141" s="768"/>
      <c r="E141" s="768"/>
      <c r="F141" s="768"/>
      <c r="G141" s="768"/>
      <c r="H141" s="768"/>
      <c r="I141" s="768"/>
      <c r="J141" s="768"/>
      <c r="K141" s="768"/>
      <c r="L141" s="768"/>
      <c r="M141" s="768"/>
      <c r="N141" s="768"/>
      <c r="O141" s="768"/>
      <c r="P141" s="768"/>
      <c r="Q141" s="768"/>
      <c r="R141" s="768"/>
      <c r="S141" s="768"/>
      <c r="T141" s="768"/>
      <c r="U141" s="768"/>
      <c r="V141" s="768"/>
      <c r="W141" s="768"/>
    </row>
    <row r="142" ht="15.75" customHeight="1">
      <c r="A142" s="768"/>
      <c r="B142" s="773"/>
      <c r="C142" s="768"/>
      <c r="D142" s="768"/>
      <c r="E142" s="768"/>
      <c r="F142" s="768"/>
      <c r="G142" s="768"/>
      <c r="H142" s="768"/>
      <c r="I142" s="768"/>
      <c r="J142" s="768"/>
      <c r="K142" s="768"/>
      <c r="L142" s="768"/>
      <c r="M142" s="768"/>
      <c r="N142" s="768"/>
      <c r="O142" s="768"/>
      <c r="P142" s="768"/>
      <c r="Q142" s="768"/>
      <c r="R142" s="768"/>
      <c r="S142" s="768"/>
      <c r="T142" s="768"/>
      <c r="U142" s="768"/>
      <c r="V142" s="768"/>
      <c r="W142" s="768"/>
    </row>
    <row r="143" ht="15.75" customHeight="1">
      <c r="A143" s="768"/>
      <c r="B143" s="773"/>
      <c r="C143" s="768"/>
      <c r="D143" s="768"/>
      <c r="E143" s="768"/>
      <c r="F143" s="768"/>
      <c r="G143" s="768"/>
      <c r="H143" s="768"/>
      <c r="I143" s="768"/>
      <c r="J143" s="768"/>
      <c r="K143" s="768"/>
      <c r="L143" s="768"/>
      <c r="M143" s="768"/>
      <c r="N143" s="768"/>
      <c r="O143" s="768"/>
      <c r="P143" s="768"/>
      <c r="Q143" s="768"/>
      <c r="R143" s="768"/>
      <c r="S143" s="768"/>
      <c r="T143" s="768"/>
      <c r="U143" s="768"/>
      <c r="V143" s="768"/>
      <c r="W143" s="768"/>
    </row>
    <row r="144" ht="15.75" customHeight="1">
      <c r="A144" s="768"/>
      <c r="B144" s="773"/>
      <c r="C144" s="768"/>
      <c r="D144" s="768"/>
      <c r="E144" s="768"/>
      <c r="F144" s="768"/>
      <c r="G144" s="768"/>
      <c r="H144" s="768"/>
      <c r="I144" s="768"/>
      <c r="J144" s="768"/>
      <c r="K144" s="768"/>
      <c r="L144" s="768"/>
      <c r="M144" s="768"/>
      <c r="N144" s="768"/>
      <c r="O144" s="768"/>
      <c r="P144" s="768"/>
      <c r="Q144" s="768"/>
      <c r="R144" s="768"/>
      <c r="S144" s="768"/>
      <c r="T144" s="768"/>
      <c r="U144" s="768"/>
      <c r="V144" s="768"/>
      <c r="W144" s="768"/>
    </row>
    <row r="145" ht="15.75" customHeight="1">
      <c r="A145" s="768"/>
      <c r="B145" s="773"/>
      <c r="C145" s="768"/>
      <c r="D145" s="768"/>
      <c r="E145" s="768"/>
      <c r="F145" s="768"/>
      <c r="G145" s="768"/>
      <c r="H145" s="768"/>
      <c r="I145" s="768"/>
      <c r="J145" s="768"/>
      <c r="K145" s="768"/>
      <c r="L145" s="768"/>
      <c r="M145" s="768"/>
      <c r="N145" s="768"/>
      <c r="O145" s="768"/>
      <c r="P145" s="768"/>
      <c r="Q145" s="768"/>
      <c r="R145" s="768"/>
      <c r="S145" s="768"/>
      <c r="T145" s="768"/>
      <c r="U145" s="768"/>
      <c r="V145" s="768"/>
      <c r="W145" s="768"/>
    </row>
    <row r="146" ht="15.75" customHeight="1">
      <c r="A146" s="768"/>
      <c r="B146" s="773"/>
      <c r="C146" s="768"/>
      <c r="D146" s="768"/>
      <c r="E146" s="768"/>
      <c r="F146" s="768"/>
      <c r="G146" s="768"/>
      <c r="H146" s="768"/>
      <c r="I146" s="768"/>
      <c r="J146" s="768"/>
      <c r="K146" s="768"/>
      <c r="L146" s="768"/>
      <c r="M146" s="768"/>
      <c r="N146" s="768"/>
      <c r="O146" s="768"/>
      <c r="P146" s="768"/>
      <c r="Q146" s="768"/>
      <c r="R146" s="768"/>
      <c r="S146" s="768"/>
      <c r="T146" s="768"/>
      <c r="U146" s="768"/>
      <c r="V146" s="768"/>
      <c r="W146" s="768"/>
    </row>
    <row r="147" ht="15.75" customHeight="1">
      <c r="A147" s="768"/>
      <c r="B147" s="773"/>
      <c r="C147" s="768"/>
      <c r="D147" s="768"/>
      <c r="E147" s="768"/>
      <c r="F147" s="768"/>
      <c r="G147" s="768"/>
      <c r="H147" s="768"/>
      <c r="I147" s="768"/>
      <c r="J147" s="768"/>
      <c r="K147" s="768"/>
      <c r="L147" s="768"/>
      <c r="M147" s="768"/>
      <c r="N147" s="768"/>
      <c r="O147" s="768"/>
      <c r="P147" s="768"/>
      <c r="Q147" s="768"/>
      <c r="R147" s="768"/>
      <c r="S147" s="768"/>
      <c r="T147" s="768"/>
      <c r="U147" s="768"/>
      <c r="V147" s="768"/>
      <c r="W147" s="768"/>
    </row>
    <row r="148" ht="15.75" customHeight="1">
      <c r="A148" s="768"/>
      <c r="B148" s="773"/>
      <c r="C148" s="768"/>
      <c r="D148" s="768"/>
      <c r="E148" s="768"/>
      <c r="F148" s="768"/>
      <c r="G148" s="768"/>
      <c r="H148" s="768"/>
      <c r="I148" s="768"/>
      <c r="J148" s="768"/>
      <c r="K148" s="768"/>
      <c r="L148" s="768"/>
      <c r="M148" s="768"/>
      <c r="N148" s="768"/>
      <c r="O148" s="768"/>
      <c r="P148" s="768"/>
      <c r="Q148" s="768"/>
      <c r="R148" s="768"/>
      <c r="S148" s="768"/>
      <c r="T148" s="768"/>
      <c r="U148" s="768"/>
      <c r="V148" s="768"/>
      <c r="W148" s="768"/>
    </row>
    <row r="149" ht="15.75" customHeight="1">
      <c r="A149" s="768"/>
      <c r="B149" s="773"/>
      <c r="C149" s="768"/>
      <c r="D149" s="768"/>
      <c r="E149" s="768"/>
      <c r="F149" s="768"/>
      <c r="G149" s="768"/>
      <c r="H149" s="768"/>
      <c r="I149" s="768"/>
      <c r="J149" s="768"/>
      <c r="K149" s="768"/>
      <c r="L149" s="768"/>
      <c r="M149" s="768"/>
      <c r="N149" s="768"/>
      <c r="O149" s="768"/>
      <c r="P149" s="768"/>
      <c r="Q149" s="768"/>
      <c r="R149" s="768"/>
      <c r="S149" s="768"/>
      <c r="T149" s="768"/>
      <c r="U149" s="768"/>
      <c r="V149" s="768"/>
      <c r="W149" s="768"/>
    </row>
    <row r="150" ht="15.75" customHeight="1">
      <c r="A150" s="768"/>
      <c r="B150" s="773"/>
      <c r="C150" s="768"/>
      <c r="D150" s="768"/>
      <c r="E150" s="768"/>
      <c r="F150" s="768"/>
      <c r="G150" s="768"/>
      <c r="H150" s="768"/>
      <c r="I150" s="768"/>
      <c r="J150" s="768"/>
      <c r="K150" s="768"/>
      <c r="L150" s="768"/>
      <c r="M150" s="768"/>
      <c r="N150" s="768"/>
      <c r="O150" s="768"/>
      <c r="P150" s="768"/>
      <c r="Q150" s="768"/>
      <c r="R150" s="768"/>
      <c r="S150" s="768"/>
      <c r="T150" s="768"/>
      <c r="U150" s="768"/>
      <c r="V150" s="768"/>
      <c r="W150" s="768"/>
    </row>
    <row r="151" ht="15.75" customHeight="1">
      <c r="A151" s="768"/>
      <c r="B151" s="773"/>
      <c r="C151" s="768"/>
      <c r="D151" s="768"/>
      <c r="E151" s="768"/>
      <c r="F151" s="768"/>
      <c r="G151" s="768"/>
      <c r="H151" s="768"/>
      <c r="I151" s="768"/>
      <c r="J151" s="768"/>
      <c r="K151" s="768"/>
      <c r="L151" s="768"/>
      <c r="M151" s="768"/>
      <c r="N151" s="768"/>
      <c r="O151" s="768"/>
      <c r="P151" s="768"/>
      <c r="Q151" s="768"/>
      <c r="R151" s="768"/>
      <c r="S151" s="768"/>
      <c r="T151" s="768"/>
      <c r="U151" s="768"/>
      <c r="V151" s="768"/>
      <c r="W151" s="768"/>
    </row>
    <row r="152" ht="15.75" customHeight="1">
      <c r="A152" s="768"/>
      <c r="B152" s="773"/>
      <c r="C152" s="768"/>
      <c r="D152" s="768"/>
      <c r="E152" s="768"/>
      <c r="F152" s="768"/>
      <c r="G152" s="768"/>
      <c r="H152" s="768"/>
      <c r="I152" s="768"/>
      <c r="J152" s="768"/>
      <c r="K152" s="768"/>
      <c r="L152" s="768"/>
      <c r="M152" s="768"/>
      <c r="N152" s="768"/>
      <c r="O152" s="768"/>
      <c r="P152" s="768"/>
      <c r="Q152" s="768"/>
      <c r="R152" s="768"/>
      <c r="S152" s="768"/>
      <c r="T152" s="768"/>
      <c r="U152" s="768"/>
      <c r="V152" s="768"/>
      <c r="W152" s="768"/>
    </row>
    <row r="153" ht="15.75" customHeight="1">
      <c r="A153" s="768"/>
      <c r="B153" s="773"/>
      <c r="C153" s="768"/>
      <c r="D153" s="768"/>
      <c r="E153" s="768"/>
      <c r="F153" s="768"/>
      <c r="G153" s="768"/>
      <c r="H153" s="768"/>
      <c r="I153" s="768"/>
      <c r="J153" s="768"/>
      <c r="K153" s="768"/>
      <c r="L153" s="768"/>
      <c r="M153" s="768"/>
      <c r="N153" s="768"/>
      <c r="O153" s="768"/>
      <c r="P153" s="768"/>
      <c r="Q153" s="768"/>
      <c r="R153" s="768"/>
      <c r="S153" s="768"/>
      <c r="T153" s="768"/>
      <c r="U153" s="768"/>
      <c r="V153" s="768"/>
      <c r="W153" s="768"/>
    </row>
    <row r="154" ht="15.75" customHeight="1">
      <c r="A154" s="768"/>
      <c r="B154" s="773"/>
      <c r="C154" s="768"/>
      <c r="D154" s="768"/>
      <c r="E154" s="768"/>
      <c r="F154" s="768"/>
      <c r="G154" s="768"/>
      <c r="H154" s="768"/>
      <c r="I154" s="768"/>
      <c r="J154" s="768"/>
      <c r="K154" s="768"/>
      <c r="L154" s="768"/>
      <c r="M154" s="768"/>
      <c r="N154" s="768"/>
      <c r="O154" s="768"/>
      <c r="P154" s="768"/>
      <c r="Q154" s="768"/>
      <c r="R154" s="768"/>
      <c r="S154" s="768"/>
      <c r="T154" s="768"/>
      <c r="U154" s="768"/>
      <c r="V154" s="768"/>
      <c r="W154" s="768"/>
    </row>
    <row r="155" ht="15.75" customHeight="1">
      <c r="A155" s="768"/>
      <c r="B155" s="773"/>
      <c r="C155" s="768"/>
      <c r="D155" s="768"/>
      <c r="E155" s="768"/>
      <c r="F155" s="768"/>
      <c r="G155" s="768"/>
      <c r="H155" s="768"/>
      <c r="I155" s="768"/>
      <c r="J155" s="768"/>
      <c r="K155" s="768"/>
      <c r="L155" s="768"/>
      <c r="M155" s="768"/>
      <c r="N155" s="768"/>
      <c r="O155" s="768"/>
      <c r="P155" s="768"/>
      <c r="Q155" s="768"/>
      <c r="R155" s="768"/>
      <c r="S155" s="768"/>
      <c r="T155" s="768"/>
      <c r="U155" s="768"/>
      <c r="V155" s="768"/>
      <c r="W155" s="768"/>
    </row>
    <row r="156" ht="15.75" customHeight="1">
      <c r="A156" s="768"/>
      <c r="B156" s="773"/>
      <c r="C156" s="768"/>
      <c r="D156" s="768"/>
      <c r="E156" s="768"/>
      <c r="F156" s="768"/>
      <c r="G156" s="768"/>
      <c r="H156" s="768"/>
      <c r="I156" s="768"/>
      <c r="J156" s="768"/>
      <c r="K156" s="768"/>
      <c r="L156" s="768"/>
      <c r="M156" s="768"/>
      <c r="N156" s="768"/>
      <c r="O156" s="768"/>
      <c r="P156" s="768"/>
      <c r="Q156" s="768"/>
      <c r="R156" s="768"/>
      <c r="S156" s="768"/>
      <c r="T156" s="768"/>
      <c r="U156" s="768"/>
      <c r="V156" s="768"/>
      <c r="W156" s="768"/>
    </row>
    <row r="157" ht="15.75" customHeight="1">
      <c r="A157" s="768"/>
      <c r="B157" s="773"/>
      <c r="C157" s="768"/>
      <c r="D157" s="768"/>
      <c r="E157" s="768"/>
      <c r="F157" s="768"/>
      <c r="G157" s="768"/>
      <c r="H157" s="768"/>
      <c r="I157" s="768"/>
      <c r="J157" s="768"/>
      <c r="K157" s="768"/>
      <c r="L157" s="768"/>
      <c r="M157" s="768"/>
      <c r="N157" s="768"/>
      <c r="O157" s="768"/>
      <c r="P157" s="768"/>
      <c r="Q157" s="768"/>
      <c r="R157" s="768"/>
      <c r="S157" s="768"/>
      <c r="T157" s="768"/>
      <c r="U157" s="768"/>
      <c r="V157" s="768"/>
      <c r="W157" s="768"/>
    </row>
    <row r="158" ht="15.75" customHeight="1">
      <c r="A158" s="768"/>
      <c r="B158" s="773"/>
      <c r="C158" s="768"/>
      <c r="D158" s="768"/>
      <c r="E158" s="768"/>
      <c r="F158" s="768"/>
      <c r="G158" s="768"/>
      <c r="H158" s="768"/>
      <c r="I158" s="768"/>
      <c r="J158" s="768"/>
      <c r="K158" s="768"/>
      <c r="L158" s="768"/>
      <c r="M158" s="768"/>
      <c r="N158" s="768"/>
      <c r="O158" s="768"/>
      <c r="P158" s="768"/>
      <c r="Q158" s="768"/>
      <c r="R158" s="768"/>
      <c r="S158" s="768"/>
      <c r="T158" s="768"/>
      <c r="U158" s="768"/>
      <c r="V158" s="768"/>
      <c r="W158" s="768"/>
    </row>
    <row r="159" ht="15.75" customHeight="1">
      <c r="A159" s="768"/>
      <c r="B159" s="773"/>
      <c r="C159" s="768"/>
      <c r="D159" s="768"/>
      <c r="E159" s="768"/>
      <c r="F159" s="768"/>
      <c r="G159" s="768"/>
      <c r="H159" s="768"/>
      <c r="I159" s="768"/>
      <c r="J159" s="768"/>
      <c r="K159" s="768"/>
      <c r="L159" s="768"/>
      <c r="M159" s="768"/>
      <c r="N159" s="768"/>
      <c r="O159" s="768"/>
      <c r="P159" s="768"/>
      <c r="Q159" s="768"/>
      <c r="R159" s="768"/>
      <c r="S159" s="768"/>
      <c r="T159" s="768"/>
      <c r="U159" s="768"/>
      <c r="V159" s="768"/>
      <c r="W159" s="768"/>
    </row>
    <row r="160" ht="15.75" customHeight="1">
      <c r="A160" s="768"/>
      <c r="B160" s="773"/>
      <c r="C160" s="768"/>
      <c r="D160" s="768"/>
      <c r="E160" s="768"/>
      <c r="F160" s="768"/>
      <c r="G160" s="768"/>
      <c r="H160" s="768"/>
      <c r="I160" s="768"/>
      <c r="J160" s="768"/>
      <c r="K160" s="768"/>
      <c r="L160" s="768"/>
      <c r="M160" s="768"/>
      <c r="N160" s="768"/>
      <c r="O160" s="768"/>
      <c r="P160" s="768"/>
      <c r="Q160" s="768"/>
      <c r="R160" s="768"/>
      <c r="S160" s="768"/>
      <c r="T160" s="768"/>
      <c r="U160" s="768"/>
      <c r="V160" s="768"/>
      <c r="W160" s="768"/>
    </row>
    <row r="161" ht="15.75" customHeight="1">
      <c r="A161" s="768"/>
      <c r="B161" s="773"/>
      <c r="C161" s="768"/>
      <c r="D161" s="768"/>
      <c r="E161" s="768"/>
      <c r="F161" s="768"/>
      <c r="G161" s="768"/>
      <c r="H161" s="768"/>
      <c r="I161" s="768"/>
      <c r="J161" s="768"/>
      <c r="K161" s="768"/>
      <c r="L161" s="768"/>
      <c r="M161" s="768"/>
      <c r="N161" s="768"/>
      <c r="O161" s="768"/>
      <c r="P161" s="768"/>
      <c r="Q161" s="768"/>
      <c r="R161" s="768"/>
      <c r="S161" s="768"/>
      <c r="T161" s="768"/>
      <c r="U161" s="768"/>
      <c r="V161" s="768"/>
      <c r="W161" s="768"/>
    </row>
    <row r="162" ht="15.75" customHeight="1">
      <c r="A162" s="768"/>
      <c r="B162" s="773"/>
      <c r="C162" s="768"/>
      <c r="D162" s="768"/>
      <c r="E162" s="768"/>
      <c r="F162" s="768"/>
      <c r="G162" s="768"/>
      <c r="H162" s="768"/>
      <c r="I162" s="768"/>
      <c r="J162" s="768"/>
      <c r="K162" s="768"/>
      <c r="L162" s="768"/>
      <c r="M162" s="768"/>
      <c r="N162" s="768"/>
      <c r="O162" s="768"/>
      <c r="P162" s="768"/>
      <c r="Q162" s="768"/>
      <c r="R162" s="768"/>
      <c r="S162" s="768"/>
      <c r="T162" s="768"/>
      <c r="U162" s="768"/>
      <c r="V162" s="768"/>
      <c r="W162" s="768"/>
    </row>
    <row r="163" ht="15.75" customHeight="1">
      <c r="A163" s="768"/>
      <c r="B163" s="773"/>
      <c r="C163" s="768"/>
      <c r="D163" s="768"/>
      <c r="E163" s="768"/>
      <c r="F163" s="768"/>
      <c r="G163" s="768"/>
      <c r="H163" s="768"/>
      <c r="I163" s="768"/>
      <c r="J163" s="768"/>
      <c r="K163" s="768"/>
      <c r="L163" s="768"/>
      <c r="M163" s="768"/>
      <c r="N163" s="768"/>
      <c r="O163" s="768"/>
      <c r="P163" s="768"/>
      <c r="Q163" s="768"/>
      <c r="R163" s="768"/>
      <c r="S163" s="768"/>
      <c r="T163" s="768"/>
      <c r="U163" s="768"/>
      <c r="V163" s="768"/>
      <c r="W163" s="768"/>
    </row>
    <row r="164" ht="15.75" customHeight="1">
      <c r="A164" s="768"/>
      <c r="B164" s="773"/>
      <c r="C164" s="768"/>
      <c r="D164" s="768"/>
      <c r="E164" s="768"/>
      <c r="F164" s="768"/>
      <c r="G164" s="768"/>
      <c r="H164" s="768"/>
      <c r="I164" s="768"/>
      <c r="J164" s="768"/>
      <c r="K164" s="768"/>
      <c r="L164" s="768"/>
      <c r="M164" s="768"/>
      <c r="N164" s="768"/>
      <c r="O164" s="768"/>
      <c r="P164" s="768"/>
      <c r="Q164" s="768"/>
      <c r="R164" s="768"/>
      <c r="S164" s="768"/>
      <c r="T164" s="768"/>
      <c r="U164" s="768"/>
      <c r="V164" s="768"/>
      <c r="W164" s="768"/>
    </row>
    <row r="165" ht="15.75" customHeight="1">
      <c r="A165" s="768"/>
      <c r="B165" s="773"/>
      <c r="C165" s="768"/>
      <c r="D165" s="768"/>
      <c r="E165" s="768"/>
      <c r="F165" s="768"/>
      <c r="G165" s="768"/>
      <c r="H165" s="768"/>
      <c r="I165" s="768"/>
      <c r="J165" s="768"/>
      <c r="K165" s="768"/>
      <c r="L165" s="768"/>
      <c r="M165" s="768"/>
      <c r="N165" s="768"/>
      <c r="O165" s="768"/>
      <c r="P165" s="768"/>
      <c r="Q165" s="768"/>
      <c r="R165" s="768"/>
      <c r="S165" s="768"/>
      <c r="T165" s="768"/>
      <c r="U165" s="768"/>
      <c r="V165" s="768"/>
      <c r="W165" s="768"/>
    </row>
    <row r="166" ht="15.75" customHeight="1">
      <c r="A166" s="768"/>
      <c r="B166" s="773"/>
      <c r="C166" s="768"/>
      <c r="D166" s="768"/>
      <c r="E166" s="768"/>
      <c r="F166" s="768"/>
      <c r="G166" s="768"/>
      <c r="H166" s="768"/>
      <c r="I166" s="768"/>
      <c r="J166" s="768"/>
      <c r="K166" s="768"/>
      <c r="L166" s="768"/>
      <c r="M166" s="768"/>
      <c r="N166" s="768"/>
      <c r="O166" s="768"/>
      <c r="P166" s="768"/>
      <c r="Q166" s="768"/>
      <c r="R166" s="768"/>
      <c r="S166" s="768"/>
      <c r="T166" s="768"/>
      <c r="U166" s="768"/>
      <c r="V166" s="768"/>
      <c r="W166" s="768"/>
    </row>
    <row r="167" ht="15.75" customHeight="1">
      <c r="A167" s="768"/>
      <c r="B167" s="773"/>
      <c r="C167" s="768"/>
      <c r="D167" s="768"/>
      <c r="E167" s="768"/>
      <c r="F167" s="768"/>
      <c r="G167" s="768"/>
      <c r="H167" s="768"/>
      <c r="I167" s="768"/>
      <c r="J167" s="768"/>
      <c r="K167" s="768"/>
      <c r="L167" s="768"/>
      <c r="M167" s="768"/>
      <c r="N167" s="768"/>
      <c r="O167" s="768"/>
      <c r="P167" s="768"/>
      <c r="Q167" s="768"/>
      <c r="R167" s="768"/>
      <c r="S167" s="768"/>
      <c r="T167" s="768"/>
      <c r="U167" s="768"/>
      <c r="V167" s="768"/>
      <c r="W167" s="768"/>
    </row>
    <row r="168" ht="15.75" customHeight="1">
      <c r="A168" s="768"/>
      <c r="B168" s="773"/>
      <c r="C168" s="768"/>
      <c r="D168" s="768"/>
      <c r="E168" s="768"/>
      <c r="F168" s="768"/>
      <c r="G168" s="768"/>
      <c r="H168" s="768"/>
      <c r="I168" s="768"/>
      <c r="J168" s="768"/>
      <c r="K168" s="768"/>
      <c r="L168" s="768"/>
      <c r="M168" s="768"/>
      <c r="N168" s="768"/>
      <c r="O168" s="768"/>
      <c r="P168" s="768"/>
      <c r="Q168" s="768"/>
      <c r="R168" s="768"/>
      <c r="S168" s="768"/>
      <c r="T168" s="768"/>
      <c r="U168" s="768"/>
      <c r="V168" s="768"/>
      <c r="W168" s="768"/>
    </row>
    <row r="169" ht="15.75" customHeight="1">
      <c r="A169" s="768"/>
      <c r="B169" s="773"/>
      <c r="C169" s="768"/>
      <c r="D169" s="768"/>
      <c r="E169" s="768"/>
      <c r="F169" s="768"/>
      <c r="G169" s="768"/>
      <c r="H169" s="768"/>
      <c r="I169" s="768"/>
      <c r="J169" s="768"/>
      <c r="K169" s="768"/>
      <c r="L169" s="768"/>
      <c r="M169" s="768"/>
      <c r="N169" s="768"/>
      <c r="O169" s="768"/>
      <c r="P169" s="768"/>
      <c r="Q169" s="768"/>
      <c r="R169" s="768"/>
      <c r="S169" s="768"/>
      <c r="T169" s="768"/>
      <c r="U169" s="768"/>
      <c r="V169" s="768"/>
      <c r="W169" s="768"/>
    </row>
    <row r="170" ht="15.75" customHeight="1">
      <c r="A170" s="768"/>
      <c r="B170" s="773"/>
      <c r="C170" s="768"/>
      <c r="D170" s="768"/>
      <c r="E170" s="768"/>
      <c r="F170" s="768"/>
      <c r="G170" s="768"/>
      <c r="H170" s="768"/>
      <c r="I170" s="768"/>
      <c r="J170" s="768"/>
      <c r="K170" s="768"/>
      <c r="L170" s="768"/>
      <c r="M170" s="768"/>
      <c r="N170" s="768"/>
      <c r="O170" s="768"/>
      <c r="P170" s="768"/>
      <c r="Q170" s="768"/>
      <c r="R170" s="768"/>
      <c r="S170" s="768"/>
      <c r="T170" s="768"/>
      <c r="U170" s="768"/>
      <c r="V170" s="768"/>
      <c r="W170" s="768"/>
    </row>
    <row r="171" ht="15.75" customHeight="1">
      <c r="A171" s="768"/>
      <c r="B171" s="773"/>
      <c r="C171" s="768"/>
      <c r="D171" s="768"/>
      <c r="E171" s="768"/>
      <c r="F171" s="768"/>
      <c r="G171" s="768"/>
      <c r="H171" s="768"/>
      <c r="I171" s="768"/>
      <c r="J171" s="768"/>
      <c r="K171" s="768"/>
      <c r="L171" s="768"/>
      <c r="M171" s="768"/>
      <c r="N171" s="768"/>
      <c r="O171" s="768"/>
      <c r="P171" s="768"/>
      <c r="Q171" s="768"/>
      <c r="R171" s="768"/>
      <c r="S171" s="768"/>
      <c r="T171" s="768"/>
      <c r="U171" s="768"/>
      <c r="V171" s="768"/>
      <c r="W171" s="768"/>
    </row>
    <row r="172" ht="15.75" customHeight="1">
      <c r="A172" s="768"/>
      <c r="B172" s="773"/>
      <c r="C172" s="768"/>
      <c r="D172" s="768"/>
      <c r="E172" s="768"/>
      <c r="F172" s="768"/>
      <c r="G172" s="768"/>
      <c r="H172" s="768"/>
      <c r="I172" s="768"/>
      <c r="J172" s="768"/>
      <c r="K172" s="768"/>
      <c r="L172" s="768"/>
      <c r="M172" s="768"/>
      <c r="N172" s="768"/>
      <c r="O172" s="768"/>
      <c r="P172" s="768"/>
      <c r="Q172" s="768"/>
      <c r="R172" s="768"/>
      <c r="S172" s="768"/>
      <c r="T172" s="768"/>
      <c r="U172" s="768"/>
      <c r="V172" s="768"/>
      <c r="W172" s="768"/>
    </row>
    <row r="173" ht="15.75" customHeight="1">
      <c r="A173" s="768"/>
      <c r="B173" s="773"/>
      <c r="C173" s="768"/>
      <c r="D173" s="768"/>
      <c r="E173" s="768"/>
      <c r="F173" s="768"/>
      <c r="G173" s="768"/>
      <c r="H173" s="768"/>
      <c r="I173" s="768"/>
      <c r="J173" s="768"/>
      <c r="K173" s="768"/>
      <c r="L173" s="768"/>
      <c r="M173" s="768"/>
      <c r="N173" s="768"/>
      <c r="O173" s="768"/>
      <c r="P173" s="768"/>
      <c r="Q173" s="768"/>
      <c r="R173" s="768"/>
      <c r="S173" s="768"/>
      <c r="T173" s="768"/>
      <c r="U173" s="768"/>
      <c r="V173" s="768"/>
      <c r="W173" s="768"/>
    </row>
    <row r="174" ht="15.75" customHeight="1">
      <c r="A174" s="768"/>
      <c r="B174" s="773"/>
      <c r="C174" s="768"/>
      <c r="D174" s="768"/>
      <c r="E174" s="768"/>
      <c r="F174" s="768"/>
      <c r="G174" s="768"/>
      <c r="H174" s="768"/>
      <c r="I174" s="768"/>
      <c r="J174" s="768"/>
      <c r="K174" s="768"/>
      <c r="L174" s="768"/>
      <c r="M174" s="768"/>
      <c r="N174" s="768"/>
      <c r="O174" s="768"/>
      <c r="P174" s="768"/>
      <c r="Q174" s="768"/>
      <c r="R174" s="768"/>
      <c r="S174" s="768"/>
      <c r="T174" s="768"/>
      <c r="U174" s="768"/>
      <c r="V174" s="768"/>
      <c r="W174" s="768"/>
    </row>
    <row r="175" ht="15.75" customHeight="1">
      <c r="A175" s="768"/>
      <c r="B175" s="773"/>
      <c r="C175" s="768"/>
      <c r="D175" s="768"/>
      <c r="E175" s="768"/>
      <c r="F175" s="768"/>
      <c r="G175" s="768"/>
      <c r="H175" s="768"/>
      <c r="I175" s="768"/>
      <c r="J175" s="768"/>
      <c r="K175" s="768"/>
      <c r="L175" s="768"/>
      <c r="M175" s="768"/>
      <c r="N175" s="768"/>
      <c r="O175" s="768"/>
      <c r="P175" s="768"/>
      <c r="Q175" s="768"/>
      <c r="R175" s="768"/>
      <c r="S175" s="768"/>
      <c r="T175" s="768"/>
      <c r="U175" s="768"/>
      <c r="V175" s="768"/>
      <c r="W175" s="768"/>
    </row>
    <row r="176" ht="15.75" customHeight="1">
      <c r="A176" s="768"/>
      <c r="B176" s="773"/>
      <c r="C176" s="768"/>
      <c r="D176" s="768"/>
      <c r="E176" s="768"/>
      <c r="F176" s="768"/>
      <c r="G176" s="768"/>
      <c r="H176" s="768"/>
      <c r="I176" s="768"/>
      <c r="J176" s="768"/>
      <c r="K176" s="768"/>
      <c r="L176" s="768"/>
      <c r="M176" s="768"/>
      <c r="N176" s="768"/>
      <c r="O176" s="768"/>
      <c r="P176" s="768"/>
      <c r="Q176" s="768"/>
      <c r="R176" s="768"/>
      <c r="S176" s="768"/>
      <c r="T176" s="768"/>
      <c r="U176" s="768"/>
      <c r="V176" s="768"/>
      <c r="W176" s="768"/>
    </row>
    <row r="177" ht="15.75" customHeight="1">
      <c r="A177" s="768"/>
      <c r="B177" s="773"/>
      <c r="C177" s="768"/>
      <c r="D177" s="768"/>
      <c r="E177" s="768"/>
      <c r="F177" s="768"/>
      <c r="G177" s="768"/>
      <c r="H177" s="768"/>
      <c r="I177" s="768"/>
      <c r="J177" s="768"/>
      <c r="K177" s="768"/>
      <c r="L177" s="768"/>
      <c r="M177" s="768"/>
      <c r="N177" s="768"/>
      <c r="O177" s="768"/>
      <c r="P177" s="768"/>
      <c r="Q177" s="768"/>
      <c r="R177" s="768"/>
      <c r="S177" s="768"/>
      <c r="T177" s="768"/>
      <c r="U177" s="768"/>
      <c r="V177" s="768"/>
      <c r="W177" s="768"/>
    </row>
    <row r="178" ht="15.75" customHeight="1">
      <c r="A178" s="768"/>
      <c r="B178" s="773"/>
      <c r="C178" s="768"/>
      <c r="D178" s="768"/>
      <c r="E178" s="768"/>
      <c r="F178" s="768"/>
      <c r="G178" s="768"/>
      <c r="H178" s="768"/>
      <c r="I178" s="768"/>
      <c r="J178" s="768"/>
      <c r="K178" s="768"/>
      <c r="L178" s="768"/>
      <c r="M178" s="768"/>
      <c r="N178" s="768"/>
      <c r="O178" s="768"/>
      <c r="P178" s="768"/>
      <c r="Q178" s="768"/>
      <c r="R178" s="768"/>
      <c r="S178" s="768"/>
      <c r="T178" s="768"/>
      <c r="U178" s="768"/>
      <c r="V178" s="768"/>
      <c r="W178" s="768"/>
    </row>
    <row r="179" ht="15.75" customHeight="1">
      <c r="A179" s="768"/>
      <c r="B179" s="773"/>
      <c r="C179" s="768"/>
      <c r="D179" s="768"/>
      <c r="E179" s="768"/>
      <c r="F179" s="768"/>
      <c r="G179" s="768"/>
      <c r="H179" s="768"/>
      <c r="I179" s="768"/>
      <c r="J179" s="768"/>
      <c r="K179" s="768"/>
      <c r="L179" s="768"/>
      <c r="M179" s="768"/>
      <c r="N179" s="768"/>
      <c r="O179" s="768"/>
      <c r="P179" s="768"/>
      <c r="Q179" s="768"/>
      <c r="R179" s="768"/>
      <c r="S179" s="768"/>
      <c r="T179" s="768"/>
      <c r="U179" s="768"/>
      <c r="V179" s="768"/>
      <c r="W179" s="768"/>
    </row>
    <row r="180" ht="15.75" customHeight="1">
      <c r="A180" s="768"/>
      <c r="B180" s="773"/>
      <c r="C180" s="768"/>
      <c r="D180" s="768"/>
      <c r="E180" s="768"/>
      <c r="F180" s="768"/>
      <c r="G180" s="768"/>
      <c r="H180" s="768"/>
      <c r="I180" s="768"/>
      <c r="J180" s="768"/>
      <c r="K180" s="768"/>
      <c r="L180" s="768"/>
      <c r="M180" s="768"/>
      <c r="N180" s="768"/>
      <c r="O180" s="768"/>
      <c r="P180" s="768"/>
      <c r="Q180" s="768"/>
      <c r="R180" s="768"/>
      <c r="S180" s="768"/>
      <c r="T180" s="768"/>
      <c r="U180" s="768"/>
      <c r="V180" s="768"/>
      <c r="W180" s="768"/>
    </row>
    <row r="181" ht="15.75" customHeight="1">
      <c r="A181" s="768"/>
      <c r="B181" s="773"/>
      <c r="C181" s="768"/>
      <c r="D181" s="768"/>
      <c r="E181" s="768"/>
      <c r="F181" s="768"/>
      <c r="G181" s="768"/>
      <c r="H181" s="768"/>
      <c r="I181" s="768"/>
      <c r="J181" s="768"/>
      <c r="K181" s="768"/>
      <c r="L181" s="768"/>
      <c r="M181" s="768"/>
      <c r="N181" s="768"/>
      <c r="O181" s="768"/>
      <c r="P181" s="768"/>
      <c r="Q181" s="768"/>
      <c r="R181" s="768"/>
      <c r="S181" s="768"/>
      <c r="T181" s="768"/>
      <c r="U181" s="768"/>
      <c r="V181" s="768"/>
      <c r="W181" s="768"/>
    </row>
    <row r="182" ht="15.75" customHeight="1">
      <c r="A182" s="768"/>
      <c r="B182" s="773"/>
      <c r="C182" s="768"/>
      <c r="D182" s="768"/>
      <c r="E182" s="768"/>
      <c r="F182" s="768"/>
      <c r="G182" s="768"/>
      <c r="H182" s="768"/>
      <c r="I182" s="768"/>
      <c r="J182" s="768"/>
      <c r="K182" s="768"/>
      <c r="L182" s="768"/>
      <c r="M182" s="768"/>
      <c r="N182" s="768"/>
      <c r="O182" s="768"/>
      <c r="P182" s="768"/>
      <c r="Q182" s="768"/>
      <c r="R182" s="768"/>
      <c r="S182" s="768"/>
      <c r="T182" s="768"/>
      <c r="U182" s="768"/>
      <c r="V182" s="768"/>
      <c r="W182" s="768"/>
    </row>
    <row r="183" ht="15.75" customHeight="1">
      <c r="A183" s="768"/>
      <c r="B183" s="773"/>
      <c r="C183" s="768"/>
      <c r="D183" s="768"/>
      <c r="E183" s="768"/>
      <c r="F183" s="768"/>
      <c r="G183" s="768"/>
      <c r="H183" s="768"/>
      <c r="I183" s="768"/>
      <c r="J183" s="768"/>
      <c r="K183" s="768"/>
      <c r="L183" s="768"/>
      <c r="M183" s="768"/>
      <c r="N183" s="768"/>
      <c r="O183" s="768"/>
      <c r="P183" s="768"/>
      <c r="Q183" s="768"/>
      <c r="R183" s="768"/>
      <c r="S183" s="768"/>
      <c r="T183" s="768"/>
      <c r="U183" s="768"/>
      <c r="V183" s="768"/>
      <c r="W183" s="768"/>
    </row>
    <row r="184" ht="15.75" customHeight="1">
      <c r="A184" s="768"/>
      <c r="B184" s="773"/>
      <c r="C184" s="768"/>
      <c r="D184" s="768"/>
      <c r="E184" s="768"/>
      <c r="F184" s="768"/>
      <c r="G184" s="768"/>
      <c r="H184" s="768"/>
      <c r="I184" s="768"/>
      <c r="J184" s="768"/>
      <c r="K184" s="768"/>
      <c r="L184" s="768"/>
      <c r="M184" s="768"/>
      <c r="N184" s="768"/>
      <c r="O184" s="768"/>
      <c r="P184" s="768"/>
      <c r="Q184" s="768"/>
      <c r="R184" s="768"/>
      <c r="S184" s="768"/>
      <c r="T184" s="768"/>
      <c r="U184" s="768"/>
      <c r="V184" s="768"/>
      <c r="W184" s="768"/>
    </row>
    <row r="185" ht="15.75" customHeight="1">
      <c r="A185" s="768"/>
      <c r="B185" s="773"/>
      <c r="C185" s="768"/>
      <c r="D185" s="768"/>
      <c r="E185" s="768"/>
      <c r="F185" s="768"/>
      <c r="G185" s="768"/>
      <c r="H185" s="768"/>
      <c r="I185" s="768"/>
      <c r="J185" s="768"/>
      <c r="K185" s="768"/>
      <c r="L185" s="768"/>
      <c r="M185" s="768"/>
      <c r="N185" s="768"/>
      <c r="O185" s="768"/>
      <c r="P185" s="768"/>
      <c r="Q185" s="768"/>
      <c r="R185" s="768"/>
      <c r="S185" s="768"/>
      <c r="T185" s="768"/>
      <c r="U185" s="768"/>
      <c r="V185" s="768"/>
      <c r="W185" s="768"/>
    </row>
    <row r="186" ht="15.75" customHeight="1">
      <c r="A186" s="768"/>
      <c r="B186" s="773"/>
      <c r="C186" s="768"/>
      <c r="D186" s="768"/>
      <c r="E186" s="768"/>
      <c r="F186" s="768"/>
      <c r="G186" s="768"/>
      <c r="H186" s="768"/>
      <c r="I186" s="768"/>
      <c r="J186" s="768"/>
      <c r="K186" s="768"/>
      <c r="L186" s="768"/>
      <c r="M186" s="768"/>
      <c r="N186" s="768"/>
      <c r="O186" s="768"/>
      <c r="P186" s="768"/>
      <c r="Q186" s="768"/>
      <c r="R186" s="768"/>
      <c r="S186" s="768"/>
      <c r="T186" s="768"/>
      <c r="U186" s="768"/>
      <c r="V186" s="768"/>
      <c r="W186" s="768"/>
    </row>
    <row r="187" ht="15.75" customHeight="1">
      <c r="A187" s="768"/>
      <c r="B187" s="773"/>
      <c r="C187" s="768"/>
      <c r="D187" s="768"/>
      <c r="E187" s="768"/>
      <c r="F187" s="768"/>
      <c r="G187" s="768"/>
      <c r="H187" s="768"/>
      <c r="I187" s="768"/>
      <c r="J187" s="768"/>
      <c r="K187" s="768"/>
      <c r="L187" s="768"/>
      <c r="M187" s="768"/>
      <c r="N187" s="768"/>
      <c r="O187" s="768"/>
      <c r="P187" s="768"/>
      <c r="Q187" s="768"/>
      <c r="R187" s="768"/>
      <c r="S187" s="768"/>
      <c r="T187" s="768"/>
      <c r="U187" s="768"/>
      <c r="V187" s="768"/>
      <c r="W187" s="768"/>
    </row>
    <row r="188" ht="15.75" customHeight="1">
      <c r="A188" s="768"/>
      <c r="B188" s="773"/>
      <c r="C188" s="768"/>
      <c r="D188" s="768"/>
      <c r="E188" s="768"/>
      <c r="F188" s="768"/>
      <c r="G188" s="768"/>
      <c r="H188" s="768"/>
      <c r="I188" s="768"/>
      <c r="J188" s="768"/>
      <c r="K188" s="768"/>
      <c r="L188" s="768"/>
      <c r="M188" s="768"/>
      <c r="N188" s="768"/>
      <c r="O188" s="768"/>
      <c r="P188" s="768"/>
      <c r="Q188" s="768"/>
      <c r="R188" s="768"/>
      <c r="S188" s="768"/>
      <c r="T188" s="768"/>
      <c r="U188" s="768"/>
      <c r="V188" s="768"/>
      <c r="W188" s="768"/>
    </row>
    <row r="189" ht="15.75" customHeight="1">
      <c r="A189" s="768"/>
      <c r="B189" s="773"/>
      <c r="C189" s="768"/>
      <c r="D189" s="768"/>
      <c r="E189" s="768"/>
      <c r="F189" s="768"/>
      <c r="G189" s="768"/>
      <c r="H189" s="768"/>
      <c r="I189" s="768"/>
      <c r="J189" s="768"/>
      <c r="K189" s="768"/>
      <c r="L189" s="768"/>
      <c r="M189" s="768"/>
      <c r="N189" s="768"/>
      <c r="O189" s="768"/>
      <c r="P189" s="768"/>
      <c r="Q189" s="768"/>
      <c r="R189" s="768"/>
      <c r="S189" s="768"/>
      <c r="T189" s="768"/>
      <c r="U189" s="768"/>
      <c r="V189" s="768"/>
      <c r="W189" s="768"/>
    </row>
    <row r="190" ht="15.75" customHeight="1">
      <c r="A190" s="768"/>
      <c r="B190" s="773"/>
      <c r="C190" s="768"/>
      <c r="D190" s="768"/>
      <c r="E190" s="768"/>
      <c r="F190" s="768"/>
      <c r="G190" s="768"/>
      <c r="H190" s="768"/>
      <c r="I190" s="768"/>
      <c r="J190" s="768"/>
      <c r="K190" s="768"/>
      <c r="L190" s="768"/>
      <c r="M190" s="768"/>
      <c r="N190" s="768"/>
      <c r="O190" s="768"/>
      <c r="P190" s="768"/>
      <c r="Q190" s="768"/>
      <c r="R190" s="768"/>
      <c r="S190" s="768"/>
      <c r="T190" s="768"/>
      <c r="U190" s="768"/>
      <c r="V190" s="768"/>
      <c r="W190" s="768"/>
    </row>
    <row r="191" ht="15.75" customHeight="1">
      <c r="A191" s="768"/>
      <c r="B191" s="773"/>
      <c r="C191" s="768"/>
      <c r="D191" s="768"/>
      <c r="E191" s="768"/>
      <c r="F191" s="768"/>
      <c r="G191" s="768"/>
      <c r="H191" s="768"/>
      <c r="I191" s="768"/>
      <c r="J191" s="768"/>
      <c r="K191" s="768"/>
      <c r="L191" s="768"/>
      <c r="M191" s="768"/>
      <c r="N191" s="768"/>
      <c r="O191" s="768"/>
      <c r="P191" s="768"/>
      <c r="Q191" s="768"/>
      <c r="R191" s="768"/>
      <c r="S191" s="768"/>
      <c r="T191" s="768"/>
      <c r="U191" s="768"/>
      <c r="V191" s="768"/>
      <c r="W191" s="768"/>
    </row>
    <row r="192" ht="15.75" customHeight="1">
      <c r="A192" s="768"/>
      <c r="B192" s="773"/>
      <c r="C192" s="768"/>
      <c r="D192" s="768"/>
      <c r="E192" s="768"/>
      <c r="F192" s="768"/>
      <c r="G192" s="768"/>
      <c r="H192" s="768"/>
      <c r="I192" s="768"/>
      <c r="J192" s="768"/>
      <c r="K192" s="768"/>
      <c r="L192" s="768"/>
      <c r="M192" s="768"/>
      <c r="N192" s="768"/>
      <c r="O192" s="768"/>
      <c r="P192" s="768"/>
      <c r="Q192" s="768"/>
      <c r="R192" s="768"/>
      <c r="S192" s="768"/>
      <c r="T192" s="768"/>
      <c r="U192" s="768"/>
      <c r="V192" s="768"/>
      <c r="W192" s="768"/>
    </row>
    <row r="193" ht="15.75" customHeight="1">
      <c r="A193" s="768"/>
      <c r="B193" s="773"/>
      <c r="C193" s="768"/>
      <c r="D193" s="768"/>
      <c r="E193" s="768"/>
      <c r="F193" s="768"/>
      <c r="G193" s="768"/>
      <c r="H193" s="768"/>
      <c r="I193" s="768"/>
      <c r="J193" s="768"/>
      <c r="K193" s="768"/>
      <c r="L193" s="768"/>
      <c r="M193" s="768"/>
      <c r="N193" s="768"/>
      <c r="O193" s="768"/>
      <c r="P193" s="768"/>
      <c r="Q193" s="768"/>
      <c r="R193" s="768"/>
      <c r="S193" s="768"/>
      <c r="T193" s="768"/>
      <c r="U193" s="768"/>
      <c r="V193" s="768"/>
      <c r="W193" s="768"/>
    </row>
    <row r="194" ht="15.75" customHeight="1">
      <c r="A194" s="768"/>
      <c r="B194" s="773"/>
      <c r="C194" s="768"/>
      <c r="D194" s="768"/>
      <c r="E194" s="768"/>
      <c r="F194" s="768"/>
      <c r="G194" s="768"/>
      <c r="H194" s="768"/>
      <c r="I194" s="768"/>
      <c r="J194" s="768"/>
      <c r="K194" s="768"/>
      <c r="L194" s="768"/>
      <c r="M194" s="768"/>
      <c r="N194" s="768"/>
      <c r="O194" s="768"/>
      <c r="P194" s="768"/>
      <c r="Q194" s="768"/>
      <c r="R194" s="768"/>
      <c r="S194" s="768"/>
      <c r="T194" s="768"/>
      <c r="U194" s="768"/>
      <c r="V194" s="768"/>
      <c r="W194" s="768"/>
    </row>
    <row r="195" ht="15.75" customHeight="1">
      <c r="A195" s="768"/>
      <c r="B195" s="773"/>
      <c r="C195" s="768"/>
      <c r="D195" s="768"/>
      <c r="E195" s="768"/>
      <c r="F195" s="768"/>
      <c r="G195" s="768"/>
      <c r="H195" s="768"/>
      <c r="I195" s="768"/>
      <c r="J195" s="768"/>
      <c r="K195" s="768"/>
      <c r="L195" s="768"/>
      <c r="M195" s="768"/>
      <c r="N195" s="768"/>
      <c r="O195" s="768"/>
      <c r="P195" s="768"/>
      <c r="Q195" s="768"/>
      <c r="R195" s="768"/>
      <c r="S195" s="768"/>
      <c r="T195" s="768"/>
      <c r="U195" s="768"/>
      <c r="V195" s="768"/>
      <c r="W195" s="768"/>
    </row>
    <row r="196" ht="15.75" customHeight="1">
      <c r="A196" s="768"/>
      <c r="B196" s="773"/>
      <c r="C196" s="768"/>
      <c r="D196" s="768"/>
      <c r="E196" s="768"/>
      <c r="F196" s="768"/>
      <c r="G196" s="768"/>
      <c r="H196" s="768"/>
      <c r="I196" s="768"/>
      <c r="J196" s="768"/>
      <c r="K196" s="768"/>
      <c r="L196" s="768"/>
      <c r="M196" s="768"/>
      <c r="N196" s="768"/>
      <c r="O196" s="768"/>
      <c r="P196" s="768"/>
      <c r="Q196" s="768"/>
      <c r="R196" s="768"/>
      <c r="S196" s="768"/>
      <c r="T196" s="768"/>
      <c r="U196" s="768"/>
      <c r="V196" s="768"/>
      <c r="W196" s="768"/>
    </row>
    <row r="197" ht="15.75" customHeight="1">
      <c r="A197" s="768"/>
      <c r="B197" s="773"/>
      <c r="C197" s="768"/>
      <c r="D197" s="768"/>
      <c r="E197" s="768"/>
      <c r="F197" s="768"/>
      <c r="G197" s="768"/>
      <c r="H197" s="768"/>
      <c r="I197" s="768"/>
      <c r="J197" s="768"/>
      <c r="K197" s="768"/>
      <c r="L197" s="768"/>
      <c r="M197" s="768"/>
      <c r="N197" s="768"/>
      <c r="O197" s="768"/>
      <c r="P197" s="768"/>
      <c r="Q197" s="768"/>
      <c r="R197" s="768"/>
      <c r="S197" s="768"/>
      <c r="T197" s="768"/>
      <c r="U197" s="768"/>
      <c r="V197" s="768"/>
      <c r="W197" s="768"/>
    </row>
    <row r="198" ht="15.75" customHeight="1">
      <c r="A198" s="768"/>
      <c r="B198" s="773"/>
      <c r="C198" s="768"/>
      <c r="D198" s="768"/>
      <c r="E198" s="768"/>
      <c r="F198" s="768"/>
      <c r="G198" s="768"/>
      <c r="H198" s="768"/>
      <c r="I198" s="768"/>
      <c r="J198" s="768"/>
      <c r="K198" s="768"/>
      <c r="L198" s="768"/>
      <c r="M198" s="768"/>
      <c r="N198" s="768"/>
      <c r="O198" s="768"/>
      <c r="P198" s="768"/>
      <c r="Q198" s="768"/>
      <c r="R198" s="768"/>
      <c r="S198" s="768"/>
      <c r="T198" s="768"/>
      <c r="U198" s="768"/>
      <c r="V198" s="768"/>
      <c r="W198" s="768"/>
    </row>
    <row r="199" ht="15.75" customHeight="1">
      <c r="A199" s="768"/>
      <c r="B199" s="773"/>
      <c r="C199" s="768"/>
      <c r="D199" s="768"/>
      <c r="E199" s="768"/>
      <c r="F199" s="768"/>
      <c r="G199" s="768"/>
      <c r="H199" s="768"/>
      <c r="I199" s="768"/>
      <c r="J199" s="768"/>
      <c r="K199" s="768"/>
      <c r="L199" s="768"/>
      <c r="M199" s="768"/>
      <c r="N199" s="768"/>
      <c r="O199" s="768"/>
      <c r="P199" s="768"/>
      <c r="Q199" s="768"/>
      <c r="R199" s="768"/>
      <c r="S199" s="768"/>
      <c r="T199" s="768"/>
      <c r="U199" s="768"/>
      <c r="V199" s="768"/>
      <c r="W199" s="768"/>
    </row>
    <row r="200" ht="15.75" customHeight="1">
      <c r="A200" s="768"/>
      <c r="B200" s="773"/>
      <c r="C200" s="768"/>
      <c r="D200" s="768"/>
      <c r="E200" s="768"/>
      <c r="F200" s="768"/>
      <c r="G200" s="768"/>
      <c r="H200" s="768"/>
      <c r="I200" s="768"/>
      <c r="J200" s="768"/>
      <c r="K200" s="768"/>
      <c r="L200" s="768"/>
      <c r="M200" s="768"/>
      <c r="N200" s="768"/>
      <c r="O200" s="768"/>
      <c r="P200" s="768"/>
      <c r="Q200" s="768"/>
      <c r="R200" s="768"/>
      <c r="S200" s="768"/>
      <c r="T200" s="768"/>
      <c r="U200" s="768"/>
      <c r="V200" s="768"/>
      <c r="W200" s="76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77" t="s">
        <v>6343</v>
      </c>
      <c r="B1" s="778" t="s">
        <v>2</v>
      </c>
      <c r="C1" s="777" t="s">
        <v>3</v>
      </c>
      <c r="D1" s="777" t="s">
        <v>6344</v>
      </c>
      <c r="E1" s="779" t="s">
        <v>5416</v>
      </c>
      <c r="F1" s="777" t="s">
        <v>6067</v>
      </c>
      <c r="G1" s="777" t="s">
        <v>4</v>
      </c>
      <c r="H1" s="777" t="s">
        <v>5</v>
      </c>
      <c r="I1" s="777" t="s">
        <v>6</v>
      </c>
      <c r="J1" s="780" t="s">
        <v>92</v>
      </c>
      <c r="K1" s="777" t="s">
        <v>9</v>
      </c>
      <c r="L1" s="781"/>
      <c r="M1" s="781"/>
      <c r="N1" s="781"/>
      <c r="O1" s="781"/>
      <c r="P1" s="781"/>
      <c r="Q1" s="781"/>
      <c r="R1" s="781"/>
      <c r="S1" s="781"/>
      <c r="T1" s="781"/>
      <c r="U1" s="781"/>
      <c r="V1" s="781"/>
      <c r="W1" s="781"/>
      <c r="X1" s="781"/>
      <c r="Y1" s="781"/>
      <c r="Z1" s="781"/>
      <c r="AA1" s="781"/>
      <c r="AB1" s="781"/>
      <c r="AC1" s="781"/>
      <c r="AD1" s="781"/>
      <c r="AE1" s="781"/>
    </row>
    <row r="2" ht="15.75" customHeight="1">
      <c r="A2" s="782">
        <v>43768.0</v>
      </c>
      <c r="B2" s="783" t="s">
        <v>2693</v>
      </c>
      <c r="C2" s="772" t="s">
        <v>2547</v>
      </c>
      <c r="D2" s="772" t="s">
        <v>6345</v>
      </c>
      <c r="E2" s="784">
        <v>0.0</v>
      </c>
      <c r="F2" s="772" t="s">
        <v>2692</v>
      </c>
      <c r="G2" s="782" t="s">
        <v>2550</v>
      </c>
      <c r="H2" s="782" t="s">
        <v>29</v>
      </c>
      <c r="I2" s="782" t="s">
        <v>2551</v>
      </c>
      <c r="J2" s="782">
        <v>43567.0</v>
      </c>
      <c r="K2" s="785" t="s">
        <v>3840</v>
      </c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</row>
    <row r="3" ht="15.75" customHeight="1">
      <c r="A3" s="782">
        <v>43782.0</v>
      </c>
      <c r="B3" s="783" t="s">
        <v>3144</v>
      </c>
      <c r="C3" s="772" t="s">
        <v>2547</v>
      </c>
      <c r="D3" s="772" t="s">
        <v>6345</v>
      </c>
      <c r="E3" s="784">
        <v>0.0</v>
      </c>
      <c r="F3" s="772" t="s">
        <v>3143</v>
      </c>
      <c r="G3" s="782" t="s">
        <v>2550</v>
      </c>
      <c r="H3" s="782" t="s">
        <v>29</v>
      </c>
      <c r="I3" s="782" t="s">
        <v>2562</v>
      </c>
      <c r="J3" s="782">
        <v>43567.0</v>
      </c>
      <c r="K3" s="785" t="s">
        <v>4206</v>
      </c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</row>
    <row r="4" ht="15.75" customHeight="1">
      <c r="A4" s="782">
        <v>43862.0</v>
      </c>
      <c r="B4" s="783" t="s">
        <v>3566</v>
      </c>
      <c r="C4" s="772" t="s">
        <v>2547</v>
      </c>
      <c r="D4" s="772" t="s">
        <v>6345</v>
      </c>
      <c r="E4" s="784">
        <v>0.0</v>
      </c>
      <c r="F4" s="772" t="s">
        <v>3565</v>
      </c>
      <c r="G4" s="782" t="s">
        <v>18</v>
      </c>
      <c r="H4" s="782" t="s">
        <v>29</v>
      </c>
      <c r="I4" s="782" t="s">
        <v>2803</v>
      </c>
      <c r="J4" s="782">
        <v>43461.0</v>
      </c>
      <c r="K4" s="785" t="s">
        <v>4206</v>
      </c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</row>
    <row r="5" ht="15.75" customHeight="1">
      <c r="A5" s="786">
        <v>43893.0</v>
      </c>
      <c r="B5" s="787" t="s">
        <v>3446</v>
      </c>
      <c r="C5" s="788" t="s">
        <v>2547</v>
      </c>
      <c r="D5" s="772" t="s">
        <v>6346</v>
      </c>
      <c r="E5" s="784">
        <v>25000.0</v>
      </c>
      <c r="F5" s="772" t="s">
        <v>3445</v>
      </c>
      <c r="G5" s="782" t="s">
        <v>2550</v>
      </c>
      <c r="H5" s="782" t="s">
        <v>29</v>
      </c>
      <c r="I5" s="782" t="s">
        <v>2551</v>
      </c>
      <c r="J5" s="782">
        <v>43675.0</v>
      </c>
      <c r="K5" s="785" t="s">
        <v>4206</v>
      </c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</row>
    <row r="6" ht="15.75" customHeight="1">
      <c r="A6" s="786">
        <v>43893.0</v>
      </c>
      <c r="B6" s="787" t="s">
        <v>3391</v>
      </c>
      <c r="C6" s="788" t="s">
        <v>2547</v>
      </c>
      <c r="D6" s="772" t="s">
        <v>6346</v>
      </c>
      <c r="E6" s="784">
        <v>6000.0</v>
      </c>
      <c r="F6" s="772" t="s">
        <v>1986</v>
      </c>
      <c r="G6" s="782" t="s">
        <v>2550</v>
      </c>
      <c r="H6" s="782" t="s">
        <v>29</v>
      </c>
      <c r="I6" s="782" t="s">
        <v>2562</v>
      </c>
      <c r="J6" s="782">
        <v>43620.0</v>
      </c>
      <c r="K6" s="785" t="s">
        <v>3828</v>
      </c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</row>
    <row r="7" ht="15.75" customHeight="1">
      <c r="A7" s="786">
        <v>43894.0</v>
      </c>
      <c r="B7" s="787" t="s">
        <v>6347</v>
      </c>
      <c r="C7" s="788" t="s">
        <v>3820</v>
      </c>
      <c r="D7" s="772" t="s">
        <v>6346</v>
      </c>
      <c r="E7" s="784">
        <v>50000.0</v>
      </c>
      <c r="F7" s="772" t="s">
        <v>5059</v>
      </c>
      <c r="G7" s="772" t="s">
        <v>2550</v>
      </c>
      <c r="H7" s="772" t="s">
        <v>29</v>
      </c>
      <c r="I7" s="772" t="s">
        <v>2550</v>
      </c>
      <c r="J7" s="782">
        <v>43749.0</v>
      </c>
      <c r="K7" s="789" t="s">
        <v>4206</v>
      </c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</row>
    <row r="8" ht="15.75" customHeight="1">
      <c r="A8" s="786">
        <v>43894.0</v>
      </c>
      <c r="B8" s="787" t="s">
        <v>3446</v>
      </c>
      <c r="C8" s="788" t="s">
        <v>2547</v>
      </c>
      <c r="D8" s="772" t="s">
        <v>6346</v>
      </c>
      <c r="E8" s="784">
        <v>9500.0</v>
      </c>
      <c r="F8" s="772" t="s">
        <v>3445</v>
      </c>
      <c r="G8" s="782" t="s">
        <v>2550</v>
      </c>
      <c r="H8" s="782" t="s">
        <v>29</v>
      </c>
      <c r="I8" s="782" t="s">
        <v>2551</v>
      </c>
      <c r="J8" s="782">
        <v>43675.0</v>
      </c>
      <c r="K8" s="785" t="s">
        <v>4206</v>
      </c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</row>
    <row r="9" ht="15.75" customHeight="1">
      <c r="A9" s="786">
        <v>43894.0</v>
      </c>
      <c r="B9" s="787" t="s">
        <v>3372</v>
      </c>
      <c r="C9" s="788" t="s">
        <v>2547</v>
      </c>
      <c r="D9" s="772" t="s">
        <v>6346</v>
      </c>
      <c r="E9" s="784">
        <v>5000.0</v>
      </c>
      <c r="F9" s="772" t="s">
        <v>3371</v>
      </c>
      <c r="G9" s="782" t="s">
        <v>2550</v>
      </c>
      <c r="H9" s="782" t="s">
        <v>29</v>
      </c>
      <c r="I9" s="782" t="s">
        <v>2551</v>
      </c>
      <c r="J9" s="782">
        <v>43700.0</v>
      </c>
      <c r="K9" s="785" t="s">
        <v>4206</v>
      </c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</row>
    <row r="10" ht="15.75" customHeight="1">
      <c r="A10" s="786">
        <v>43894.0</v>
      </c>
      <c r="B10" s="787" t="s">
        <v>3029</v>
      </c>
      <c r="C10" s="788" t="s">
        <v>2547</v>
      </c>
      <c r="D10" s="772" t="s">
        <v>6346</v>
      </c>
      <c r="E10" s="784">
        <v>3700.0</v>
      </c>
      <c r="F10" s="772" t="s">
        <v>3028</v>
      </c>
      <c r="G10" s="782" t="s">
        <v>18</v>
      </c>
      <c r="H10" s="782" t="s">
        <v>29</v>
      </c>
      <c r="I10" s="782" t="s">
        <v>2803</v>
      </c>
      <c r="J10" s="782">
        <v>43510.0</v>
      </c>
      <c r="K10" s="785" t="s">
        <v>6348</v>
      </c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</row>
    <row r="11" ht="15.75" customHeight="1">
      <c r="A11" s="786">
        <v>43895.0</v>
      </c>
      <c r="B11" s="787" t="s">
        <v>2982</v>
      </c>
      <c r="C11" s="788" t="s">
        <v>2547</v>
      </c>
      <c r="D11" s="772" t="s">
        <v>6346</v>
      </c>
      <c r="E11" s="784">
        <v>14000.0</v>
      </c>
      <c r="F11" s="772" t="s">
        <v>2981</v>
      </c>
      <c r="G11" s="782" t="s">
        <v>2550</v>
      </c>
      <c r="H11" s="782" t="s">
        <v>29</v>
      </c>
      <c r="I11" s="782" t="s">
        <v>2551</v>
      </c>
      <c r="J11" s="782">
        <v>43703.0</v>
      </c>
      <c r="K11" s="785" t="s">
        <v>4206</v>
      </c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</row>
    <row r="12" ht="15.75" customHeight="1">
      <c r="A12" s="786">
        <v>43902.0</v>
      </c>
      <c r="B12" s="787" t="s">
        <v>3590</v>
      </c>
      <c r="C12" s="788" t="s">
        <v>2547</v>
      </c>
      <c r="D12" s="772" t="s">
        <v>6346</v>
      </c>
      <c r="E12" s="784">
        <v>10000.0</v>
      </c>
      <c r="F12" s="772" t="s">
        <v>3589</v>
      </c>
      <c r="G12" s="782" t="s">
        <v>2550</v>
      </c>
      <c r="H12" s="782" t="s">
        <v>29</v>
      </c>
      <c r="I12" s="782" t="s">
        <v>2551</v>
      </c>
      <c r="J12" s="782">
        <v>43567.0</v>
      </c>
      <c r="K12" s="785" t="s">
        <v>3828</v>
      </c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</row>
    <row r="13" ht="15.75" customHeight="1">
      <c r="A13" s="786">
        <v>43906.0</v>
      </c>
      <c r="B13" s="787" t="s">
        <v>3041</v>
      </c>
      <c r="C13" s="788" t="s">
        <v>2547</v>
      </c>
      <c r="D13" s="772" t="s">
        <v>6346</v>
      </c>
      <c r="E13" s="784">
        <v>193205.23</v>
      </c>
      <c r="F13" s="772" t="s">
        <v>3040</v>
      </c>
      <c r="G13" s="782" t="s">
        <v>2550</v>
      </c>
      <c r="H13" s="782" t="s">
        <v>29</v>
      </c>
      <c r="I13" s="782" t="s">
        <v>2551</v>
      </c>
      <c r="J13" s="782">
        <v>43605.0</v>
      </c>
      <c r="K13" s="785" t="s">
        <v>3836</v>
      </c>
      <c r="L13" s="781"/>
      <c r="M13" s="781"/>
      <c r="N13" s="781"/>
      <c r="O13" s="781"/>
      <c r="P13" s="781"/>
      <c r="Q13" s="781"/>
      <c r="R13" s="781"/>
      <c r="S13" s="781"/>
      <c r="T13" s="781"/>
      <c r="U13" s="781"/>
      <c r="V13" s="781"/>
      <c r="W13" s="781"/>
      <c r="X13" s="781"/>
      <c r="Y13" s="781"/>
      <c r="Z13" s="781"/>
      <c r="AA13" s="781"/>
      <c r="AB13" s="781"/>
      <c r="AC13" s="781"/>
      <c r="AD13" s="781"/>
      <c r="AE13" s="781"/>
    </row>
    <row r="14" ht="15.75" customHeight="1">
      <c r="A14" s="786">
        <v>43906.0</v>
      </c>
      <c r="B14" s="790" t="s">
        <v>6349</v>
      </c>
      <c r="C14" s="788" t="s">
        <v>3820</v>
      </c>
      <c r="D14" s="772" t="s">
        <v>6346</v>
      </c>
      <c r="E14" s="784">
        <v>10000.0</v>
      </c>
      <c r="F14" s="772" t="s">
        <v>5179</v>
      </c>
      <c r="G14" s="772" t="s">
        <v>2550</v>
      </c>
      <c r="H14" s="772" t="s">
        <v>29</v>
      </c>
      <c r="I14" s="772" t="s">
        <v>2550</v>
      </c>
      <c r="J14" s="782">
        <v>43924.0</v>
      </c>
      <c r="K14" s="789" t="s">
        <v>3828</v>
      </c>
      <c r="L14" s="781"/>
      <c r="M14" s="781"/>
      <c r="N14" s="781"/>
      <c r="O14" s="781"/>
      <c r="P14" s="781"/>
      <c r="Q14" s="781"/>
      <c r="R14" s="781"/>
      <c r="S14" s="781"/>
      <c r="T14" s="781"/>
      <c r="U14" s="781"/>
      <c r="V14" s="781"/>
      <c r="W14" s="781"/>
      <c r="X14" s="781"/>
      <c r="Y14" s="781"/>
      <c r="Z14" s="781"/>
      <c r="AA14" s="781"/>
      <c r="AB14" s="781"/>
      <c r="AC14" s="781"/>
      <c r="AD14" s="781"/>
      <c r="AE14" s="781"/>
    </row>
    <row r="15" ht="15.75" customHeight="1">
      <c r="A15" s="786">
        <v>43907.0</v>
      </c>
      <c r="B15" s="787" t="s">
        <v>2793</v>
      </c>
      <c r="C15" s="788" t="s">
        <v>2547</v>
      </c>
      <c r="D15" s="772" t="s">
        <v>6346</v>
      </c>
      <c r="E15" s="784">
        <v>25000.0</v>
      </c>
      <c r="F15" s="772" t="s">
        <v>2792</v>
      </c>
      <c r="G15" s="782" t="s">
        <v>2550</v>
      </c>
      <c r="H15" s="782" t="s">
        <v>29</v>
      </c>
      <c r="I15" s="782" t="s">
        <v>2551</v>
      </c>
      <c r="J15" s="782">
        <v>43822.0</v>
      </c>
      <c r="K15" s="785" t="s">
        <v>3836</v>
      </c>
      <c r="L15" s="781"/>
      <c r="M15" s="781"/>
      <c r="N15" s="781"/>
      <c r="O15" s="781"/>
      <c r="P15" s="781"/>
      <c r="Q15" s="781"/>
      <c r="R15" s="781"/>
      <c r="S15" s="781"/>
      <c r="T15" s="781"/>
      <c r="U15" s="781"/>
      <c r="V15" s="781"/>
      <c r="W15" s="781"/>
      <c r="X15" s="781"/>
      <c r="Y15" s="781"/>
      <c r="Z15" s="781"/>
      <c r="AA15" s="781"/>
      <c r="AB15" s="781"/>
      <c r="AC15" s="781"/>
      <c r="AD15" s="781"/>
      <c r="AE15" s="781"/>
    </row>
    <row r="16" ht="15.75" customHeight="1">
      <c r="A16" s="786">
        <v>43907.0</v>
      </c>
      <c r="B16" s="787" t="s">
        <v>2982</v>
      </c>
      <c r="C16" s="788" t="s">
        <v>2547</v>
      </c>
      <c r="D16" s="772" t="s">
        <v>6346</v>
      </c>
      <c r="E16" s="784">
        <v>7000.0</v>
      </c>
      <c r="F16" s="772" t="s">
        <v>2981</v>
      </c>
      <c r="G16" s="782" t="s">
        <v>2550</v>
      </c>
      <c r="H16" s="782" t="s">
        <v>29</v>
      </c>
      <c r="I16" s="782" t="s">
        <v>2551</v>
      </c>
      <c r="J16" s="782">
        <v>43703.0</v>
      </c>
      <c r="K16" s="785" t="s">
        <v>4206</v>
      </c>
      <c r="L16" s="781"/>
      <c r="M16" s="781"/>
      <c r="N16" s="781"/>
      <c r="O16" s="781"/>
      <c r="P16" s="781"/>
      <c r="Q16" s="781"/>
      <c r="R16" s="781"/>
      <c r="S16" s="781"/>
      <c r="T16" s="781"/>
      <c r="U16" s="781"/>
      <c r="V16" s="781"/>
      <c r="W16" s="781"/>
      <c r="X16" s="781"/>
      <c r="Y16" s="781"/>
      <c r="Z16" s="781"/>
      <c r="AA16" s="781"/>
      <c r="AB16" s="781"/>
      <c r="AC16" s="781"/>
      <c r="AD16" s="781"/>
      <c r="AE16" s="781"/>
    </row>
    <row r="17" ht="15.75" customHeight="1">
      <c r="A17" s="786">
        <v>43907.0</v>
      </c>
      <c r="B17" s="787" t="s">
        <v>6350</v>
      </c>
      <c r="C17" s="788" t="s">
        <v>3820</v>
      </c>
      <c r="D17" s="772" t="s">
        <v>6346</v>
      </c>
      <c r="E17" s="784">
        <v>95799.8</v>
      </c>
      <c r="F17" s="772" t="s">
        <v>4677</v>
      </c>
      <c r="G17" s="772" t="s">
        <v>2550</v>
      </c>
      <c r="H17" s="772" t="s">
        <v>29</v>
      </c>
      <c r="I17" s="772" t="s">
        <v>2550</v>
      </c>
      <c r="J17" s="782">
        <v>44252.0</v>
      </c>
      <c r="K17" s="789" t="s">
        <v>3836</v>
      </c>
      <c r="L17" s="781"/>
      <c r="M17" s="781"/>
      <c r="N17" s="781"/>
      <c r="O17" s="781"/>
      <c r="P17" s="781"/>
      <c r="Q17" s="781"/>
      <c r="R17" s="781"/>
      <c r="S17" s="781"/>
      <c r="T17" s="781"/>
      <c r="U17" s="781"/>
      <c r="V17" s="781"/>
      <c r="W17" s="781"/>
      <c r="X17" s="781"/>
      <c r="Y17" s="781"/>
      <c r="Z17" s="781"/>
      <c r="AA17" s="781"/>
      <c r="AB17" s="781"/>
      <c r="AC17" s="781"/>
      <c r="AD17" s="781"/>
      <c r="AE17" s="781"/>
    </row>
    <row r="18" ht="15.75" customHeight="1">
      <c r="A18" s="782">
        <v>43910.0</v>
      </c>
      <c r="B18" s="783" t="s">
        <v>2885</v>
      </c>
      <c r="C18" s="772" t="s">
        <v>2547</v>
      </c>
      <c r="D18" s="772" t="s">
        <v>6345</v>
      </c>
      <c r="E18" s="784">
        <v>0.0</v>
      </c>
      <c r="F18" s="772" t="s">
        <v>2884</v>
      </c>
      <c r="G18" s="782" t="s">
        <v>2550</v>
      </c>
      <c r="H18" s="782" t="s">
        <v>29</v>
      </c>
      <c r="I18" s="782" t="s">
        <v>2562</v>
      </c>
      <c r="J18" s="782">
        <v>43699.0</v>
      </c>
      <c r="K18" s="785" t="s">
        <v>4206</v>
      </c>
      <c r="L18" s="781"/>
      <c r="M18" s="781"/>
      <c r="N18" s="781"/>
      <c r="O18" s="781"/>
      <c r="P18" s="781"/>
      <c r="Q18" s="781"/>
      <c r="R18" s="781"/>
      <c r="S18" s="781"/>
      <c r="T18" s="781"/>
      <c r="U18" s="781"/>
      <c r="V18" s="781"/>
      <c r="W18" s="781"/>
      <c r="X18" s="781"/>
      <c r="Y18" s="781"/>
      <c r="Z18" s="781"/>
      <c r="AA18" s="781"/>
      <c r="AB18" s="781"/>
      <c r="AC18" s="781"/>
      <c r="AD18" s="781"/>
      <c r="AE18" s="781"/>
    </row>
    <row r="19" ht="15.75" customHeight="1">
      <c r="A19" s="786">
        <v>43915.0</v>
      </c>
      <c r="B19" s="787" t="s">
        <v>3041</v>
      </c>
      <c r="C19" s="788" t="s">
        <v>2547</v>
      </c>
      <c r="D19" s="772" t="s">
        <v>6346</v>
      </c>
      <c r="E19" s="784">
        <v>0.0</v>
      </c>
      <c r="F19" s="772" t="s">
        <v>3040</v>
      </c>
      <c r="G19" s="782" t="s">
        <v>2550</v>
      </c>
      <c r="H19" s="782" t="s">
        <v>29</v>
      </c>
      <c r="I19" s="782" t="s">
        <v>2551</v>
      </c>
      <c r="J19" s="782">
        <v>43605.0</v>
      </c>
      <c r="K19" s="785" t="s">
        <v>3836</v>
      </c>
      <c r="L19" s="781"/>
      <c r="M19" s="781"/>
      <c r="N19" s="781"/>
      <c r="O19" s="781"/>
      <c r="P19" s="781"/>
      <c r="Q19" s="781"/>
      <c r="R19" s="781"/>
      <c r="S19" s="781"/>
      <c r="T19" s="781"/>
      <c r="U19" s="781"/>
      <c r="V19" s="781"/>
      <c r="W19" s="781"/>
      <c r="X19" s="781"/>
      <c r="Y19" s="781"/>
      <c r="Z19" s="781"/>
      <c r="AA19" s="781"/>
      <c r="AB19" s="781"/>
      <c r="AC19" s="781"/>
      <c r="AD19" s="781"/>
      <c r="AE19" s="781"/>
    </row>
    <row r="20" ht="15.75" customHeight="1">
      <c r="A20" s="786">
        <v>43915.0</v>
      </c>
      <c r="B20" s="787" t="s">
        <v>2982</v>
      </c>
      <c r="C20" s="788" t="s">
        <v>2547</v>
      </c>
      <c r="D20" s="772" t="s">
        <v>6346</v>
      </c>
      <c r="E20" s="784">
        <v>80000.0</v>
      </c>
      <c r="F20" s="772" t="s">
        <v>2981</v>
      </c>
      <c r="G20" s="782" t="s">
        <v>2550</v>
      </c>
      <c r="H20" s="782" t="s">
        <v>29</v>
      </c>
      <c r="I20" s="782" t="s">
        <v>2551</v>
      </c>
      <c r="J20" s="782">
        <v>43703.0</v>
      </c>
      <c r="K20" s="785" t="s">
        <v>4206</v>
      </c>
      <c r="L20" s="781"/>
      <c r="M20" s="781"/>
      <c r="N20" s="781"/>
      <c r="O20" s="781"/>
      <c r="P20" s="781"/>
      <c r="Q20" s="781"/>
      <c r="R20" s="781"/>
      <c r="S20" s="781"/>
      <c r="T20" s="781"/>
      <c r="U20" s="781"/>
      <c r="V20" s="781"/>
      <c r="W20" s="781"/>
      <c r="X20" s="781"/>
      <c r="Y20" s="781"/>
      <c r="Z20" s="781"/>
      <c r="AA20" s="781"/>
      <c r="AB20" s="781"/>
      <c r="AC20" s="781"/>
      <c r="AD20" s="781"/>
      <c r="AE20" s="781"/>
    </row>
    <row r="21" ht="15.75" customHeight="1">
      <c r="A21" s="786">
        <v>43915.0</v>
      </c>
      <c r="B21" s="787" t="s">
        <v>6349</v>
      </c>
      <c r="C21" s="788" t="s">
        <v>3820</v>
      </c>
      <c r="D21" s="772" t="s">
        <v>1481</v>
      </c>
      <c r="E21" s="784">
        <v>10000.0</v>
      </c>
      <c r="F21" s="772" t="s">
        <v>5179</v>
      </c>
      <c r="G21" s="772" t="s">
        <v>2550</v>
      </c>
      <c r="H21" s="772" t="s">
        <v>29</v>
      </c>
      <c r="I21" s="772" t="s">
        <v>2550</v>
      </c>
      <c r="J21" s="782">
        <v>43924.0</v>
      </c>
      <c r="K21" s="789" t="s">
        <v>3828</v>
      </c>
      <c r="L21" s="781"/>
      <c r="M21" s="781"/>
      <c r="N21" s="781"/>
      <c r="O21" s="781"/>
      <c r="P21" s="781"/>
      <c r="Q21" s="781"/>
      <c r="R21" s="781"/>
      <c r="S21" s="781"/>
      <c r="T21" s="781"/>
      <c r="U21" s="781"/>
      <c r="V21" s="781"/>
      <c r="W21" s="781"/>
      <c r="X21" s="781"/>
      <c r="Y21" s="781"/>
      <c r="Z21" s="781"/>
      <c r="AA21" s="781"/>
      <c r="AB21" s="781"/>
      <c r="AC21" s="781"/>
      <c r="AD21" s="781"/>
      <c r="AE21" s="781"/>
    </row>
    <row r="22" ht="15.75" customHeight="1">
      <c r="A22" s="786">
        <v>43917.0</v>
      </c>
      <c r="B22" s="787" t="s">
        <v>3086</v>
      </c>
      <c r="C22" s="788" t="s">
        <v>2547</v>
      </c>
      <c r="D22" s="772" t="s">
        <v>6346</v>
      </c>
      <c r="E22" s="784">
        <v>80000.0</v>
      </c>
      <c r="F22" s="772" t="s">
        <v>3085</v>
      </c>
      <c r="G22" s="782" t="s">
        <v>2550</v>
      </c>
      <c r="H22" s="782" t="s">
        <v>29</v>
      </c>
      <c r="I22" s="782" t="s">
        <v>2562</v>
      </c>
      <c r="J22" s="782">
        <v>43664.0</v>
      </c>
      <c r="K22" s="785" t="s">
        <v>4206</v>
      </c>
      <c r="L22" s="781"/>
      <c r="M22" s="781"/>
      <c r="N22" s="781"/>
      <c r="O22" s="781"/>
      <c r="P22" s="781"/>
      <c r="Q22" s="781"/>
      <c r="R22" s="781"/>
      <c r="S22" s="781"/>
      <c r="T22" s="781"/>
      <c r="U22" s="781"/>
      <c r="V22" s="781"/>
      <c r="W22" s="781"/>
      <c r="X22" s="781"/>
      <c r="Y22" s="781"/>
      <c r="Z22" s="781"/>
      <c r="AA22" s="781"/>
      <c r="AB22" s="781"/>
      <c r="AC22" s="781"/>
      <c r="AD22" s="781"/>
      <c r="AE22" s="781"/>
    </row>
    <row r="23" ht="15.75" customHeight="1">
      <c r="A23" s="786">
        <v>43917.0</v>
      </c>
      <c r="B23" s="787" t="s">
        <v>6347</v>
      </c>
      <c r="C23" s="788" t="s">
        <v>3820</v>
      </c>
      <c r="D23" s="772" t="s">
        <v>6346</v>
      </c>
      <c r="E23" s="784">
        <v>25000.0</v>
      </c>
      <c r="F23" s="772" t="s">
        <v>5059</v>
      </c>
      <c r="G23" s="772" t="s">
        <v>2550</v>
      </c>
      <c r="H23" s="772" t="s">
        <v>29</v>
      </c>
      <c r="I23" s="772" t="s">
        <v>2550</v>
      </c>
      <c r="J23" s="782">
        <v>43749.0</v>
      </c>
      <c r="K23" s="789" t="s">
        <v>4206</v>
      </c>
      <c r="L23" s="781"/>
      <c r="M23" s="781"/>
      <c r="N23" s="781"/>
      <c r="O23" s="781"/>
      <c r="P23" s="781"/>
      <c r="Q23" s="781"/>
      <c r="R23" s="781"/>
      <c r="S23" s="781"/>
      <c r="T23" s="781"/>
      <c r="U23" s="781"/>
      <c r="V23" s="781"/>
      <c r="W23" s="781"/>
      <c r="X23" s="781"/>
      <c r="Y23" s="781"/>
      <c r="Z23" s="781"/>
      <c r="AA23" s="781"/>
      <c r="AB23" s="781"/>
      <c r="AC23" s="781"/>
      <c r="AD23" s="781"/>
      <c r="AE23" s="781"/>
    </row>
    <row r="24" ht="15.75" customHeight="1">
      <c r="A24" s="786">
        <v>43920.0</v>
      </c>
      <c r="B24" s="787" t="s">
        <v>3056</v>
      </c>
      <c r="C24" s="788" t="s">
        <v>2547</v>
      </c>
      <c r="D24" s="772" t="s">
        <v>6346</v>
      </c>
      <c r="E24" s="784">
        <v>20000.0</v>
      </c>
      <c r="F24" s="772" t="s">
        <v>3055</v>
      </c>
      <c r="G24" s="782" t="s">
        <v>2550</v>
      </c>
      <c r="H24" s="782" t="s">
        <v>29</v>
      </c>
      <c r="I24" s="782" t="s">
        <v>2562</v>
      </c>
      <c r="J24" s="782">
        <v>43559.0</v>
      </c>
      <c r="K24" s="785" t="s">
        <v>4206</v>
      </c>
      <c r="L24" s="781"/>
      <c r="M24" s="781"/>
      <c r="N24" s="781"/>
      <c r="O24" s="781"/>
      <c r="P24" s="781"/>
      <c r="Q24" s="781"/>
      <c r="R24" s="781"/>
      <c r="S24" s="781"/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</row>
    <row r="25" ht="15.75" customHeight="1">
      <c r="A25" s="782">
        <v>43922.0</v>
      </c>
      <c r="B25" s="783" t="s">
        <v>3362</v>
      </c>
      <c r="C25" s="772" t="s">
        <v>2547</v>
      </c>
      <c r="D25" s="772" t="s">
        <v>6345</v>
      </c>
      <c r="E25" s="784">
        <v>95799.8</v>
      </c>
      <c r="F25" s="772" t="s">
        <v>3361</v>
      </c>
      <c r="G25" s="782" t="s">
        <v>2550</v>
      </c>
      <c r="H25" s="782" t="s">
        <v>29</v>
      </c>
      <c r="I25" s="782" t="s">
        <v>2551</v>
      </c>
      <c r="J25" s="782">
        <v>43563.0</v>
      </c>
      <c r="K25" s="785" t="s">
        <v>3840</v>
      </c>
      <c r="L25" s="781"/>
      <c r="M25" s="781"/>
      <c r="N25" s="781"/>
      <c r="O25" s="781"/>
      <c r="P25" s="781"/>
      <c r="Q25" s="781"/>
      <c r="R25" s="781"/>
      <c r="S25" s="781"/>
      <c r="T25" s="781"/>
      <c r="U25" s="781"/>
      <c r="V25" s="781"/>
      <c r="W25" s="781"/>
      <c r="X25" s="781"/>
      <c r="Y25" s="781"/>
      <c r="Z25" s="781"/>
      <c r="AA25" s="781"/>
      <c r="AB25" s="781"/>
      <c r="AC25" s="781"/>
      <c r="AD25" s="781"/>
      <c r="AE25" s="781"/>
    </row>
    <row r="26" ht="15.75" customHeight="1">
      <c r="A26" s="786">
        <v>43922.0</v>
      </c>
      <c r="B26" s="787" t="s">
        <v>3362</v>
      </c>
      <c r="C26" s="788" t="s">
        <v>2547</v>
      </c>
      <c r="D26" s="772" t="s">
        <v>1481</v>
      </c>
      <c r="E26" s="784">
        <v>50000.0</v>
      </c>
      <c r="F26" s="772" t="s">
        <v>3361</v>
      </c>
      <c r="G26" s="782" t="s">
        <v>2550</v>
      </c>
      <c r="H26" s="782" t="s">
        <v>29</v>
      </c>
      <c r="I26" s="782" t="s">
        <v>2551</v>
      </c>
      <c r="J26" s="782">
        <v>43563.0</v>
      </c>
      <c r="K26" s="785" t="s">
        <v>3840</v>
      </c>
      <c r="L26" s="781"/>
      <c r="M26" s="781"/>
      <c r="N26" s="781"/>
      <c r="O26" s="781"/>
      <c r="P26" s="781"/>
      <c r="Q26" s="781"/>
      <c r="R26" s="781"/>
      <c r="S26" s="781"/>
      <c r="T26" s="781"/>
      <c r="U26" s="781"/>
      <c r="V26" s="781"/>
      <c r="W26" s="781"/>
      <c r="X26" s="781"/>
      <c r="Y26" s="781"/>
      <c r="Z26" s="781"/>
      <c r="AA26" s="781"/>
      <c r="AB26" s="781"/>
      <c r="AC26" s="781"/>
      <c r="AD26" s="781"/>
      <c r="AE26" s="781"/>
    </row>
    <row r="27" ht="15.75" customHeight="1">
      <c r="A27" s="786">
        <v>43922.0</v>
      </c>
      <c r="B27" s="787" t="s">
        <v>2783</v>
      </c>
      <c r="C27" s="788" t="s">
        <v>2547</v>
      </c>
      <c r="D27" s="772" t="s">
        <v>1481</v>
      </c>
      <c r="E27" s="784">
        <v>30000.0</v>
      </c>
      <c r="F27" s="772" t="s">
        <v>2782</v>
      </c>
      <c r="G27" s="782" t="s">
        <v>2550</v>
      </c>
      <c r="H27" s="782" t="s">
        <v>29</v>
      </c>
      <c r="I27" s="782" t="s">
        <v>2551</v>
      </c>
      <c r="J27" s="782">
        <v>43453.0</v>
      </c>
      <c r="K27" s="785" t="s">
        <v>3840</v>
      </c>
      <c r="L27" s="781"/>
      <c r="M27" s="781"/>
      <c r="N27" s="781"/>
      <c r="O27" s="781"/>
      <c r="P27" s="781"/>
      <c r="Q27" s="781"/>
      <c r="R27" s="781"/>
      <c r="S27" s="781"/>
      <c r="T27" s="781"/>
      <c r="U27" s="781"/>
      <c r="V27" s="781"/>
      <c r="W27" s="781"/>
      <c r="X27" s="781"/>
      <c r="Y27" s="781"/>
      <c r="Z27" s="781"/>
      <c r="AA27" s="781"/>
      <c r="AB27" s="781"/>
      <c r="AC27" s="781"/>
      <c r="AD27" s="781"/>
      <c r="AE27" s="781"/>
    </row>
    <row r="28" ht="15.75" customHeight="1">
      <c r="A28" s="786">
        <v>43923.0</v>
      </c>
      <c r="B28" s="787" t="s">
        <v>2982</v>
      </c>
      <c r="C28" s="788" t="s">
        <v>2547</v>
      </c>
      <c r="D28" s="772" t="s">
        <v>6346</v>
      </c>
      <c r="E28" s="784">
        <v>14000.0</v>
      </c>
      <c r="F28" s="772" t="s">
        <v>2981</v>
      </c>
      <c r="G28" s="782" t="s">
        <v>2550</v>
      </c>
      <c r="H28" s="782" t="s">
        <v>29</v>
      </c>
      <c r="I28" s="782" t="s">
        <v>2551</v>
      </c>
      <c r="J28" s="782">
        <v>43703.0</v>
      </c>
      <c r="K28" s="785" t="s">
        <v>4206</v>
      </c>
      <c r="L28" s="781"/>
      <c r="M28" s="781"/>
      <c r="N28" s="781"/>
      <c r="O28" s="781"/>
      <c r="P28" s="781"/>
      <c r="Q28" s="781"/>
      <c r="R28" s="781"/>
      <c r="S28" s="781"/>
      <c r="T28" s="781"/>
      <c r="U28" s="781"/>
      <c r="V28" s="781"/>
      <c r="W28" s="781"/>
      <c r="X28" s="781"/>
      <c r="Y28" s="781"/>
      <c r="Z28" s="781"/>
      <c r="AA28" s="781"/>
      <c r="AB28" s="781"/>
      <c r="AC28" s="781"/>
      <c r="AD28" s="781"/>
      <c r="AE28" s="781"/>
    </row>
    <row r="29" ht="15.75" customHeight="1">
      <c r="A29" s="782">
        <v>43924.0</v>
      </c>
      <c r="B29" s="783" t="s">
        <v>6349</v>
      </c>
      <c r="C29" s="772" t="s">
        <v>3820</v>
      </c>
      <c r="D29" s="772" t="s">
        <v>6345</v>
      </c>
      <c r="E29" s="784">
        <v>0.0</v>
      </c>
      <c r="F29" s="772" t="s">
        <v>5179</v>
      </c>
      <c r="G29" s="772" t="s">
        <v>2550</v>
      </c>
      <c r="H29" s="772" t="s">
        <v>29</v>
      </c>
      <c r="I29" s="772" t="s">
        <v>2550</v>
      </c>
      <c r="J29" s="782">
        <v>43684.0</v>
      </c>
      <c r="K29" s="789" t="s">
        <v>3828</v>
      </c>
      <c r="L29" s="781"/>
      <c r="M29" s="781"/>
      <c r="N29" s="781"/>
      <c r="O29" s="781"/>
      <c r="P29" s="781"/>
      <c r="Q29" s="781"/>
      <c r="R29" s="781"/>
      <c r="S29" s="781"/>
      <c r="T29" s="781"/>
      <c r="U29" s="781"/>
      <c r="V29" s="781"/>
      <c r="W29" s="781"/>
      <c r="X29" s="781"/>
      <c r="Y29" s="781"/>
      <c r="Z29" s="781"/>
      <c r="AA29" s="781"/>
      <c r="AB29" s="781"/>
      <c r="AC29" s="781"/>
      <c r="AD29" s="781"/>
      <c r="AE29" s="781"/>
    </row>
    <row r="30" ht="15.75" customHeight="1">
      <c r="A30" s="786">
        <v>43928.0</v>
      </c>
      <c r="B30" s="787" t="s">
        <v>6351</v>
      </c>
      <c r="C30" s="788" t="s">
        <v>3820</v>
      </c>
      <c r="D30" s="772" t="s">
        <v>6346</v>
      </c>
      <c r="E30" s="784">
        <v>20000.0</v>
      </c>
      <c r="F30" s="772" t="s">
        <v>4691</v>
      </c>
      <c r="G30" s="772" t="s">
        <v>2550</v>
      </c>
      <c r="H30" s="772" t="s">
        <v>29</v>
      </c>
      <c r="I30" s="772" t="s">
        <v>2550</v>
      </c>
      <c r="J30" s="782">
        <v>43872.0</v>
      </c>
      <c r="K30" s="789" t="s">
        <v>3828</v>
      </c>
      <c r="L30" s="781"/>
      <c r="M30" s="781"/>
      <c r="N30" s="781"/>
      <c r="O30" s="781"/>
      <c r="P30" s="781"/>
      <c r="Q30" s="781"/>
      <c r="R30" s="781"/>
      <c r="S30" s="78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</row>
    <row r="31" ht="15.75" customHeight="1">
      <c r="A31" s="786">
        <v>43929.0</v>
      </c>
      <c r="B31" s="787" t="s">
        <v>3572</v>
      </c>
      <c r="C31" s="788" t="s">
        <v>2547</v>
      </c>
      <c r="D31" s="772" t="s">
        <v>6346</v>
      </c>
      <c r="E31" s="784">
        <v>8000.0</v>
      </c>
      <c r="F31" s="772" t="s">
        <v>3571</v>
      </c>
      <c r="G31" s="782" t="s">
        <v>2550</v>
      </c>
      <c r="H31" s="782" t="s">
        <v>29</v>
      </c>
      <c r="I31" s="782" t="s">
        <v>2551</v>
      </c>
      <c r="J31" s="782">
        <v>43738.0</v>
      </c>
      <c r="K31" s="785" t="s">
        <v>3840</v>
      </c>
      <c r="L31" s="781"/>
      <c r="M31" s="781"/>
      <c r="N31" s="781"/>
      <c r="O31" s="781"/>
      <c r="P31" s="781"/>
      <c r="Q31" s="781"/>
      <c r="R31" s="781"/>
      <c r="S31" s="781"/>
      <c r="T31" s="781"/>
      <c r="U31" s="781"/>
      <c r="V31" s="781"/>
      <c r="W31" s="781"/>
      <c r="X31" s="781"/>
      <c r="Y31" s="781"/>
      <c r="Z31" s="781"/>
      <c r="AA31" s="781"/>
      <c r="AB31" s="781"/>
      <c r="AC31" s="781"/>
      <c r="AD31" s="781"/>
      <c r="AE31" s="781"/>
    </row>
    <row r="32" ht="15.75" customHeight="1">
      <c r="A32" s="786">
        <v>43930.0</v>
      </c>
      <c r="B32" s="787" t="s">
        <v>3721</v>
      </c>
      <c r="C32" s="788" t="s">
        <v>3632</v>
      </c>
      <c r="D32" s="772" t="s">
        <v>6346</v>
      </c>
      <c r="E32" s="784">
        <v>5000.0</v>
      </c>
      <c r="F32" s="772" t="s">
        <v>3720</v>
      </c>
      <c r="G32" s="782" t="s">
        <v>18</v>
      </c>
      <c r="H32" s="782" t="s">
        <v>29</v>
      </c>
      <c r="I32" s="782" t="s">
        <v>2213</v>
      </c>
      <c r="J32" s="782">
        <v>43797.0</v>
      </c>
      <c r="K32" s="785" t="s">
        <v>3836</v>
      </c>
      <c r="L32" s="781"/>
      <c r="M32" s="781"/>
      <c r="N32" s="781"/>
      <c r="O32" s="781"/>
      <c r="P32" s="781"/>
      <c r="Q32" s="781"/>
      <c r="R32" s="781"/>
      <c r="S32" s="781"/>
      <c r="T32" s="781"/>
      <c r="U32" s="781"/>
      <c r="V32" s="781"/>
      <c r="W32" s="781"/>
      <c r="X32" s="781"/>
      <c r="Y32" s="781"/>
      <c r="Z32" s="781"/>
      <c r="AA32" s="781"/>
      <c r="AB32" s="781"/>
      <c r="AC32" s="781"/>
      <c r="AD32" s="781"/>
      <c r="AE32" s="781"/>
    </row>
    <row r="33" ht="15.75" customHeight="1">
      <c r="A33" s="786">
        <v>43935.0</v>
      </c>
      <c r="B33" s="787" t="s">
        <v>6352</v>
      </c>
      <c r="C33" s="788" t="s">
        <v>3820</v>
      </c>
      <c r="D33" s="772" t="s">
        <v>6346</v>
      </c>
      <c r="E33" s="784">
        <v>2000.0</v>
      </c>
      <c r="F33" s="772" t="s">
        <v>5122</v>
      </c>
      <c r="G33" s="772" t="s">
        <v>2550</v>
      </c>
      <c r="H33" s="772" t="s">
        <v>29</v>
      </c>
      <c r="I33" s="772" t="s">
        <v>2550</v>
      </c>
      <c r="J33" s="782">
        <v>44225.0</v>
      </c>
      <c r="K33" s="789" t="s">
        <v>3828</v>
      </c>
      <c r="L33" s="781"/>
      <c r="M33" s="781"/>
      <c r="N33" s="781"/>
      <c r="O33" s="781"/>
      <c r="P33" s="781"/>
      <c r="Q33" s="781"/>
      <c r="R33" s="781"/>
      <c r="S33" s="781"/>
      <c r="T33" s="781"/>
      <c r="U33" s="781"/>
      <c r="V33" s="781"/>
      <c r="W33" s="781"/>
      <c r="X33" s="781"/>
      <c r="Y33" s="781"/>
      <c r="Z33" s="781"/>
      <c r="AA33" s="781"/>
      <c r="AB33" s="781"/>
      <c r="AC33" s="781"/>
      <c r="AD33" s="781"/>
      <c r="AE33" s="781"/>
    </row>
    <row r="34" ht="15.75" customHeight="1">
      <c r="A34" s="786">
        <v>43938.0</v>
      </c>
      <c r="B34" s="787" t="s">
        <v>3041</v>
      </c>
      <c r="C34" s="788" t="s">
        <v>2547</v>
      </c>
      <c r="D34" s="772" t="s">
        <v>6346</v>
      </c>
      <c r="E34" s="784">
        <v>3000.0</v>
      </c>
      <c r="F34" s="772" t="s">
        <v>3040</v>
      </c>
      <c r="G34" s="782" t="s">
        <v>2550</v>
      </c>
      <c r="H34" s="782" t="s">
        <v>29</v>
      </c>
      <c r="I34" s="782" t="s">
        <v>2551</v>
      </c>
      <c r="J34" s="782">
        <v>43605.0</v>
      </c>
      <c r="K34" s="785" t="s">
        <v>3836</v>
      </c>
      <c r="L34" s="781"/>
      <c r="M34" s="781"/>
      <c r="N34" s="781"/>
      <c r="O34" s="781"/>
      <c r="P34" s="781"/>
      <c r="Q34" s="781"/>
      <c r="R34" s="781"/>
      <c r="S34" s="781"/>
      <c r="T34" s="781"/>
      <c r="U34" s="781"/>
      <c r="V34" s="781"/>
      <c r="W34" s="781"/>
      <c r="X34" s="781"/>
      <c r="Y34" s="781"/>
      <c r="Z34" s="781"/>
      <c r="AA34" s="781"/>
      <c r="AB34" s="781"/>
      <c r="AC34" s="781"/>
      <c r="AD34" s="781"/>
      <c r="AE34" s="781"/>
    </row>
    <row r="35" ht="15.75" customHeight="1">
      <c r="A35" s="786">
        <v>43948.0</v>
      </c>
      <c r="B35" s="787" t="s">
        <v>2982</v>
      </c>
      <c r="C35" s="788" t="s">
        <v>2547</v>
      </c>
      <c r="D35" s="772" t="s">
        <v>6346</v>
      </c>
      <c r="E35" s="784">
        <v>10000.0</v>
      </c>
      <c r="F35" s="772" t="s">
        <v>2981</v>
      </c>
      <c r="G35" s="782" t="s">
        <v>2550</v>
      </c>
      <c r="H35" s="782" t="s">
        <v>29</v>
      </c>
      <c r="I35" s="782" t="s">
        <v>2551</v>
      </c>
      <c r="J35" s="782">
        <v>43703.0</v>
      </c>
      <c r="K35" s="785" t="s">
        <v>4206</v>
      </c>
      <c r="L35" s="781"/>
      <c r="M35" s="781"/>
      <c r="N35" s="781"/>
      <c r="O35" s="781"/>
      <c r="P35" s="781"/>
      <c r="Q35" s="781"/>
      <c r="R35" s="781"/>
      <c r="S35" s="781"/>
      <c r="T35" s="781"/>
      <c r="U35" s="781"/>
      <c r="V35" s="781"/>
      <c r="W35" s="781"/>
      <c r="X35" s="781"/>
      <c r="Y35" s="781"/>
      <c r="Z35" s="781"/>
      <c r="AA35" s="781"/>
      <c r="AB35" s="781"/>
      <c r="AC35" s="781"/>
      <c r="AD35" s="781"/>
      <c r="AE35" s="781"/>
    </row>
    <row r="36" ht="15.75" customHeight="1">
      <c r="A36" s="786">
        <v>43948.0</v>
      </c>
      <c r="B36" s="787" t="s">
        <v>3041</v>
      </c>
      <c r="C36" s="788" t="s">
        <v>2547</v>
      </c>
      <c r="D36" s="772" t="s">
        <v>6346</v>
      </c>
      <c r="E36" s="784">
        <v>2000.0</v>
      </c>
      <c r="F36" s="772" t="s">
        <v>3040</v>
      </c>
      <c r="G36" s="782" t="s">
        <v>2550</v>
      </c>
      <c r="H36" s="782" t="s">
        <v>29</v>
      </c>
      <c r="I36" s="782" t="s">
        <v>2551</v>
      </c>
      <c r="J36" s="782">
        <v>43605.0</v>
      </c>
      <c r="K36" s="785" t="s">
        <v>3836</v>
      </c>
      <c r="L36" s="781"/>
      <c r="M36" s="781"/>
      <c r="N36" s="781"/>
      <c r="O36" s="781"/>
      <c r="P36" s="781"/>
      <c r="Q36" s="781"/>
      <c r="R36" s="781"/>
      <c r="S36" s="781"/>
      <c r="T36" s="781"/>
      <c r="U36" s="781"/>
      <c r="V36" s="781"/>
      <c r="W36" s="781"/>
      <c r="X36" s="781"/>
      <c r="Y36" s="781"/>
      <c r="Z36" s="781"/>
      <c r="AA36" s="781"/>
      <c r="AB36" s="781"/>
      <c r="AC36" s="781"/>
      <c r="AD36" s="781"/>
      <c r="AE36" s="781"/>
    </row>
    <row r="37" ht="15.75" customHeight="1">
      <c r="A37" s="786">
        <v>43949.0</v>
      </c>
      <c r="B37" s="787" t="s">
        <v>6347</v>
      </c>
      <c r="C37" s="788" t="s">
        <v>3820</v>
      </c>
      <c r="D37" s="772" t="s">
        <v>6346</v>
      </c>
      <c r="E37" s="784">
        <v>15000.0</v>
      </c>
      <c r="F37" s="772" t="s">
        <v>5059</v>
      </c>
      <c r="G37" s="772" t="s">
        <v>2550</v>
      </c>
      <c r="H37" s="772" t="s">
        <v>29</v>
      </c>
      <c r="I37" s="772" t="s">
        <v>2550</v>
      </c>
      <c r="J37" s="782">
        <v>43749.0</v>
      </c>
      <c r="K37" s="789" t="s">
        <v>4206</v>
      </c>
      <c r="L37" s="781"/>
      <c r="M37" s="781"/>
      <c r="N37" s="781"/>
      <c r="O37" s="781"/>
      <c r="P37" s="781"/>
      <c r="Q37" s="781"/>
      <c r="R37" s="781"/>
      <c r="S37" s="781"/>
      <c r="T37" s="781"/>
      <c r="U37" s="781"/>
      <c r="V37" s="781"/>
      <c r="W37" s="781"/>
      <c r="X37" s="781"/>
      <c r="Y37" s="781"/>
      <c r="Z37" s="781"/>
      <c r="AA37" s="781"/>
      <c r="AB37" s="781"/>
      <c r="AC37" s="781"/>
      <c r="AD37" s="781"/>
      <c r="AE37" s="781"/>
    </row>
    <row r="38" ht="15.75" customHeight="1">
      <c r="A38" s="786">
        <v>43950.0</v>
      </c>
      <c r="B38" s="787" t="s">
        <v>3086</v>
      </c>
      <c r="C38" s="788" t="s">
        <v>2547</v>
      </c>
      <c r="D38" s="772" t="s">
        <v>6346</v>
      </c>
      <c r="E38" s="784">
        <v>100000.0</v>
      </c>
      <c r="F38" s="772" t="s">
        <v>3085</v>
      </c>
      <c r="G38" s="782" t="s">
        <v>2550</v>
      </c>
      <c r="H38" s="782" t="s">
        <v>29</v>
      </c>
      <c r="I38" s="782" t="s">
        <v>2562</v>
      </c>
      <c r="J38" s="782">
        <v>43664.0</v>
      </c>
      <c r="K38" s="785" t="s">
        <v>4206</v>
      </c>
      <c r="L38" s="781"/>
      <c r="M38" s="781"/>
      <c r="N38" s="781"/>
      <c r="O38" s="781"/>
      <c r="P38" s="781"/>
      <c r="Q38" s="781"/>
      <c r="R38" s="781"/>
      <c r="S38" s="781"/>
      <c r="T38" s="781"/>
      <c r="U38" s="781"/>
      <c r="V38" s="781"/>
      <c r="W38" s="781"/>
      <c r="X38" s="781"/>
      <c r="Y38" s="781"/>
      <c r="Z38" s="781"/>
      <c r="AA38" s="781"/>
      <c r="AB38" s="781"/>
      <c r="AC38" s="781"/>
      <c r="AD38" s="781"/>
      <c r="AE38" s="781"/>
    </row>
    <row r="39" ht="15.75" customHeight="1">
      <c r="A39" s="786">
        <v>43951.0</v>
      </c>
      <c r="B39" s="787" t="s">
        <v>3056</v>
      </c>
      <c r="C39" s="788" t="s">
        <v>2547</v>
      </c>
      <c r="D39" s="772" t="s">
        <v>6346</v>
      </c>
      <c r="E39" s="784">
        <v>20000.0</v>
      </c>
      <c r="F39" s="772" t="s">
        <v>3055</v>
      </c>
      <c r="G39" s="782" t="s">
        <v>2550</v>
      </c>
      <c r="H39" s="782" t="s">
        <v>29</v>
      </c>
      <c r="I39" s="782" t="s">
        <v>2562</v>
      </c>
      <c r="J39" s="782">
        <v>43559.0</v>
      </c>
      <c r="K39" s="785" t="s">
        <v>4206</v>
      </c>
      <c r="L39" s="781"/>
      <c r="M39" s="781"/>
      <c r="N39" s="781"/>
      <c r="O39" s="781"/>
      <c r="P39" s="781"/>
      <c r="Q39" s="781"/>
      <c r="R39" s="781"/>
      <c r="S39" s="781"/>
      <c r="T39" s="781"/>
      <c r="U39" s="781"/>
      <c r="V39" s="781"/>
      <c r="W39" s="781"/>
      <c r="X39" s="781"/>
      <c r="Y39" s="781"/>
      <c r="Z39" s="781"/>
      <c r="AA39" s="781"/>
      <c r="AB39" s="781"/>
      <c r="AC39" s="781"/>
      <c r="AD39" s="781"/>
      <c r="AE39" s="781"/>
    </row>
    <row r="40" ht="15.75" customHeight="1">
      <c r="A40" s="786">
        <v>43956.0</v>
      </c>
      <c r="B40" s="787" t="s">
        <v>3333</v>
      </c>
      <c r="C40" s="788" t="s">
        <v>2547</v>
      </c>
      <c r="D40" s="772" t="s">
        <v>6346</v>
      </c>
      <c r="E40" s="784">
        <v>75000.0</v>
      </c>
      <c r="F40" s="772" t="s">
        <v>3332</v>
      </c>
      <c r="G40" s="782" t="s">
        <v>2550</v>
      </c>
      <c r="H40" s="782" t="s">
        <v>29</v>
      </c>
      <c r="I40" s="782" t="s">
        <v>2551</v>
      </c>
      <c r="J40" s="782">
        <v>43699.0</v>
      </c>
      <c r="K40" s="785" t="s">
        <v>4206</v>
      </c>
      <c r="L40" s="781"/>
      <c r="M40" s="781"/>
      <c r="N40" s="781"/>
      <c r="O40" s="781"/>
      <c r="P40" s="781"/>
      <c r="Q40" s="781"/>
      <c r="R40" s="781"/>
      <c r="S40" s="781"/>
      <c r="T40" s="781"/>
      <c r="U40" s="781"/>
      <c r="V40" s="781"/>
      <c r="W40" s="781"/>
      <c r="X40" s="781"/>
      <c r="Y40" s="781"/>
      <c r="Z40" s="781"/>
      <c r="AA40" s="781"/>
      <c r="AB40" s="781"/>
      <c r="AC40" s="781"/>
      <c r="AD40" s="781"/>
      <c r="AE40" s="781"/>
    </row>
    <row r="41" ht="15.75" customHeight="1">
      <c r="A41" s="786">
        <v>43958.0</v>
      </c>
      <c r="B41" s="787" t="s">
        <v>3056</v>
      </c>
      <c r="C41" s="788" t="s">
        <v>2547</v>
      </c>
      <c r="D41" s="772" t="s">
        <v>6346</v>
      </c>
      <c r="E41" s="784">
        <v>2000.0</v>
      </c>
      <c r="F41" s="772" t="s">
        <v>3055</v>
      </c>
      <c r="G41" s="782" t="s">
        <v>2550</v>
      </c>
      <c r="H41" s="782" t="s">
        <v>29</v>
      </c>
      <c r="I41" s="782" t="s">
        <v>2562</v>
      </c>
      <c r="J41" s="782">
        <v>43559.0</v>
      </c>
      <c r="K41" s="785" t="s">
        <v>4206</v>
      </c>
      <c r="L41" s="781"/>
      <c r="M41" s="781"/>
      <c r="N41" s="781"/>
      <c r="O41" s="781"/>
      <c r="P41" s="781"/>
      <c r="Q41" s="781"/>
      <c r="R41" s="781"/>
      <c r="S41" s="781"/>
      <c r="T41" s="781"/>
      <c r="U41" s="781"/>
      <c r="V41" s="781"/>
      <c r="W41" s="781"/>
      <c r="X41" s="781"/>
      <c r="Y41" s="781"/>
      <c r="Z41" s="781"/>
      <c r="AA41" s="781"/>
      <c r="AB41" s="781"/>
      <c r="AC41" s="781"/>
      <c r="AD41" s="781"/>
      <c r="AE41" s="781"/>
    </row>
    <row r="42" ht="15.75" customHeight="1">
      <c r="A42" s="786">
        <v>43958.0</v>
      </c>
      <c r="B42" s="787" t="s">
        <v>3516</v>
      </c>
      <c r="C42" s="788" t="s">
        <v>2547</v>
      </c>
      <c r="D42" s="772" t="s">
        <v>6346</v>
      </c>
      <c r="E42" s="784">
        <v>2000.0</v>
      </c>
      <c r="F42" s="772" t="s">
        <v>3515</v>
      </c>
      <c r="G42" s="782" t="s">
        <v>2550</v>
      </c>
      <c r="H42" s="782" t="s">
        <v>29</v>
      </c>
      <c r="I42" s="782" t="s">
        <v>2551</v>
      </c>
      <c r="J42" s="782">
        <v>43717.0</v>
      </c>
      <c r="K42" s="785" t="s">
        <v>4206</v>
      </c>
      <c r="L42" s="781"/>
      <c r="M42" s="781"/>
      <c r="N42" s="781"/>
      <c r="O42" s="781"/>
      <c r="P42" s="781"/>
      <c r="Q42" s="781"/>
      <c r="R42" s="781"/>
      <c r="S42" s="781"/>
      <c r="T42" s="781"/>
      <c r="U42" s="781"/>
      <c r="V42" s="781"/>
      <c r="W42" s="781"/>
      <c r="X42" s="781"/>
      <c r="Y42" s="781"/>
      <c r="Z42" s="781"/>
      <c r="AA42" s="781"/>
      <c r="AB42" s="781"/>
      <c r="AC42" s="781"/>
      <c r="AD42" s="781"/>
      <c r="AE42" s="781"/>
    </row>
    <row r="43" ht="15.75" customHeight="1">
      <c r="A43" s="786">
        <v>43959.0</v>
      </c>
      <c r="B43" s="790" t="s">
        <v>3409</v>
      </c>
      <c r="C43" s="788" t="s">
        <v>2547</v>
      </c>
      <c r="D43" s="772" t="s">
        <v>6346</v>
      </c>
      <c r="E43" s="791">
        <v>1000.0</v>
      </c>
      <c r="F43" s="772" t="s">
        <v>3408</v>
      </c>
      <c r="G43" s="782" t="s">
        <v>2550</v>
      </c>
      <c r="H43" s="782" t="s">
        <v>29</v>
      </c>
      <c r="I43" s="782" t="s">
        <v>2551</v>
      </c>
      <c r="J43" s="782">
        <v>43894.0</v>
      </c>
      <c r="K43" s="785" t="s">
        <v>3836</v>
      </c>
      <c r="L43" s="781"/>
      <c r="M43" s="781"/>
      <c r="N43" s="781"/>
      <c r="O43" s="781"/>
      <c r="P43" s="781"/>
      <c r="Q43" s="781"/>
      <c r="R43" s="781"/>
      <c r="S43" s="781"/>
      <c r="T43" s="781"/>
      <c r="U43" s="781"/>
      <c r="V43" s="781"/>
      <c r="W43" s="781"/>
      <c r="X43" s="781"/>
      <c r="Y43" s="781"/>
      <c r="Z43" s="781"/>
      <c r="AA43" s="781"/>
      <c r="AB43" s="781"/>
      <c r="AC43" s="781"/>
      <c r="AD43" s="781"/>
      <c r="AE43" s="781"/>
    </row>
    <row r="44" ht="15.75" customHeight="1">
      <c r="A44" s="786">
        <v>43964.0</v>
      </c>
      <c r="B44" s="787" t="s">
        <v>3572</v>
      </c>
      <c r="C44" s="788" t="s">
        <v>2547</v>
      </c>
      <c r="D44" s="772" t="s">
        <v>6346</v>
      </c>
      <c r="E44" s="784">
        <v>60000.0</v>
      </c>
      <c r="F44" s="772" t="s">
        <v>3571</v>
      </c>
      <c r="G44" s="782" t="s">
        <v>2550</v>
      </c>
      <c r="H44" s="782" t="s">
        <v>29</v>
      </c>
      <c r="I44" s="782" t="s">
        <v>2551</v>
      </c>
      <c r="J44" s="782">
        <v>43738.0</v>
      </c>
      <c r="K44" s="785" t="s">
        <v>3840</v>
      </c>
      <c r="L44" s="781"/>
      <c r="M44" s="781"/>
      <c r="N44" s="781"/>
      <c r="O44" s="781"/>
      <c r="P44" s="781"/>
      <c r="Q44" s="781"/>
      <c r="R44" s="781"/>
      <c r="S44" s="781"/>
      <c r="T44" s="781"/>
      <c r="U44" s="781"/>
      <c r="V44" s="781"/>
      <c r="W44" s="781"/>
      <c r="X44" s="781"/>
      <c r="Y44" s="781"/>
      <c r="Z44" s="781"/>
      <c r="AA44" s="781"/>
      <c r="AB44" s="781"/>
      <c r="AC44" s="781"/>
      <c r="AD44" s="781"/>
      <c r="AE44" s="781"/>
    </row>
    <row r="45" ht="15.75" customHeight="1">
      <c r="A45" s="786">
        <v>43965.0</v>
      </c>
      <c r="B45" s="790" t="s">
        <v>2840</v>
      </c>
      <c r="C45" s="788" t="s">
        <v>2547</v>
      </c>
      <c r="D45" s="772" t="s">
        <v>6346</v>
      </c>
      <c r="E45" s="784">
        <v>20000.0</v>
      </c>
      <c r="F45" s="772" t="s">
        <v>2839</v>
      </c>
      <c r="G45" s="782" t="s">
        <v>2550</v>
      </c>
      <c r="H45" s="782" t="s">
        <v>29</v>
      </c>
      <c r="I45" s="782" t="s">
        <v>2562</v>
      </c>
      <c r="J45" s="782">
        <v>43913.0</v>
      </c>
      <c r="K45" s="785" t="s">
        <v>3828</v>
      </c>
      <c r="L45" s="781"/>
      <c r="M45" s="781"/>
      <c r="N45" s="781"/>
      <c r="O45" s="781"/>
      <c r="P45" s="781"/>
      <c r="Q45" s="781"/>
      <c r="R45" s="781"/>
      <c r="S45" s="781"/>
      <c r="T45" s="781"/>
      <c r="U45" s="781"/>
      <c r="V45" s="781"/>
      <c r="W45" s="781"/>
      <c r="X45" s="781"/>
      <c r="Y45" s="781"/>
      <c r="Z45" s="781"/>
      <c r="AA45" s="781"/>
      <c r="AB45" s="781"/>
      <c r="AC45" s="781"/>
      <c r="AD45" s="781"/>
      <c r="AE45" s="781"/>
    </row>
    <row r="46" ht="15.75" customHeight="1">
      <c r="A46" s="786">
        <v>43965.0</v>
      </c>
      <c r="B46" s="787" t="s">
        <v>6352</v>
      </c>
      <c r="C46" s="788" t="s">
        <v>3820</v>
      </c>
      <c r="D46" s="772" t="s">
        <v>6346</v>
      </c>
      <c r="E46" s="784">
        <v>20000.0</v>
      </c>
      <c r="F46" s="772" t="s">
        <v>5122</v>
      </c>
      <c r="G46" s="772" t="s">
        <v>2550</v>
      </c>
      <c r="H46" s="772" t="s">
        <v>29</v>
      </c>
      <c r="I46" s="772" t="s">
        <v>2550</v>
      </c>
      <c r="J46" s="782">
        <v>44225.0</v>
      </c>
      <c r="K46" s="789" t="s">
        <v>3828</v>
      </c>
      <c r="L46" s="781"/>
      <c r="M46" s="781"/>
      <c r="N46" s="781"/>
      <c r="O46" s="781"/>
      <c r="P46" s="781"/>
      <c r="Q46" s="781"/>
      <c r="R46" s="781"/>
      <c r="S46" s="781"/>
      <c r="T46" s="781"/>
      <c r="U46" s="781"/>
      <c r="V46" s="781"/>
      <c r="W46" s="781"/>
      <c r="X46" s="781"/>
      <c r="Y46" s="781"/>
      <c r="Z46" s="781"/>
      <c r="AA46" s="781"/>
      <c r="AB46" s="781"/>
      <c r="AC46" s="781"/>
      <c r="AD46" s="781"/>
      <c r="AE46" s="781"/>
    </row>
    <row r="47" ht="15.75" customHeight="1">
      <c r="A47" s="786">
        <v>43965.0</v>
      </c>
      <c r="B47" s="787" t="s">
        <v>3572</v>
      </c>
      <c r="C47" s="788" t="s">
        <v>2547</v>
      </c>
      <c r="D47" s="772" t="s">
        <v>6346</v>
      </c>
      <c r="E47" s="784">
        <v>6000.0</v>
      </c>
      <c r="F47" s="772" t="s">
        <v>3571</v>
      </c>
      <c r="G47" s="782" t="s">
        <v>2550</v>
      </c>
      <c r="H47" s="782" t="s">
        <v>29</v>
      </c>
      <c r="I47" s="782" t="s">
        <v>2551</v>
      </c>
      <c r="J47" s="782">
        <v>43738.0</v>
      </c>
      <c r="K47" s="785" t="s">
        <v>3840</v>
      </c>
      <c r="L47" s="781"/>
      <c r="M47" s="781"/>
      <c r="N47" s="781"/>
      <c r="O47" s="781"/>
      <c r="P47" s="781"/>
      <c r="Q47" s="781"/>
      <c r="R47" s="781"/>
      <c r="S47" s="781"/>
      <c r="T47" s="781"/>
      <c r="U47" s="781"/>
      <c r="V47" s="781"/>
      <c r="W47" s="781"/>
      <c r="X47" s="781"/>
      <c r="Y47" s="781"/>
      <c r="Z47" s="781"/>
      <c r="AA47" s="781"/>
      <c r="AB47" s="781"/>
      <c r="AC47" s="781"/>
      <c r="AD47" s="781"/>
      <c r="AE47" s="781"/>
    </row>
    <row r="48" ht="15.75" customHeight="1">
      <c r="A48" s="786">
        <v>43966.0</v>
      </c>
      <c r="B48" s="787" t="s">
        <v>2982</v>
      </c>
      <c r="C48" s="788" t="s">
        <v>2547</v>
      </c>
      <c r="D48" s="772" t="s">
        <v>6346</v>
      </c>
      <c r="E48" s="784">
        <v>10000.0</v>
      </c>
      <c r="F48" s="772" t="s">
        <v>2981</v>
      </c>
      <c r="G48" s="782" t="s">
        <v>2550</v>
      </c>
      <c r="H48" s="782" t="s">
        <v>29</v>
      </c>
      <c r="I48" s="782" t="s">
        <v>2551</v>
      </c>
      <c r="J48" s="782">
        <v>43703.0</v>
      </c>
      <c r="K48" s="785" t="s">
        <v>4206</v>
      </c>
      <c r="L48" s="781"/>
      <c r="M48" s="781"/>
      <c r="N48" s="781"/>
      <c r="O48" s="781"/>
      <c r="P48" s="781"/>
      <c r="Q48" s="781"/>
      <c r="R48" s="781"/>
      <c r="S48" s="781"/>
      <c r="T48" s="781"/>
      <c r="U48" s="781"/>
      <c r="V48" s="781"/>
      <c r="W48" s="781"/>
      <c r="X48" s="781"/>
      <c r="Y48" s="781"/>
      <c r="Z48" s="781"/>
      <c r="AA48" s="781"/>
      <c r="AB48" s="781"/>
      <c r="AC48" s="781"/>
      <c r="AD48" s="781"/>
      <c r="AE48" s="781"/>
    </row>
    <row r="49" ht="15.75" customHeight="1">
      <c r="A49" s="786">
        <v>43969.0</v>
      </c>
      <c r="B49" s="787" t="s">
        <v>3409</v>
      </c>
      <c r="C49" s="788" t="s">
        <v>2547</v>
      </c>
      <c r="D49" s="772" t="s">
        <v>6346</v>
      </c>
      <c r="E49" s="784">
        <v>7000.0</v>
      </c>
      <c r="F49" s="772" t="s">
        <v>3408</v>
      </c>
      <c r="G49" s="782" t="s">
        <v>2550</v>
      </c>
      <c r="H49" s="782" t="s">
        <v>29</v>
      </c>
      <c r="I49" s="782" t="s">
        <v>2551</v>
      </c>
      <c r="J49" s="782">
        <v>43894.0</v>
      </c>
      <c r="K49" s="785" t="s">
        <v>3836</v>
      </c>
      <c r="L49" s="781"/>
      <c r="M49" s="781"/>
      <c r="N49" s="781"/>
      <c r="O49" s="781"/>
      <c r="P49" s="781"/>
      <c r="Q49" s="781"/>
      <c r="R49" s="781"/>
      <c r="S49" s="781"/>
      <c r="T49" s="781"/>
      <c r="U49" s="781"/>
      <c r="V49" s="781"/>
      <c r="W49" s="781"/>
      <c r="X49" s="781"/>
      <c r="Y49" s="781"/>
      <c r="Z49" s="781"/>
      <c r="AA49" s="781"/>
      <c r="AB49" s="781"/>
      <c r="AC49" s="781"/>
      <c r="AD49" s="781"/>
      <c r="AE49" s="781"/>
    </row>
    <row r="50" ht="15.75" customHeight="1">
      <c r="A50" s="786">
        <v>43969.0</v>
      </c>
      <c r="B50" s="787" t="s">
        <v>3409</v>
      </c>
      <c r="C50" s="788" t="s">
        <v>2547</v>
      </c>
      <c r="D50" s="772" t="s">
        <v>6346</v>
      </c>
      <c r="E50" s="784">
        <v>10000.0</v>
      </c>
      <c r="F50" s="772" t="s">
        <v>3408</v>
      </c>
      <c r="G50" s="782" t="s">
        <v>2550</v>
      </c>
      <c r="H50" s="782" t="s">
        <v>29</v>
      </c>
      <c r="I50" s="782" t="s">
        <v>2551</v>
      </c>
      <c r="J50" s="782">
        <v>43894.0</v>
      </c>
      <c r="K50" s="785" t="s">
        <v>3836</v>
      </c>
      <c r="L50" s="781"/>
      <c r="M50" s="781"/>
      <c r="N50" s="781"/>
      <c r="O50" s="781"/>
      <c r="P50" s="781"/>
      <c r="Q50" s="781"/>
      <c r="R50" s="781"/>
      <c r="S50" s="781"/>
      <c r="T50" s="781"/>
      <c r="U50" s="781"/>
      <c r="V50" s="781"/>
      <c r="W50" s="781"/>
      <c r="X50" s="781"/>
      <c r="Y50" s="781"/>
      <c r="Z50" s="781"/>
      <c r="AA50" s="781"/>
      <c r="AB50" s="781"/>
      <c r="AC50" s="781"/>
      <c r="AD50" s="781"/>
      <c r="AE50" s="781"/>
    </row>
    <row r="51" ht="15.75" customHeight="1">
      <c r="A51" s="786">
        <v>43969.0</v>
      </c>
      <c r="B51" s="787" t="s">
        <v>2654</v>
      </c>
      <c r="C51" s="788" t="s">
        <v>2547</v>
      </c>
      <c r="D51" s="772" t="s">
        <v>6346</v>
      </c>
      <c r="E51" s="784">
        <v>1000.0</v>
      </c>
      <c r="F51" s="772" t="s">
        <v>2653</v>
      </c>
      <c r="G51" s="782" t="s">
        <v>2550</v>
      </c>
      <c r="H51" s="782" t="s">
        <v>29</v>
      </c>
      <c r="I51" s="782" t="s">
        <v>2551</v>
      </c>
      <c r="J51" s="782">
        <v>43867.0</v>
      </c>
      <c r="K51" s="785" t="s">
        <v>3828</v>
      </c>
      <c r="L51" s="781"/>
      <c r="M51" s="781"/>
      <c r="N51" s="781"/>
      <c r="O51" s="781"/>
      <c r="P51" s="781"/>
      <c r="Q51" s="781"/>
      <c r="R51" s="781"/>
      <c r="S51" s="781"/>
      <c r="T51" s="781"/>
      <c r="U51" s="781"/>
      <c r="V51" s="781"/>
      <c r="W51" s="781"/>
      <c r="X51" s="781"/>
      <c r="Y51" s="781"/>
      <c r="Z51" s="781"/>
      <c r="AA51" s="781"/>
      <c r="AB51" s="781"/>
      <c r="AC51" s="781"/>
      <c r="AD51" s="781"/>
      <c r="AE51" s="781"/>
    </row>
    <row r="52" ht="15.75" customHeight="1">
      <c r="A52" s="786">
        <v>43971.0</v>
      </c>
      <c r="B52" s="790" t="s">
        <v>6347</v>
      </c>
      <c r="C52" s="788" t="s">
        <v>3820</v>
      </c>
      <c r="D52" s="772" t="s">
        <v>6346</v>
      </c>
      <c r="E52" s="784">
        <v>7500.0</v>
      </c>
      <c r="F52" s="772" t="s">
        <v>5059</v>
      </c>
      <c r="G52" s="772" t="s">
        <v>2550</v>
      </c>
      <c r="H52" s="772" t="s">
        <v>29</v>
      </c>
      <c r="I52" s="772" t="s">
        <v>2550</v>
      </c>
      <c r="J52" s="782">
        <v>43749.0</v>
      </c>
      <c r="K52" s="789" t="s">
        <v>4206</v>
      </c>
      <c r="L52" s="781"/>
      <c r="M52" s="781"/>
      <c r="N52" s="781"/>
      <c r="O52" s="781"/>
      <c r="P52" s="781"/>
      <c r="Q52" s="781"/>
      <c r="R52" s="781"/>
      <c r="S52" s="781"/>
      <c r="T52" s="781"/>
      <c r="U52" s="781"/>
      <c r="V52" s="781"/>
      <c r="W52" s="781"/>
      <c r="X52" s="781"/>
      <c r="Y52" s="781"/>
      <c r="Z52" s="781"/>
      <c r="AA52" s="781"/>
      <c r="AB52" s="781"/>
      <c r="AC52" s="781"/>
      <c r="AD52" s="781"/>
      <c r="AE52" s="781"/>
    </row>
    <row r="53" ht="15.75" customHeight="1">
      <c r="A53" s="786">
        <v>43972.0</v>
      </c>
      <c r="B53" s="787" t="s">
        <v>3333</v>
      </c>
      <c r="C53" s="788" t="s">
        <v>2547</v>
      </c>
      <c r="D53" s="772" t="s">
        <v>6346</v>
      </c>
      <c r="E53" s="784">
        <v>50000.0</v>
      </c>
      <c r="F53" s="772" t="s">
        <v>3332</v>
      </c>
      <c r="G53" s="782" t="s">
        <v>2550</v>
      </c>
      <c r="H53" s="782" t="s">
        <v>29</v>
      </c>
      <c r="I53" s="782" t="s">
        <v>2551</v>
      </c>
      <c r="J53" s="782">
        <v>43699.0</v>
      </c>
      <c r="K53" s="785" t="s">
        <v>4206</v>
      </c>
      <c r="L53" s="781"/>
      <c r="M53" s="781"/>
      <c r="N53" s="781"/>
      <c r="O53" s="781"/>
      <c r="P53" s="781"/>
      <c r="Q53" s="781"/>
      <c r="R53" s="781"/>
      <c r="S53" s="781"/>
      <c r="T53" s="781"/>
      <c r="U53" s="781"/>
      <c r="V53" s="781"/>
      <c r="W53" s="781"/>
      <c r="X53" s="781"/>
      <c r="Y53" s="781"/>
      <c r="Z53" s="781"/>
      <c r="AA53" s="781"/>
      <c r="AB53" s="781"/>
      <c r="AC53" s="781"/>
      <c r="AD53" s="781"/>
      <c r="AE53" s="781"/>
    </row>
    <row r="54" ht="15.75" customHeight="1">
      <c r="A54" s="786">
        <v>43973.0</v>
      </c>
      <c r="B54" s="790" t="s">
        <v>6350</v>
      </c>
      <c r="C54" s="788" t="s">
        <v>3820</v>
      </c>
      <c r="D54" s="772" t="s">
        <v>6346</v>
      </c>
      <c r="E54" s="784">
        <v>20000.0</v>
      </c>
      <c r="F54" s="772" t="s">
        <v>4677</v>
      </c>
      <c r="G54" s="772" t="s">
        <v>2550</v>
      </c>
      <c r="H54" s="772" t="s">
        <v>29</v>
      </c>
      <c r="I54" s="772" t="s">
        <v>2550</v>
      </c>
      <c r="J54" s="782">
        <v>44252.0</v>
      </c>
      <c r="K54" s="789" t="s">
        <v>3836</v>
      </c>
      <c r="L54" s="781"/>
      <c r="M54" s="781"/>
      <c r="N54" s="781"/>
      <c r="O54" s="781"/>
      <c r="P54" s="781"/>
      <c r="Q54" s="781"/>
      <c r="R54" s="781"/>
      <c r="S54" s="781"/>
      <c r="T54" s="781"/>
      <c r="U54" s="781"/>
      <c r="V54" s="781"/>
      <c r="W54" s="781"/>
      <c r="X54" s="781"/>
      <c r="Y54" s="781"/>
      <c r="Z54" s="781"/>
      <c r="AA54" s="781"/>
      <c r="AB54" s="781"/>
      <c r="AC54" s="781"/>
      <c r="AD54" s="781"/>
      <c r="AE54" s="781"/>
    </row>
    <row r="55" ht="15.75" customHeight="1">
      <c r="A55" s="786">
        <v>43973.0</v>
      </c>
      <c r="B55" s="787" t="s">
        <v>3721</v>
      </c>
      <c r="C55" s="788" t="s">
        <v>6353</v>
      </c>
      <c r="D55" s="772" t="s">
        <v>6346</v>
      </c>
      <c r="E55" s="784">
        <v>10000.0</v>
      </c>
      <c r="F55" s="772" t="s">
        <v>3720</v>
      </c>
      <c r="G55" s="772" t="s">
        <v>18</v>
      </c>
      <c r="H55" s="772" t="s">
        <v>29</v>
      </c>
      <c r="I55" s="772" t="s">
        <v>2213</v>
      </c>
      <c r="J55" s="782">
        <v>43797.0</v>
      </c>
      <c r="K55" s="785" t="s">
        <v>3836</v>
      </c>
      <c r="L55" s="781"/>
      <c r="M55" s="781"/>
      <c r="N55" s="781"/>
      <c r="O55" s="781"/>
      <c r="P55" s="781"/>
      <c r="Q55" s="781"/>
      <c r="R55" s="781"/>
      <c r="S55" s="781"/>
      <c r="T55" s="781"/>
      <c r="U55" s="781"/>
      <c r="V55" s="781"/>
      <c r="W55" s="781"/>
      <c r="X55" s="781"/>
      <c r="Y55" s="781"/>
      <c r="Z55" s="781"/>
      <c r="AA55" s="781"/>
      <c r="AB55" s="781"/>
      <c r="AC55" s="781"/>
      <c r="AD55" s="781"/>
      <c r="AE55" s="781"/>
    </row>
    <row r="56" ht="15.75" customHeight="1">
      <c r="A56" s="786">
        <v>43976.0</v>
      </c>
      <c r="B56" s="787" t="s">
        <v>3056</v>
      </c>
      <c r="C56" s="788" t="s">
        <v>2547</v>
      </c>
      <c r="D56" s="772" t="s">
        <v>6346</v>
      </c>
      <c r="E56" s="784">
        <v>973440.75</v>
      </c>
      <c r="F56" s="772" t="s">
        <v>3055</v>
      </c>
      <c r="G56" s="782" t="s">
        <v>2550</v>
      </c>
      <c r="H56" s="782" t="s">
        <v>29</v>
      </c>
      <c r="I56" s="782" t="s">
        <v>2562</v>
      </c>
      <c r="J56" s="782">
        <v>43559.0</v>
      </c>
      <c r="K56" s="785" t="s">
        <v>4206</v>
      </c>
      <c r="L56" s="781"/>
      <c r="M56" s="781"/>
      <c r="N56" s="781"/>
      <c r="O56" s="781"/>
      <c r="P56" s="781"/>
      <c r="Q56" s="781"/>
      <c r="R56" s="781"/>
      <c r="S56" s="781"/>
      <c r="T56" s="781"/>
      <c r="U56" s="781"/>
      <c r="V56" s="781"/>
      <c r="W56" s="781"/>
      <c r="X56" s="781"/>
      <c r="Y56" s="781"/>
      <c r="Z56" s="781"/>
      <c r="AA56" s="781"/>
      <c r="AB56" s="781"/>
      <c r="AC56" s="781"/>
      <c r="AD56" s="781"/>
      <c r="AE56" s="781"/>
    </row>
    <row r="57" ht="15.75" customHeight="1">
      <c r="A57" s="786">
        <v>43977.0</v>
      </c>
      <c r="B57" s="787" t="s">
        <v>2982</v>
      </c>
      <c r="C57" s="788" t="s">
        <v>2547</v>
      </c>
      <c r="D57" s="772" t="s">
        <v>6346</v>
      </c>
      <c r="E57" s="784">
        <v>7000.0</v>
      </c>
      <c r="F57" s="772" t="s">
        <v>2981</v>
      </c>
      <c r="G57" s="782" t="s">
        <v>2550</v>
      </c>
      <c r="H57" s="782" t="s">
        <v>29</v>
      </c>
      <c r="I57" s="782" t="s">
        <v>2551</v>
      </c>
      <c r="J57" s="782">
        <v>43703.0</v>
      </c>
      <c r="K57" s="785" t="s">
        <v>4206</v>
      </c>
      <c r="L57" s="781"/>
      <c r="M57" s="781"/>
      <c r="N57" s="781"/>
      <c r="O57" s="781"/>
      <c r="P57" s="781"/>
      <c r="Q57" s="781"/>
      <c r="R57" s="781"/>
      <c r="S57" s="781"/>
      <c r="T57" s="781"/>
      <c r="U57" s="781"/>
      <c r="V57" s="781"/>
      <c r="W57" s="781"/>
      <c r="X57" s="781"/>
      <c r="Y57" s="781"/>
      <c r="Z57" s="781"/>
      <c r="AA57" s="781"/>
      <c r="AB57" s="781"/>
      <c r="AC57" s="781"/>
      <c r="AD57" s="781"/>
      <c r="AE57" s="781"/>
    </row>
    <row r="58" ht="15.75" customHeight="1">
      <c r="A58" s="786">
        <v>43978.0</v>
      </c>
      <c r="B58" s="787" t="s">
        <v>3409</v>
      </c>
      <c r="C58" s="788" t="s">
        <v>2547</v>
      </c>
      <c r="D58" s="772" t="s">
        <v>6346</v>
      </c>
      <c r="E58" s="784">
        <v>180000.0</v>
      </c>
      <c r="F58" s="772" t="s">
        <v>3408</v>
      </c>
      <c r="G58" s="782" t="s">
        <v>2550</v>
      </c>
      <c r="H58" s="782" t="s">
        <v>29</v>
      </c>
      <c r="I58" s="782" t="s">
        <v>2551</v>
      </c>
      <c r="J58" s="782">
        <v>43894.0</v>
      </c>
      <c r="K58" s="785" t="s">
        <v>3836</v>
      </c>
      <c r="L58" s="781"/>
      <c r="M58" s="781"/>
      <c r="N58" s="781"/>
      <c r="O58" s="781"/>
      <c r="P58" s="781"/>
      <c r="Q58" s="781"/>
      <c r="R58" s="781"/>
      <c r="S58" s="781"/>
      <c r="T58" s="781"/>
      <c r="U58" s="781"/>
      <c r="V58" s="781"/>
      <c r="W58" s="781"/>
      <c r="X58" s="781"/>
      <c r="Y58" s="781"/>
      <c r="Z58" s="781"/>
      <c r="AA58" s="781"/>
      <c r="AB58" s="781"/>
      <c r="AC58" s="781"/>
      <c r="AD58" s="781"/>
      <c r="AE58" s="781"/>
    </row>
    <row r="59" ht="15.75" customHeight="1">
      <c r="A59" s="786">
        <v>43980.0</v>
      </c>
      <c r="B59" s="790" t="s">
        <v>3086</v>
      </c>
      <c r="C59" s="788" t="s">
        <v>2547</v>
      </c>
      <c r="D59" s="772" t="s">
        <v>6346</v>
      </c>
      <c r="E59" s="784">
        <v>10701.0</v>
      </c>
      <c r="F59" s="772" t="s">
        <v>3085</v>
      </c>
      <c r="G59" s="782" t="s">
        <v>2550</v>
      </c>
      <c r="H59" s="782" t="s">
        <v>29</v>
      </c>
      <c r="I59" s="782" t="s">
        <v>2562</v>
      </c>
      <c r="J59" s="782">
        <v>43664.0</v>
      </c>
      <c r="K59" s="785" t="s">
        <v>4206</v>
      </c>
      <c r="L59" s="781"/>
      <c r="M59" s="781"/>
      <c r="N59" s="781"/>
      <c r="O59" s="781"/>
      <c r="P59" s="781"/>
      <c r="Q59" s="781"/>
      <c r="R59" s="781"/>
      <c r="S59" s="781"/>
      <c r="T59" s="781"/>
      <c r="U59" s="781"/>
      <c r="V59" s="781"/>
      <c r="W59" s="781"/>
      <c r="X59" s="781"/>
      <c r="Y59" s="781"/>
      <c r="Z59" s="781"/>
      <c r="AA59" s="781"/>
      <c r="AB59" s="781"/>
      <c r="AC59" s="781"/>
      <c r="AD59" s="781"/>
      <c r="AE59" s="781"/>
    </row>
    <row r="60" ht="15.75" customHeight="1">
      <c r="A60" s="786">
        <v>43984.0</v>
      </c>
      <c r="B60" s="787" t="s">
        <v>2654</v>
      </c>
      <c r="C60" s="788" t="s">
        <v>2547</v>
      </c>
      <c r="D60" s="772" t="s">
        <v>6346</v>
      </c>
      <c r="E60" s="784">
        <v>2000.0</v>
      </c>
      <c r="F60" s="772" t="s">
        <v>2653</v>
      </c>
      <c r="G60" s="782" t="s">
        <v>2550</v>
      </c>
      <c r="H60" s="782" t="s">
        <v>29</v>
      </c>
      <c r="I60" s="782" t="s">
        <v>2551</v>
      </c>
      <c r="J60" s="782">
        <v>43867.0</v>
      </c>
      <c r="K60" s="785" t="s">
        <v>3828</v>
      </c>
      <c r="L60" s="781"/>
      <c r="M60" s="781"/>
      <c r="N60" s="781"/>
      <c r="O60" s="781"/>
      <c r="P60" s="781"/>
      <c r="Q60" s="781"/>
      <c r="R60" s="781"/>
      <c r="S60" s="781"/>
      <c r="T60" s="781"/>
      <c r="U60" s="781"/>
      <c r="V60" s="781"/>
      <c r="W60" s="781"/>
      <c r="X60" s="781"/>
      <c r="Y60" s="781"/>
      <c r="Z60" s="781"/>
      <c r="AA60" s="781"/>
      <c r="AB60" s="781"/>
      <c r="AC60" s="781"/>
      <c r="AD60" s="781"/>
      <c r="AE60" s="781"/>
    </row>
    <row r="61" ht="15.75" customHeight="1">
      <c r="A61" s="786">
        <v>43984.0</v>
      </c>
      <c r="B61" s="787" t="s">
        <v>3333</v>
      </c>
      <c r="C61" s="788" t="s">
        <v>2547</v>
      </c>
      <c r="D61" s="772" t="s">
        <v>6346</v>
      </c>
      <c r="E61" s="784">
        <v>200000.0</v>
      </c>
      <c r="F61" s="772" t="s">
        <v>3332</v>
      </c>
      <c r="G61" s="782" t="s">
        <v>2550</v>
      </c>
      <c r="H61" s="782" t="s">
        <v>29</v>
      </c>
      <c r="I61" s="782" t="s">
        <v>2551</v>
      </c>
      <c r="J61" s="782">
        <v>43699.0</v>
      </c>
      <c r="K61" s="785" t="s">
        <v>4206</v>
      </c>
      <c r="L61" s="781"/>
      <c r="M61" s="781"/>
      <c r="N61" s="781"/>
      <c r="O61" s="781"/>
      <c r="P61" s="781"/>
      <c r="Q61" s="781"/>
      <c r="R61" s="781"/>
      <c r="S61" s="781"/>
      <c r="T61" s="781"/>
      <c r="U61" s="781"/>
      <c r="V61" s="781"/>
      <c r="W61" s="781"/>
      <c r="X61" s="781"/>
      <c r="Y61" s="781"/>
      <c r="Z61" s="781"/>
      <c r="AA61" s="781"/>
      <c r="AB61" s="781"/>
      <c r="AC61" s="781"/>
      <c r="AD61" s="781"/>
      <c r="AE61" s="781"/>
    </row>
    <row r="62" ht="15.75" customHeight="1">
      <c r="A62" s="786">
        <v>43985.0</v>
      </c>
      <c r="B62" s="787" t="s">
        <v>2982</v>
      </c>
      <c r="C62" s="788" t="s">
        <v>2547</v>
      </c>
      <c r="D62" s="772" t="s">
        <v>6346</v>
      </c>
      <c r="E62" s="784">
        <v>6000.0</v>
      </c>
      <c r="F62" s="772" t="s">
        <v>2981</v>
      </c>
      <c r="G62" s="782" t="s">
        <v>2550</v>
      </c>
      <c r="H62" s="782" t="s">
        <v>29</v>
      </c>
      <c r="I62" s="782" t="s">
        <v>2551</v>
      </c>
      <c r="J62" s="782">
        <v>43703.0</v>
      </c>
      <c r="K62" s="785" t="s">
        <v>4206</v>
      </c>
      <c r="L62" s="781"/>
      <c r="M62" s="781"/>
      <c r="N62" s="781"/>
      <c r="O62" s="781"/>
      <c r="P62" s="781"/>
      <c r="Q62" s="781"/>
      <c r="R62" s="781"/>
      <c r="S62" s="781"/>
      <c r="T62" s="781"/>
      <c r="U62" s="781"/>
      <c r="V62" s="781"/>
      <c r="W62" s="781"/>
      <c r="X62" s="781"/>
      <c r="Y62" s="781"/>
      <c r="Z62" s="781"/>
      <c r="AA62" s="781"/>
      <c r="AB62" s="781"/>
      <c r="AC62" s="781"/>
      <c r="AD62" s="781"/>
      <c r="AE62" s="781"/>
    </row>
    <row r="63" ht="15.75" customHeight="1">
      <c r="A63" s="786">
        <v>43987.0</v>
      </c>
      <c r="B63" s="790" t="s">
        <v>3056</v>
      </c>
      <c r="C63" s="788" t="s">
        <v>2547</v>
      </c>
      <c r="D63" s="772" t="s">
        <v>6346</v>
      </c>
      <c r="E63" s="784">
        <v>10000.0</v>
      </c>
      <c r="F63" s="772" t="s">
        <v>3055</v>
      </c>
      <c r="G63" s="782" t="s">
        <v>2550</v>
      </c>
      <c r="H63" s="782" t="s">
        <v>29</v>
      </c>
      <c r="I63" s="782" t="s">
        <v>2562</v>
      </c>
      <c r="J63" s="782">
        <v>43559.0</v>
      </c>
      <c r="K63" s="785" t="s">
        <v>4206</v>
      </c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781"/>
      <c r="AB63" s="781"/>
      <c r="AC63" s="781"/>
      <c r="AD63" s="781"/>
      <c r="AE63" s="781"/>
    </row>
    <row r="64" ht="15.75" customHeight="1">
      <c r="A64" s="786">
        <v>43990.0</v>
      </c>
      <c r="B64" s="787" t="s">
        <v>3465</v>
      </c>
      <c r="C64" s="788" t="s">
        <v>2547</v>
      </c>
      <c r="D64" s="772" t="s">
        <v>6346</v>
      </c>
      <c r="E64" s="784">
        <v>20000.0</v>
      </c>
      <c r="F64" s="772" t="s">
        <v>3464</v>
      </c>
      <c r="G64" s="782" t="s">
        <v>2550</v>
      </c>
      <c r="H64" s="782" t="s">
        <v>29</v>
      </c>
      <c r="I64" s="782" t="s">
        <v>2562</v>
      </c>
      <c r="J64" s="782">
        <v>43607.0</v>
      </c>
      <c r="K64" s="785" t="s">
        <v>4206</v>
      </c>
      <c r="L64" s="781"/>
      <c r="M64" s="781"/>
      <c r="N64" s="781"/>
      <c r="O64" s="781"/>
      <c r="P64" s="781"/>
      <c r="Q64" s="781"/>
      <c r="R64" s="781"/>
      <c r="S64" s="781"/>
      <c r="T64" s="781"/>
      <c r="U64" s="781"/>
      <c r="V64" s="781"/>
      <c r="W64" s="781"/>
      <c r="X64" s="781"/>
      <c r="Y64" s="781"/>
      <c r="Z64" s="781"/>
      <c r="AA64" s="781"/>
      <c r="AB64" s="781"/>
      <c r="AC64" s="781"/>
      <c r="AD64" s="781"/>
      <c r="AE64" s="781"/>
    </row>
    <row r="65" ht="15.75" customHeight="1">
      <c r="A65" s="786">
        <v>43991.0</v>
      </c>
      <c r="B65" s="787" t="s">
        <v>3246</v>
      </c>
      <c r="C65" s="788" t="s">
        <v>2547</v>
      </c>
      <c r="D65" s="772" t="s">
        <v>6346</v>
      </c>
      <c r="E65" s="784">
        <v>6000.0</v>
      </c>
      <c r="F65" s="772" t="s">
        <v>3245</v>
      </c>
      <c r="G65" s="782" t="s">
        <v>2550</v>
      </c>
      <c r="H65" s="782" t="s">
        <v>29</v>
      </c>
      <c r="I65" s="782" t="s">
        <v>2551</v>
      </c>
      <c r="J65" s="782">
        <v>43564.0</v>
      </c>
      <c r="K65" s="785" t="s">
        <v>3840</v>
      </c>
      <c r="L65" s="781"/>
      <c r="M65" s="781"/>
      <c r="N65" s="781"/>
      <c r="O65" s="781"/>
      <c r="P65" s="781"/>
      <c r="Q65" s="781"/>
      <c r="R65" s="781"/>
      <c r="S65" s="781"/>
      <c r="T65" s="781"/>
      <c r="U65" s="781"/>
      <c r="V65" s="781"/>
      <c r="W65" s="781"/>
      <c r="X65" s="781"/>
      <c r="Y65" s="781"/>
      <c r="Z65" s="781"/>
      <c r="AA65" s="781"/>
      <c r="AB65" s="781"/>
      <c r="AC65" s="781"/>
      <c r="AD65" s="781"/>
      <c r="AE65" s="781"/>
    </row>
    <row r="66" ht="15.75" customHeight="1">
      <c r="A66" s="786">
        <v>43991.0</v>
      </c>
      <c r="B66" s="790" t="s">
        <v>3409</v>
      </c>
      <c r="C66" s="788" t="s">
        <v>2547</v>
      </c>
      <c r="D66" s="772" t="s">
        <v>6346</v>
      </c>
      <c r="E66" s="784">
        <v>3000.0</v>
      </c>
      <c r="F66" s="772" t="s">
        <v>3408</v>
      </c>
      <c r="G66" s="782" t="s">
        <v>2550</v>
      </c>
      <c r="H66" s="782" t="s">
        <v>29</v>
      </c>
      <c r="I66" s="782" t="s">
        <v>2551</v>
      </c>
      <c r="J66" s="782">
        <v>43894.0</v>
      </c>
      <c r="K66" s="785" t="s">
        <v>3836</v>
      </c>
      <c r="L66" s="781"/>
      <c r="M66" s="781"/>
      <c r="N66" s="781"/>
      <c r="O66" s="781"/>
      <c r="P66" s="781"/>
      <c r="Q66" s="781"/>
      <c r="R66" s="781"/>
      <c r="S66" s="781"/>
      <c r="T66" s="781"/>
      <c r="U66" s="781"/>
      <c r="V66" s="781"/>
      <c r="W66" s="781"/>
      <c r="X66" s="781"/>
      <c r="Y66" s="781"/>
      <c r="Z66" s="781"/>
      <c r="AA66" s="781"/>
      <c r="AB66" s="781"/>
      <c r="AC66" s="781"/>
      <c r="AD66" s="781"/>
      <c r="AE66" s="781"/>
    </row>
    <row r="67" ht="15.75" customHeight="1">
      <c r="A67" s="786">
        <v>43994.0</v>
      </c>
      <c r="B67" s="787" t="s">
        <v>6354</v>
      </c>
      <c r="C67" s="788" t="s">
        <v>3820</v>
      </c>
      <c r="D67" s="772" t="s">
        <v>6346</v>
      </c>
      <c r="E67" s="784">
        <v>14000.0</v>
      </c>
      <c r="F67" s="772" t="s">
        <v>5318</v>
      </c>
      <c r="G67" s="772" t="s">
        <v>2550</v>
      </c>
      <c r="H67" s="772" t="s">
        <v>29</v>
      </c>
      <c r="I67" s="772" t="s">
        <v>2550</v>
      </c>
      <c r="J67" s="782">
        <v>44216.0</v>
      </c>
      <c r="K67" s="789" t="s">
        <v>3828</v>
      </c>
      <c r="L67" s="781"/>
      <c r="M67" s="781"/>
      <c r="N67" s="781"/>
      <c r="O67" s="781"/>
      <c r="P67" s="781"/>
      <c r="Q67" s="781"/>
      <c r="R67" s="781"/>
      <c r="S67" s="781"/>
      <c r="T67" s="781"/>
      <c r="U67" s="781"/>
      <c r="V67" s="781"/>
      <c r="W67" s="781"/>
      <c r="X67" s="781"/>
      <c r="Y67" s="781"/>
      <c r="Z67" s="781"/>
      <c r="AA67" s="781"/>
      <c r="AB67" s="781"/>
      <c r="AC67" s="781"/>
      <c r="AD67" s="781"/>
      <c r="AE67" s="781"/>
    </row>
    <row r="68" ht="15.75" customHeight="1">
      <c r="A68" s="782">
        <v>43997.0</v>
      </c>
      <c r="B68" s="783" t="s">
        <v>2783</v>
      </c>
      <c r="C68" s="772" t="s">
        <v>2547</v>
      </c>
      <c r="D68" s="772" t="s">
        <v>6345</v>
      </c>
      <c r="E68" s="784">
        <v>0.0</v>
      </c>
      <c r="F68" s="772" t="s">
        <v>2782</v>
      </c>
      <c r="G68" s="782" t="s">
        <v>2550</v>
      </c>
      <c r="H68" s="782" t="s">
        <v>29</v>
      </c>
      <c r="I68" s="782" t="s">
        <v>2551</v>
      </c>
      <c r="J68" s="782">
        <v>43453.0</v>
      </c>
      <c r="K68" s="785" t="s">
        <v>3840</v>
      </c>
      <c r="L68" s="781"/>
      <c r="M68" s="781"/>
      <c r="N68" s="781"/>
      <c r="O68" s="781"/>
      <c r="P68" s="781"/>
      <c r="Q68" s="781"/>
      <c r="R68" s="781"/>
      <c r="S68" s="781"/>
      <c r="T68" s="781"/>
      <c r="U68" s="781"/>
      <c r="V68" s="781"/>
      <c r="W68" s="781"/>
      <c r="X68" s="781"/>
      <c r="Y68" s="781"/>
      <c r="Z68" s="781"/>
      <c r="AA68" s="781"/>
      <c r="AB68" s="781"/>
      <c r="AC68" s="781"/>
      <c r="AD68" s="781"/>
      <c r="AE68" s="781"/>
    </row>
    <row r="69" ht="15.75" customHeight="1">
      <c r="A69" s="782">
        <v>43997.0</v>
      </c>
      <c r="B69" s="783" t="s">
        <v>3184</v>
      </c>
      <c r="C69" s="772" t="s">
        <v>2547</v>
      </c>
      <c r="D69" s="772" t="s">
        <v>6345</v>
      </c>
      <c r="E69" s="784">
        <v>76468.36</v>
      </c>
      <c r="F69" s="772" t="s">
        <v>3183</v>
      </c>
      <c r="G69" s="782" t="s">
        <v>2550</v>
      </c>
      <c r="H69" s="782" t="s">
        <v>29</v>
      </c>
      <c r="I69" s="782" t="s">
        <v>2562</v>
      </c>
      <c r="J69" s="782">
        <v>43853.0</v>
      </c>
      <c r="K69" s="785" t="s">
        <v>3836</v>
      </c>
      <c r="L69" s="781"/>
      <c r="M69" s="781"/>
      <c r="N69" s="781"/>
      <c r="O69" s="781"/>
      <c r="P69" s="781"/>
      <c r="Q69" s="781"/>
      <c r="R69" s="781"/>
      <c r="S69" s="781"/>
      <c r="T69" s="781"/>
      <c r="U69" s="781"/>
      <c r="V69" s="781"/>
      <c r="W69" s="781"/>
      <c r="X69" s="781"/>
      <c r="Y69" s="781"/>
      <c r="Z69" s="781"/>
      <c r="AA69" s="781"/>
      <c r="AB69" s="781"/>
      <c r="AC69" s="781"/>
      <c r="AD69" s="781"/>
      <c r="AE69" s="781"/>
    </row>
    <row r="70" ht="15.75" customHeight="1">
      <c r="A70" s="782">
        <v>43998.0</v>
      </c>
      <c r="B70" s="783" t="s">
        <v>2785</v>
      </c>
      <c r="C70" s="772" t="s">
        <v>2547</v>
      </c>
      <c r="D70" s="772" t="s">
        <v>6345</v>
      </c>
      <c r="E70" s="784">
        <v>36013.41</v>
      </c>
      <c r="F70" s="772" t="s">
        <v>2782</v>
      </c>
      <c r="G70" s="782" t="s">
        <v>2550</v>
      </c>
      <c r="H70" s="782" t="s">
        <v>29</v>
      </c>
      <c r="I70" s="782" t="s">
        <v>2551</v>
      </c>
      <c r="J70" s="782">
        <v>43997.0</v>
      </c>
      <c r="K70" s="785" t="s">
        <v>3828</v>
      </c>
      <c r="L70" s="781"/>
      <c r="M70" s="781"/>
      <c r="N70" s="781"/>
      <c r="O70" s="781"/>
      <c r="P70" s="781"/>
      <c r="Q70" s="781"/>
      <c r="R70" s="781"/>
      <c r="S70" s="781"/>
      <c r="T70" s="781"/>
      <c r="U70" s="781"/>
      <c r="V70" s="781"/>
      <c r="W70" s="781"/>
      <c r="X70" s="781"/>
      <c r="Y70" s="781"/>
      <c r="Z70" s="781"/>
      <c r="AA70" s="781"/>
      <c r="AB70" s="781"/>
      <c r="AC70" s="781"/>
      <c r="AD70" s="781"/>
      <c r="AE70" s="781"/>
    </row>
    <row r="71" ht="15.75" customHeight="1">
      <c r="A71" s="786">
        <v>43999.0</v>
      </c>
      <c r="B71" s="787" t="s">
        <v>3516</v>
      </c>
      <c r="C71" s="788" t="s">
        <v>2547</v>
      </c>
      <c r="D71" s="772" t="s">
        <v>6346</v>
      </c>
      <c r="E71" s="784">
        <v>100000.0</v>
      </c>
      <c r="F71" s="772" t="s">
        <v>3515</v>
      </c>
      <c r="G71" s="782" t="s">
        <v>2550</v>
      </c>
      <c r="H71" s="782" t="s">
        <v>29</v>
      </c>
      <c r="I71" s="782" t="s">
        <v>2551</v>
      </c>
      <c r="J71" s="782">
        <v>43717.0</v>
      </c>
      <c r="K71" s="785" t="s">
        <v>4206</v>
      </c>
      <c r="L71" s="781"/>
      <c r="M71" s="781"/>
      <c r="N71" s="781"/>
      <c r="O71" s="781"/>
      <c r="P71" s="781"/>
      <c r="Q71" s="781"/>
      <c r="R71" s="781"/>
      <c r="S71" s="781"/>
      <c r="T71" s="781"/>
      <c r="U71" s="781"/>
      <c r="V71" s="781"/>
      <c r="W71" s="781"/>
      <c r="X71" s="781"/>
      <c r="Y71" s="781"/>
      <c r="Z71" s="781"/>
      <c r="AA71" s="781"/>
      <c r="AB71" s="781"/>
      <c r="AC71" s="781"/>
      <c r="AD71" s="781"/>
      <c r="AE71" s="781"/>
    </row>
    <row r="72" ht="15.75" customHeight="1">
      <c r="A72" s="786">
        <v>43999.0</v>
      </c>
      <c r="B72" s="787" t="s">
        <v>3333</v>
      </c>
      <c r="C72" s="788" t="s">
        <v>2547</v>
      </c>
      <c r="D72" s="772" t="s">
        <v>6346</v>
      </c>
      <c r="E72" s="784">
        <v>10000.0</v>
      </c>
      <c r="F72" s="772" t="s">
        <v>3332</v>
      </c>
      <c r="G72" s="782" t="s">
        <v>2550</v>
      </c>
      <c r="H72" s="782" t="s">
        <v>29</v>
      </c>
      <c r="I72" s="782" t="s">
        <v>2551</v>
      </c>
      <c r="J72" s="782">
        <v>43699.0</v>
      </c>
      <c r="K72" s="785" t="s">
        <v>4206</v>
      </c>
      <c r="L72" s="781"/>
      <c r="M72" s="781"/>
      <c r="N72" s="781"/>
      <c r="O72" s="781"/>
      <c r="P72" s="781"/>
      <c r="Q72" s="781"/>
      <c r="R72" s="781"/>
      <c r="S72" s="781"/>
      <c r="T72" s="781"/>
      <c r="U72" s="781"/>
      <c r="V72" s="781"/>
      <c r="W72" s="781"/>
      <c r="X72" s="781"/>
      <c r="Y72" s="781"/>
      <c r="Z72" s="781"/>
      <c r="AA72" s="781"/>
      <c r="AB72" s="781"/>
      <c r="AC72" s="781"/>
      <c r="AD72" s="781"/>
      <c r="AE72" s="781"/>
    </row>
    <row r="73" ht="15.75" customHeight="1">
      <c r="A73" s="786">
        <v>43999.0</v>
      </c>
      <c r="B73" s="790" t="s">
        <v>3246</v>
      </c>
      <c r="C73" s="788" t="s">
        <v>2547</v>
      </c>
      <c r="D73" s="772" t="s">
        <v>6346</v>
      </c>
      <c r="E73" s="784">
        <v>7000.0</v>
      </c>
      <c r="F73" s="772" t="s">
        <v>3245</v>
      </c>
      <c r="G73" s="782" t="s">
        <v>2550</v>
      </c>
      <c r="H73" s="782" t="s">
        <v>29</v>
      </c>
      <c r="I73" s="782" t="s">
        <v>2551</v>
      </c>
      <c r="J73" s="782">
        <v>43564.0</v>
      </c>
      <c r="K73" s="785" t="s">
        <v>3840</v>
      </c>
      <c r="L73" s="781"/>
      <c r="M73" s="781"/>
      <c r="N73" s="781"/>
      <c r="O73" s="781"/>
      <c r="P73" s="781"/>
      <c r="Q73" s="781"/>
      <c r="R73" s="781"/>
      <c r="S73" s="781"/>
      <c r="T73" s="781"/>
      <c r="U73" s="781"/>
      <c r="V73" s="781"/>
      <c r="W73" s="781"/>
      <c r="X73" s="781"/>
      <c r="Y73" s="781"/>
      <c r="Z73" s="781"/>
      <c r="AA73" s="781"/>
      <c r="AB73" s="781"/>
      <c r="AC73" s="781"/>
      <c r="AD73" s="781"/>
      <c r="AE73" s="781"/>
    </row>
    <row r="74" ht="15.75" customHeight="1">
      <c r="A74" s="786">
        <v>44004.0</v>
      </c>
      <c r="B74" s="787" t="s">
        <v>3246</v>
      </c>
      <c r="C74" s="788" t="s">
        <v>2547</v>
      </c>
      <c r="D74" s="772" t="s">
        <v>6346</v>
      </c>
      <c r="E74" s="784">
        <v>9000.0</v>
      </c>
      <c r="F74" s="772" t="s">
        <v>3245</v>
      </c>
      <c r="G74" s="782" t="s">
        <v>2550</v>
      </c>
      <c r="H74" s="782" t="s">
        <v>29</v>
      </c>
      <c r="I74" s="782" t="s">
        <v>2551</v>
      </c>
      <c r="J74" s="782">
        <v>43564.0</v>
      </c>
      <c r="K74" s="785" t="s">
        <v>3840</v>
      </c>
      <c r="L74" s="781"/>
      <c r="M74" s="781"/>
      <c r="N74" s="781"/>
      <c r="O74" s="781"/>
      <c r="P74" s="781"/>
      <c r="Q74" s="781"/>
      <c r="R74" s="781"/>
      <c r="S74" s="781"/>
      <c r="T74" s="781"/>
      <c r="U74" s="781"/>
      <c r="V74" s="781"/>
      <c r="W74" s="781"/>
      <c r="X74" s="781"/>
      <c r="Y74" s="781"/>
      <c r="Z74" s="781"/>
      <c r="AA74" s="781"/>
      <c r="AB74" s="781"/>
      <c r="AC74" s="781"/>
      <c r="AD74" s="781"/>
      <c r="AE74" s="781"/>
    </row>
    <row r="75" ht="15.75" customHeight="1">
      <c r="A75" s="786">
        <v>44004.0</v>
      </c>
      <c r="B75" s="790" t="s">
        <v>3056</v>
      </c>
      <c r="C75" s="788" t="s">
        <v>2547</v>
      </c>
      <c r="D75" s="772" t="s">
        <v>6346</v>
      </c>
      <c r="E75" s="784">
        <v>10000.0</v>
      </c>
      <c r="F75" s="772" t="s">
        <v>3055</v>
      </c>
      <c r="G75" s="782" t="s">
        <v>2550</v>
      </c>
      <c r="H75" s="782" t="s">
        <v>29</v>
      </c>
      <c r="I75" s="782" t="s">
        <v>2562</v>
      </c>
      <c r="J75" s="782">
        <v>43559.0</v>
      </c>
      <c r="K75" s="785" t="s">
        <v>4206</v>
      </c>
      <c r="L75" s="781"/>
      <c r="M75" s="781"/>
      <c r="N75" s="781"/>
      <c r="O75" s="781"/>
      <c r="P75" s="781"/>
      <c r="Q75" s="781"/>
      <c r="R75" s="781"/>
      <c r="S75" s="781"/>
      <c r="T75" s="781"/>
      <c r="U75" s="781"/>
      <c r="V75" s="781"/>
      <c r="W75" s="781"/>
      <c r="X75" s="781"/>
      <c r="Y75" s="781"/>
      <c r="Z75" s="781"/>
      <c r="AA75" s="781"/>
      <c r="AB75" s="781"/>
      <c r="AC75" s="781"/>
      <c r="AD75" s="781"/>
      <c r="AE75" s="781"/>
    </row>
    <row r="76" ht="15.75" customHeight="1">
      <c r="A76" s="782">
        <v>44007.0</v>
      </c>
      <c r="B76" s="783" t="s">
        <v>3018</v>
      </c>
      <c r="C76" s="772" t="s">
        <v>2547</v>
      </c>
      <c r="D76" s="772" t="s">
        <v>6345</v>
      </c>
      <c r="E76" s="784">
        <v>120144.24</v>
      </c>
      <c r="F76" s="772" t="s">
        <v>3017</v>
      </c>
      <c r="G76" s="782" t="s">
        <v>2550</v>
      </c>
      <c r="H76" s="782" t="s">
        <v>29</v>
      </c>
      <c r="I76" s="782" t="s">
        <v>2562</v>
      </c>
      <c r="J76" s="782">
        <v>43822.0</v>
      </c>
      <c r="K76" s="785" t="s">
        <v>3828</v>
      </c>
      <c r="L76" s="781"/>
      <c r="M76" s="781"/>
      <c r="N76" s="781"/>
      <c r="O76" s="781"/>
      <c r="P76" s="781"/>
      <c r="Q76" s="781"/>
      <c r="R76" s="781"/>
      <c r="S76" s="781"/>
      <c r="T76" s="781"/>
      <c r="U76" s="781"/>
      <c r="V76" s="781"/>
      <c r="W76" s="781"/>
      <c r="X76" s="781"/>
      <c r="Y76" s="781"/>
      <c r="Z76" s="781"/>
      <c r="AA76" s="781"/>
      <c r="AB76" s="781"/>
      <c r="AC76" s="781"/>
      <c r="AD76" s="781"/>
      <c r="AE76" s="781"/>
    </row>
    <row r="77" ht="15.75" customHeight="1">
      <c r="A77" s="786">
        <v>44007.0</v>
      </c>
      <c r="B77" s="787" t="s">
        <v>3409</v>
      </c>
      <c r="C77" s="788" t="s">
        <v>2547</v>
      </c>
      <c r="D77" s="772" t="s">
        <v>6346</v>
      </c>
      <c r="E77" s="784">
        <v>160000.0</v>
      </c>
      <c r="F77" s="772" t="s">
        <v>3408</v>
      </c>
      <c r="G77" s="782" t="s">
        <v>2550</v>
      </c>
      <c r="H77" s="782" t="s">
        <v>29</v>
      </c>
      <c r="I77" s="782" t="s">
        <v>2551</v>
      </c>
      <c r="J77" s="782">
        <v>43894.0</v>
      </c>
      <c r="K77" s="785" t="s">
        <v>3836</v>
      </c>
      <c r="L77" s="781"/>
      <c r="M77" s="781"/>
      <c r="N77" s="781"/>
      <c r="O77" s="781"/>
      <c r="P77" s="781"/>
      <c r="Q77" s="781"/>
      <c r="R77" s="781"/>
      <c r="S77" s="781"/>
      <c r="T77" s="781"/>
      <c r="U77" s="781"/>
      <c r="V77" s="781"/>
      <c r="W77" s="781"/>
      <c r="X77" s="781"/>
      <c r="Y77" s="781"/>
      <c r="Z77" s="781"/>
      <c r="AA77" s="781"/>
      <c r="AB77" s="781"/>
      <c r="AC77" s="781"/>
      <c r="AD77" s="781"/>
      <c r="AE77" s="781"/>
    </row>
    <row r="78" ht="15.75" customHeight="1">
      <c r="A78" s="786">
        <v>44007.0</v>
      </c>
      <c r="B78" s="787" t="s">
        <v>3041</v>
      </c>
      <c r="C78" s="788" t="s">
        <v>2547</v>
      </c>
      <c r="D78" s="772" t="s">
        <v>6346</v>
      </c>
      <c r="E78" s="784">
        <v>2500.0</v>
      </c>
      <c r="F78" s="772" t="s">
        <v>3040</v>
      </c>
      <c r="G78" s="782" t="s">
        <v>2550</v>
      </c>
      <c r="H78" s="782" t="s">
        <v>29</v>
      </c>
      <c r="I78" s="782" t="s">
        <v>2551</v>
      </c>
      <c r="J78" s="782">
        <v>43605.0</v>
      </c>
      <c r="K78" s="785" t="s">
        <v>3836</v>
      </c>
      <c r="L78" s="781"/>
      <c r="M78" s="781"/>
      <c r="N78" s="781"/>
      <c r="O78" s="781"/>
      <c r="P78" s="781"/>
      <c r="Q78" s="781"/>
      <c r="R78" s="781"/>
      <c r="S78" s="781"/>
      <c r="T78" s="781"/>
      <c r="U78" s="781"/>
      <c r="V78" s="781"/>
      <c r="W78" s="781"/>
      <c r="X78" s="781"/>
      <c r="Y78" s="781"/>
      <c r="Z78" s="781"/>
      <c r="AA78" s="781"/>
      <c r="AB78" s="781"/>
      <c r="AC78" s="781"/>
      <c r="AD78" s="781"/>
      <c r="AE78" s="781"/>
    </row>
    <row r="79" ht="15.75" customHeight="1">
      <c r="A79" s="786">
        <v>44008.0</v>
      </c>
      <c r="B79" s="787" t="s">
        <v>2982</v>
      </c>
      <c r="C79" s="788" t="s">
        <v>2547</v>
      </c>
      <c r="D79" s="772" t="s">
        <v>6346</v>
      </c>
      <c r="E79" s="784">
        <v>11000.0</v>
      </c>
      <c r="F79" s="772" t="s">
        <v>2981</v>
      </c>
      <c r="G79" s="782" t="s">
        <v>2550</v>
      </c>
      <c r="H79" s="782" t="s">
        <v>29</v>
      </c>
      <c r="I79" s="782" t="s">
        <v>2551</v>
      </c>
      <c r="J79" s="782">
        <v>43703.0</v>
      </c>
      <c r="K79" s="785" t="s">
        <v>4206</v>
      </c>
      <c r="L79" s="781"/>
      <c r="M79" s="781"/>
      <c r="N79" s="781"/>
      <c r="O79" s="781"/>
      <c r="P79" s="781"/>
      <c r="Q79" s="781"/>
      <c r="R79" s="781"/>
      <c r="S79" s="781"/>
      <c r="T79" s="781"/>
      <c r="U79" s="781"/>
      <c r="V79" s="781"/>
      <c r="W79" s="781"/>
      <c r="X79" s="781"/>
      <c r="Y79" s="781"/>
      <c r="Z79" s="781"/>
      <c r="AA79" s="781"/>
      <c r="AB79" s="781"/>
      <c r="AC79" s="781"/>
      <c r="AD79" s="781"/>
      <c r="AE79" s="781"/>
    </row>
    <row r="80" ht="15.75" customHeight="1">
      <c r="A80" s="782">
        <v>44011.0</v>
      </c>
      <c r="B80" s="783" t="s">
        <v>6354</v>
      </c>
      <c r="C80" s="772" t="s">
        <v>3820</v>
      </c>
      <c r="D80" s="772" t="s">
        <v>6345</v>
      </c>
      <c r="E80" s="784">
        <v>0.0</v>
      </c>
      <c r="F80" s="772" t="s">
        <v>5318</v>
      </c>
      <c r="G80" s="772" t="s">
        <v>2550</v>
      </c>
      <c r="H80" s="772" t="s">
        <v>29</v>
      </c>
      <c r="I80" s="772" t="s">
        <v>2550</v>
      </c>
      <c r="J80" s="782">
        <v>44216.0</v>
      </c>
      <c r="K80" s="789" t="s">
        <v>3828</v>
      </c>
      <c r="L80" s="781"/>
      <c r="M80" s="781"/>
      <c r="N80" s="781"/>
      <c r="O80" s="781"/>
      <c r="P80" s="781"/>
      <c r="Q80" s="781"/>
      <c r="R80" s="781"/>
      <c r="S80" s="781"/>
      <c r="T80" s="781"/>
      <c r="U80" s="781"/>
      <c r="V80" s="781"/>
      <c r="W80" s="781"/>
      <c r="X80" s="781"/>
      <c r="Y80" s="781"/>
      <c r="Z80" s="781"/>
      <c r="AA80" s="781"/>
      <c r="AB80" s="781"/>
      <c r="AC80" s="781"/>
      <c r="AD80" s="781"/>
      <c r="AE80" s="781"/>
    </row>
    <row r="81" ht="15.75" customHeight="1">
      <c r="A81" s="786">
        <v>44012.0</v>
      </c>
      <c r="B81" s="787" t="s">
        <v>2941</v>
      </c>
      <c r="C81" s="788" t="s">
        <v>2547</v>
      </c>
      <c r="D81" s="772" t="s">
        <v>6346</v>
      </c>
      <c r="E81" s="784">
        <v>36000.0</v>
      </c>
      <c r="F81" s="772" t="s">
        <v>2940</v>
      </c>
      <c r="G81" s="782" t="s">
        <v>2550</v>
      </c>
      <c r="H81" s="782" t="s">
        <v>29</v>
      </c>
      <c r="I81" s="782" t="s">
        <v>2551</v>
      </c>
      <c r="J81" s="782">
        <v>43888.0</v>
      </c>
      <c r="K81" s="785" t="s">
        <v>3828</v>
      </c>
      <c r="L81" s="781"/>
      <c r="M81" s="781"/>
      <c r="N81" s="781"/>
      <c r="O81" s="781"/>
      <c r="P81" s="781"/>
      <c r="Q81" s="781"/>
      <c r="R81" s="781"/>
      <c r="S81" s="781"/>
      <c r="T81" s="781"/>
      <c r="U81" s="781"/>
      <c r="V81" s="781"/>
      <c r="W81" s="781"/>
      <c r="X81" s="781"/>
      <c r="Y81" s="781"/>
      <c r="Z81" s="781"/>
      <c r="AA81" s="781"/>
      <c r="AB81" s="781"/>
      <c r="AC81" s="781"/>
      <c r="AD81" s="781"/>
      <c r="AE81" s="781"/>
    </row>
    <row r="82" ht="15.75" customHeight="1">
      <c r="A82" s="786">
        <v>44014.0</v>
      </c>
      <c r="B82" s="787" t="s">
        <v>3056</v>
      </c>
      <c r="C82" s="788" t="s">
        <v>2547</v>
      </c>
      <c r="D82" s="772" t="s">
        <v>6346</v>
      </c>
      <c r="E82" s="784">
        <v>100000.0</v>
      </c>
      <c r="F82" s="772" t="s">
        <v>3055</v>
      </c>
      <c r="G82" s="782" t="s">
        <v>2550</v>
      </c>
      <c r="H82" s="782" t="s">
        <v>29</v>
      </c>
      <c r="I82" s="782" t="s">
        <v>2562</v>
      </c>
      <c r="J82" s="782">
        <v>43559.0</v>
      </c>
      <c r="K82" s="785" t="s">
        <v>4206</v>
      </c>
      <c r="L82" s="781"/>
      <c r="M82" s="781"/>
      <c r="N82" s="781"/>
      <c r="O82" s="781"/>
      <c r="P82" s="781"/>
      <c r="Q82" s="781"/>
      <c r="R82" s="781"/>
      <c r="S82" s="781"/>
      <c r="T82" s="781"/>
      <c r="U82" s="781"/>
      <c r="V82" s="781"/>
      <c r="W82" s="781"/>
      <c r="X82" s="781"/>
      <c r="Y82" s="781"/>
      <c r="Z82" s="781"/>
      <c r="AA82" s="781"/>
      <c r="AB82" s="781"/>
      <c r="AC82" s="781"/>
      <c r="AD82" s="781"/>
      <c r="AE82" s="781"/>
    </row>
    <row r="83" ht="15.75" customHeight="1">
      <c r="A83" s="786">
        <v>44022.0</v>
      </c>
      <c r="B83" s="787" t="s">
        <v>3721</v>
      </c>
      <c r="C83" s="788" t="s">
        <v>3632</v>
      </c>
      <c r="D83" s="772" t="s">
        <v>6346</v>
      </c>
      <c r="E83" s="784">
        <v>100000.0</v>
      </c>
      <c r="F83" s="772" t="s">
        <v>3720</v>
      </c>
      <c r="G83" s="782" t="s">
        <v>18</v>
      </c>
      <c r="H83" s="782" t="s">
        <v>29</v>
      </c>
      <c r="I83" s="782" t="s">
        <v>2213</v>
      </c>
      <c r="J83" s="782">
        <v>43797.0</v>
      </c>
      <c r="K83" s="785" t="s">
        <v>3836</v>
      </c>
      <c r="L83" s="781"/>
      <c r="M83" s="781"/>
      <c r="N83" s="781"/>
      <c r="O83" s="781"/>
      <c r="P83" s="781"/>
      <c r="Q83" s="781"/>
      <c r="R83" s="781"/>
      <c r="S83" s="781"/>
      <c r="T83" s="781"/>
      <c r="U83" s="781"/>
      <c r="V83" s="781"/>
      <c r="W83" s="781"/>
      <c r="X83" s="781"/>
      <c r="Y83" s="781"/>
      <c r="Z83" s="781"/>
      <c r="AA83" s="781"/>
      <c r="AB83" s="781"/>
      <c r="AC83" s="781"/>
      <c r="AD83" s="781"/>
      <c r="AE83" s="781"/>
    </row>
    <row r="84" ht="15.75" customHeight="1">
      <c r="A84" s="786">
        <v>44022.0</v>
      </c>
      <c r="B84" s="787" t="s">
        <v>3425</v>
      </c>
      <c r="C84" s="788" t="s">
        <v>2547</v>
      </c>
      <c r="D84" s="772" t="s">
        <v>6346</v>
      </c>
      <c r="E84" s="784">
        <v>40078.02</v>
      </c>
      <c r="F84" s="772" t="s">
        <v>3424</v>
      </c>
      <c r="G84" s="782" t="s">
        <v>2550</v>
      </c>
      <c r="H84" s="782" t="s">
        <v>29</v>
      </c>
      <c r="I84" s="782" t="s">
        <v>2551</v>
      </c>
      <c r="J84" s="782">
        <v>43840.0</v>
      </c>
      <c r="K84" s="785" t="s">
        <v>3836</v>
      </c>
      <c r="L84" s="781"/>
      <c r="M84" s="781"/>
      <c r="N84" s="781"/>
      <c r="O84" s="781"/>
      <c r="P84" s="781"/>
      <c r="Q84" s="781"/>
      <c r="R84" s="781"/>
      <c r="S84" s="781"/>
      <c r="T84" s="781"/>
      <c r="U84" s="781"/>
      <c r="V84" s="781"/>
      <c r="W84" s="781"/>
      <c r="X84" s="781"/>
      <c r="Y84" s="781"/>
      <c r="Z84" s="781"/>
      <c r="AA84" s="781"/>
      <c r="AB84" s="781"/>
      <c r="AC84" s="781"/>
      <c r="AD84" s="781"/>
      <c r="AE84" s="781"/>
    </row>
    <row r="85" ht="15.75" customHeight="1">
      <c r="A85" s="786">
        <v>44023.0</v>
      </c>
      <c r="B85" s="787" t="s">
        <v>3023</v>
      </c>
      <c r="C85" s="788" t="s">
        <v>2547</v>
      </c>
      <c r="D85" s="772" t="s">
        <v>6346</v>
      </c>
      <c r="E85" s="784">
        <v>46758.86</v>
      </c>
      <c r="F85" s="772" t="s">
        <v>3022</v>
      </c>
      <c r="G85" s="782" t="s">
        <v>2550</v>
      </c>
      <c r="H85" s="782" t="s">
        <v>29</v>
      </c>
      <c r="I85" s="782" t="s">
        <v>2551</v>
      </c>
      <c r="J85" s="782">
        <v>43620.0</v>
      </c>
      <c r="K85" s="785" t="s">
        <v>3840</v>
      </c>
      <c r="L85" s="781"/>
      <c r="M85" s="781"/>
      <c r="N85" s="781"/>
      <c r="O85" s="781"/>
      <c r="P85" s="781"/>
      <c r="Q85" s="781"/>
      <c r="R85" s="781"/>
      <c r="S85" s="781"/>
      <c r="T85" s="781"/>
      <c r="U85" s="781"/>
      <c r="V85" s="781"/>
      <c r="W85" s="781"/>
      <c r="X85" s="781"/>
      <c r="Y85" s="781"/>
      <c r="Z85" s="781"/>
      <c r="AA85" s="781"/>
      <c r="AB85" s="781"/>
      <c r="AC85" s="781"/>
      <c r="AD85" s="781"/>
      <c r="AE85" s="781"/>
    </row>
    <row r="86" ht="15.75" customHeight="1">
      <c r="A86" s="782">
        <v>44025.0</v>
      </c>
      <c r="B86" s="783" t="s">
        <v>3575</v>
      </c>
      <c r="C86" s="772" t="s">
        <v>2547</v>
      </c>
      <c r="D86" s="772" t="s">
        <v>6345</v>
      </c>
      <c r="E86" s="784">
        <v>0.0</v>
      </c>
      <c r="F86" s="772" t="s">
        <v>3574</v>
      </c>
      <c r="G86" s="782" t="s">
        <v>2550</v>
      </c>
      <c r="H86" s="782" t="s">
        <v>29</v>
      </c>
      <c r="I86" s="782" t="s">
        <v>2551</v>
      </c>
      <c r="J86" s="782">
        <v>43538.0</v>
      </c>
      <c r="K86" s="785" t="s">
        <v>4206</v>
      </c>
      <c r="L86" s="781"/>
      <c r="M86" s="781"/>
      <c r="N86" s="781"/>
      <c r="O86" s="781"/>
      <c r="P86" s="781"/>
      <c r="Q86" s="781"/>
      <c r="R86" s="781"/>
      <c r="S86" s="781"/>
      <c r="T86" s="781"/>
      <c r="U86" s="781"/>
      <c r="V86" s="781"/>
      <c r="W86" s="781"/>
      <c r="X86" s="781"/>
      <c r="Y86" s="781"/>
      <c r="Z86" s="781"/>
      <c r="AA86" s="781"/>
      <c r="AB86" s="781"/>
      <c r="AC86" s="781"/>
      <c r="AD86" s="781"/>
      <c r="AE86" s="781"/>
    </row>
    <row r="87" ht="15.75" customHeight="1">
      <c r="A87" s="782">
        <v>44025.0</v>
      </c>
      <c r="B87" s="783" t="s">
        <v>3577</v>
      </c>
      <c r="C87" s="772" t="s">
        <v>2547</v>
      </c>
      <c r="D87" s="772" t="s">
        <v>6345</v>
      </c>
      <c r="E87" s="784">
        <v>0.0</v>
      </c>
      <c r="F87" s="772" t="s">
        <v>3574</v>
      </c>
      <c r="G87" s="782" t="s">
        <v>2550</v>
      </c>
      <c r="H87" s="782" t="s">
        <v>29</v>
      </c>
      <c r="I87" s="782" t="s">
        <v>2551</v>
      </c>
      <c r="J87" s="782">
        <v>43538.0</v>
      </c>
      <c r="K87" s="785" t="s">
        <v>3840</v>
      </c>
      <c r="L87" s="781"/>
      <c r="M87" s="781"/>
      <c r="N87" s="781"/>
      <c r="O87" s="781"/>
      <c r="P87" s="781"/>
      <c r="Q87" s="781"/>
      <c r="R87" s="781"/>
      <c r="S87" s="781"/>
      <c r="T87" s="781"/>
      <c r="U87" s="781"/>
      <c r="V87" s="781"/>
      <c r="W87" s="781"/>
      <c r="X87" s="781"/>
      <c r="Y87" s="781"/>
      <c r="Z87" s="781"/>
      <c r="AA87" s="781"/>
      <c r="AB87" s="781"/>
      <c r="AC87" s="781"/>
      <c r="AD87" s="781"/>
      <c r="AE87" s="781"/>
    </row>
    <row r="88" ht="15.75" customHeight="1">
      <c r="A88" s="786">
        <v>44029.0</v>
      </c>
      <c r="B88" s="787" t="s">
        <v>3409</v>
      </c>
      <c r="C88" s="788" t="s">
        <v>2547</v>
      </c>
      <c r="D88" s="772" t="s">
        <v>6346</v>
      </c>
      <c r="E88" s="784">
        <v>60000.0</v>
      </c>
      <c r="F88" s="772" t="s">
        <v>3408</v>
      </c>
      <c r="G88" s="782" t="s">
        <v>2550</v>
      </c>
      <c r="H88" s="782" t="s">
        <v>29</v>
      </c>
      <c r="I88" s="782" t="s">
        <v>2551</v>
      </c>
      <c r="J88" s="782">
        <v>43894.0</v>
      </c>
      <c r="K88" s="785" t="s">
        <v>3836</v>
      </c>
      <c r="L88" s="781"/>
      <c r="M88" s="781"/>
      <c r="N88" s="781"/>
      <c r="O88" s="781"/>
      <c r="P88" s="781"/>
      <c r="Q88" s="781"/>
      <c r="R88" s="781"/>
      <c r="S88" s="781"/>
      <c r="T88" s="781"/>
      <c r="U88" s="781"/>
      <c r="V88" s="781"/>
      <c r="W88" s="781"/>
      <c r="X88" s="781"/>
      <c r="Y88" s="781"/>
      <c r="Z88" s="781"/>
      <c r="AA88" s="781"/>
      <c r="AB88" s="781"/>
      <c r="AC88" s="781"/>
      <c r="AD88" s="781"/>
      <c r="AE88" s="781"/>
    </row>
    <row r="89" ht="15.75" customHeight="1">
      <c r="A89" s="786">
        <v>44032.0</v>
      </c>
      <c r="B89" s="787" t="s">
        <v>3041</v>
      </c>
      <c r="C89" s="788" t="s">
        <v>2547</v>
      </c>
      <c r="D89" s="772" t="s">
        <v>6346</v>
      </c>
      <c r="E89" s="784">
        <v>211079.19</v>
      </c>
      <c r="F89" s="772" t="s">
        <v>3040</v>
      </c>
      <c r="G89" s="782" t="s">
        <v>2550</v>
      </c>
      <c r="H89" s="782" t="s">
        <v>29</v>
      </c>
      <c r="I89" s="782" t="s">
        <v>2551</v>
      </c>
      <c r="J89" s="782">
        <v>43605.0</v>
      </c>
      <c r="K89" s="785" t="s">
        <v>3836</v>
      </c>
      <c r="L89" s="781"/>
      <c r="M89" s="781"/>
      <c r="N89" s="781"/>
      <c r="O89" s="781"/>
      <c r="P89" s="781"/>
      <c r="Q89" s="781"/>
      <c r="R89" s="781"/>
      <c r="S89" s="781"/>
      <c r="T89" s="781"/>
      <c r="U89" s="781"/>
      <c r="V89" s="781"/>
      <c r="W89" s="781"/>
      <c r="X89" s="781"/>
      <c r="Y89" s="781"/>
      <c r="Z89" s="781"/>
      <c r="AA89" s="781"/>
      <c r="AB89" s="781"/>
      <c r="AC89" s="781"/>
      <c r="AD89" s="781"/>
      <c r="AE89" s="781"/>
    </row>
    <row r="90" ht="15.75" customHeight="1">
      <c r="A90" s="786">
        <v>44032.0</v>
      </c>
      <c r="B90" s="787" t="s">
        <v>3147</v>
      </c>
      <c r="C90" s="788" t="s">
        <v>2547</v>
      </c>
      <c r="D90" s="772" t="s">
        <v>6346</v>
      </c>
      <c r="E90" s="784">
        <v>7000.0</v>
      </c>
      <c r="F90" s="772" t="s">
        <v>3146</v>
      </c>
      <c r="G90" s="782" t="s">
        <v>2550</v>
      </c>
      <c r="H90" s="782" t="s">
        <v>29</v>
      </c>
      <c r="I90" s="782" t="s">
        <v>2551</v>
      </c>
      <c r="J90" s="782">
        <v>43732.0</v>
      </c>
      <c r="K90" s="785" t="s">
        <v>4206</v>
      </c>
      <c r="L90" s="781"/>
      <c r="M90" s="781"/>
      <c r="N90" s="781"/>
      <c r="O90" s="781"/>
      <c r="P90" s="781"/>
      <c r="Q90" s="781"/>
      <c r="R90" s="781"/>
      <c r="S90" s="781"/>
      <c r="T90" s="781"/>
      <c r="U90" s="781"/>
      <c r="V90" s="781"/>
      <c r="W90" s="781"/>
      <c r="X90" s="781"/>
      <c r="Y90" s="781"/>
      <c r="Z90" s="781"/>
      <c r="AA90" s="781"/>
      <c r="AB90" s="781"/>
      <c r="AC90" s="781"/>
      <c r="AD90" s="781"/>
      <c r="AE90" s="781"/>
    </row>
    <row r="91" ht="15.75" customHeight="1">
      <c r="A91" s="786">
        <v>44032.0</v>
      </c>
      <c r="B91" s="787" t="s">
        <v>3166</v>
      </c>
      <c r="C91" s="788" t="s">
        <v>2547</v>
      </c>
      <c r="D91" s="772" t="s">
        <v>6346</v>
      </c>
      <c r="E91" s="784">
        <v>14000.0</v>
      </c>
      <c r="F91" s="772" t="s">
        <v>3165</v>
      </c>
      <c r="G91" s="782" t="s">
        <v>2550</v>
      </c>
      <c r="H91" s="782" t="s">
        <v>29</v>
      </c>
      <c r="I91" s="782" t="s">
        <v>2551</v>
      </c>
      <c r="J91" s="782">
        <v>43620.0</v>
      </c>
      <c r="K91" s="785" t="s">
        <v>3828</v>
      </c>
      <c r="L91" s="781"/>
      <c r="M91" s="781"/>
      <c r="N91" s="781"/>
      <c r="O91" s="781"/>
      <c r="P91" s="781"/>
      <c r="Q91" s="781"/>
      <c r="R91" s="781"/>
      <c r="S91" s="781"/>
      <c r="T91" s="781"/>
      <c r="U91" s="781"/>
      <c r="V91" s="781"/>
      <c r="W91" s="781"/>
      <c r="X91" s="781"/>
      <c r="Y91" s="781"/>
      <c r="Z91" s="781"/>
      <c r="AA91" s="781"/>
      <c r="AB91" s="781"/>
      <c r="AC91" s="781"/>
      <c r="AD91" s="781"/>
      <c r="AE91" s="781"/>
    </row>
    <row r="92" ht="15.75" customHeight="1">
      <c r="A92" s="786">
        <v>44032.0</v>
      </c>
      <c r="B92" s="787" t="s">
        <v>6355</v>
      </c>
      <c r="C92" s="788" t="s">
        <v>3820</v>
      </c>
      <c r="D92" s="772" t="s">
        <v>6346</v>
      </c>
      <c r="E92" s="784">
        <v>10000.0</v>
      </c>
      <c r="F92" s="772" t="s">
        <v>3165</v>
      </c>
      <c r="G92" s="772" t="s">
        <v>2550</v>
      </c>
      <c r="H92" s="772" t="s">
        <v>29</v>
      </c>
      <c r="I92" s="772" t="s">
        <v>2550</v>
      </c>
      <c r="J92" s="782">
        <v>43700.0</v>
      </c>
      <c r="K92" s="789" t="s">
        <v>3828</v>
      </c>
      <c r="L92" s="781"/>
      <c r="M92" s="781"/>
      <c r="N92" s="781"/>
      <c r="O92" s="781"/>
      <c r="P92" s="781"/>
      <c r="Q92" s="781"/>
      <c r="R92" s="781"/>
      <c r="S92" s="781"/>
      <c r="T92" s="781"/>
      <c r="U92" s="781"/>
      <c r="V92" s="781"/>
      <c r="W92" s="781"/>
      <c r="X92" s="781"/>
      <c r="Y92" s="781"/>
      <c r="Z92" s="781"/>
      <c r="AA92" s="781"/>
      <c r="AB92" s="781"/>
      <c r="AC92" s="781"/>
      <c r="AD92" s="781"/>
      <c r="AE92" s="781"/>
    </row>
    <row r="93" ht="15.75" customHeight="1">
      <c r="A93" s="786">
        <v>44033.0</v>
      </c>
      <c r="B93" s="790" t="s">
        <v>2840</v>
      </c>
      <c r="C93" s="788" t="s">
        <v>2547</v>
      </c>
      <c r="D93" s="772" t="s">
        <v>1481</v>
      </c>
      <c r="E93" s="784">
        <v>30000.0</v>
      </c>
      <c r="F93" s="772" t="s">
        <v>2839</v>
      </c>
      <c r="G93" s="782" t="s">
        <v>2550</v>
      </c>
      <c r="H93" s="782" t="s">
        <v>29</v>
      </c>
      <c r="I93" s="782" t="s">
        <v>2562</v>
      </c>
      <c r="J93" s="782">
        <v>43913.0</v>
      </c>
      <c r="K93" s="785" t="s">
        <v>3828</v>
      </c>
      <c r="L93" s="781"/>
      <c r="M93" s="781"/>
      <c r="N93" s="781"/>
      <c r="O93" s="781"/>
      <c r="P93" s="781"/>
      <c r="Q93" s="781"/>
      <c r="R93" s="781"/>
      <c r="S93" s="781"/>
      <c r="T93" s="781"/>
      <c r="U93" s="781"/>
      <c r="V93" s="781"/>
      <c r="W93" s="781"/>
      <c r="X93" s="781"/>
      <c r="Y93" s="781"/>
      <c r="Z93" s="781"/>
      <c r="AA93" s="781"/>
      <c r="AB93" s="781"/>
      <c r="AC93" s="781"/>
      <c r="AD93" s="781"/>
      <c r="AE93" s="781"/>
    </row>
    <row r="94" ht="15.75" customHeight="1">
      <c r="A94" s="786">
        <v>44034.0</v>
      </c>
      <c r="B94" s="787" t="s">
        <v>3318</v>
      </c>
      <c r="C94" s="788" t="s">
        <v>2547</v>
      </c>
      <c r="D94" s="772" t="s">
        <v>1481</v>
      </c>
      <c r="E94" s="784">
        <v>20000.0</v>
      </c>
      <c r="F94" s="772" t="s">
        <v>3317</v>
      </c>
      <c r="G94" s="782" t="s">
        <v>2659</v>
      </c>
      <c r="H94" s="782" t="s">
        <v>29</v>
      </c>
      <c r="I94" s="782" t="s">
        <v>2659</v>
      </c>
      <c r="J94" s="782">
        <v>43441.0</v>
      </c>
      <c r="K94" s="785" t="s">
        <v>3840</v>
      </c>
      <c r="L94" s="781"/>
      <c r="M94" s="781"/>
      <c r="N94" s="781"/>
      <c r="O94" s="781"/>
      <c r="P94" s="781"/>
      <c r="Q94" s="781"/>
      <c r="R94" s="781"/>
      <c r="S94" s="781"/>
      <c r="T94" s="781"/>
      <c r="U94" s="781"/>
      <c r="V94" s="781"/>
      <c r="W94" s="781"/>
      <c r="X94" s="781"/>
      <c r="Y94" s="781"/>
      <c r="Z94" s="781"/>
      <c r="AA94" s="781"/>
      <c r="AB94" s="781"/>
      <c r="AC94" s="781"/>
      <c r="AD94" s="781"/>
      <c r="AE94" s="781"/>
    </row>
    <row r="95" ht="15.75" customHeight="1">
      <c r="A95" s="786">
        <v>44036.0</v>
      </c>
      <c r="B95" s="787" t="s">
        <v>3166</v>
      </c>
      <c r="C95" s="788" t="s">
        <v>2547</v>
      </c>
      <c r="D95" s="772" t="s">
        <v>6346</v>
      </c>
      <c r="E95" s="784">
        <v>3500.0</v>
      </c>
      <c r="F95" s="772" t="s">
        <v>3165</v>
      </c>
      <c r="G95" s="782" t="s">
        <v>2550</v>
      </c>
      <c r="H95" s="782" t="s">
        <v>29</v>
      </c>
      <c r="I95" s="782" t="s">
        <v>2551</v>
      </c>
      <c r="J95" s="782">
        <v>43620.0</v>
      </c>
      <c r="K95" s="785" t="s">
        <v>3828</v>
      </c>
      <c r="L95" s="781"/>
      <c r="M95" s="781"/>
      <c r="N95" s="781"/>
      <c r="O95" s="781"/>
      <c r="P95" s="781"/>
      <c r="Q95" s="781"/>
      <c r="R95" s="781"/>
      <c r="S95" s="781"/>
      <c r="T95" s="781"/>
      <c r="U95" s="781"/>
      <c r="V95" s="781"/>
      <c r="W95" s="781"/>
      <c r="X95" s="781"/>
      <c r="Y95" s="781"/>
      <c r="Z95" s="781"/>
      <c r="AA95" s="781"/>
      <c r="AB95" s="781"/>
      <c r="AC95" s="781"/>
      <c r="AD95" s="781"/>
      <c r="AE95" s="781"/>
    </row>
    <row r="96" ht="15.75" customHeight="1">
      <c r="A96" s="786">
        <v>44036.0</v>
      </c>
      <c r="B96" s="790" t="s">
        <v>3023</v>
      </c>
      <c r="C96" s="788" t="s">
        <v>2547</v>
      </c>
      <c r="D96" s="772" t="s">
        <v>1481</v>
      </c>
      <c r="E96" s="784">
        <v>7000.0</v>
      </c>
      <c r="F96" s="772" t="s">
        <v>3022</v>
      </c>
      <c r="G96" s="782" t="s">
        <v>2550</v>
      </c>
      <c r="H96" s="782" t="s">
        <v>29</v>
      </c>
      <c r="I96" s="782" t="s">
        <v>2551</v>
      </c>
      <c r="J96" s="782">
        <v>43620.0</v>
      </c>
      <c r="K96" s="785" t="s">
        <v>3840</v>
      </c>
      <c r="L96" s="781"/>
      <c r="M96" s="781"/>
      <c r="N96" s="781"/>
      <c r="O96" s="781"/>
      <c r="P96" s="781"/>
      <c r="Q96" s="781"/>
      <c r="R96" s="781"/>
      <c r="S96" s="781"/>
      <c r="T96" s="781"/>
      <c r="U96" s="781"/>
      <c r="V96" s="781"/>
      <c r="W96" s="781"/>
      <c r="X96" s="781"/>
      <c r="Y96" s="781"/>
      <c r="Z96" s="781"/>
      <c r="AA96" s="781"/>
      <c r="AB96" s="781"/>
      <c r="AC96" s="781"/>
      <c r="AD96" s="781"/>
      <c r="AE96" s="781"/>
    </row>
    <row r="97" ht="15.75" customHeight="1">
      <c r="A97" s="786">
        <v>44039.0</v>
      </c>
      <c r="B97" s="787" t="s">
        <v>3425</v>
      </c>
      <c r="C97" s="788" t="s">
        <v>2547</v>
      </c>
      <c r="D97" s="772" t="s">
        <v>6346</v>
      </c>
      <c r="E97" s="784">
        <v>20000.0</v>
      </c>
      <c r="F97" s="772" t="s">
        <v>3424</v>
      </c>
      <c r="G97" s="782" t="s">
        <v>2550</v>
      </c>
      <c r="H97" s="782" t="s">
        <v>29</v>
      </c>
      <c r="I97" s="782" t="s">
        <v>2551</v>
      </c>
      <c r="J97" s="782">
        <v>43840.0</v>
      </c>
      <c r="K97" s="785" t="s">
        <v>3836</v>
      </c>
      <c r="L97" s="781"/>
      <c r="M97" s="781"/>
      <c r="N97" s="781"/>
      <c r="O97" s="781"/>
      <c r="P97" s="781"/>
      <c r="Q97" s="781"/>
      <c r="R97" s="781"/>
      <c r="S97" s="781"/>
      <c r="T97" s="781"/>
      <c r="U97" s="781"/>
      <c r="V97" s="781"/>
      <c r="W97" s="781"/>
      <c r="X97" s="781"/>
      <c r="Y97" s="781"/>
      <c r="Z97" s="781"/>
      <c r="AA97" s="781"/>
      <c r="AB97" s="781"/>
      <c r="AC97" s="781"/>
      <c r="AD97" s="781"/>
      <c r="AE97" s="781"/>
    </row>
    <row r="98" ht="15.75" customHeight="1">
      <c r="A98" s="786">
        <v>44039.0</v>
      </c>
      <c r="B98" s="790" t="s">
        <v>3041</v>
      </c>
      <c r="C98" s="788" t="s">
        <v>2547</v>
      </c>
      <c r="D98" s="772" t="s">
        <v>6346</v>
      </c>
      <c r="E98" s="784">
        <v>5000.0</v>
      </c>
      <c r="F98" s="772" t="s">
        <v>3040</v>
      </c>
      <c r="G98" s="782" t="s">
        <v>2550</v>
      </c>
      <c r="H98" s="782" t="s">
        <v>29</v>
      </c>
      <c r="I98" s="782" t="s">
        <v>2551</v>
      </c>
      <c r="J98" s="782">
        <v>43605.0</v>
      </c>
      <c r="K98" s="785" t="s">
        <v>3836</v>
      </c>
      <c r="L98" s="781"/>
      <c r="M98" s="781"/>
      <c r="N98" s="781"/>
      <c r="O98" s="781"/>
      <c r="P98" s="781"/>
      <c r="Q98" s="781"/>
      <c r="R98" s="781"/>
      <c r="S98" s="781"/>
      <c r="T98" s="781"/>
      <c r="U98" s="781"/>
      <c r="V98" s="781"/>
      <c r="W98" s="781"/>
      <c r="X98" s="781"/>
      <c r="Y98" s="781"/>
      <c r="Z98" s="781"/>
      <c r="AA98" s="781"/>
      <c r="AB98" s="781"/>
      <c r="AC98" s="781"/>
      <c r="AD98" s="781"/>
      <c r="AE98" s="781"/>
    </row>
    <row r="99" ht="15.75" customHeight="1">
      <c r="A99" s="786">
        <v>44040.0</v>
      </c>
      <c r="B99" s="787" t="s">
        <v>2982</v>
      </c>
      <c r="C99" s="788" t="s">
        <v>2547</v>
      </c>
      <c r="D99" s="772" t="s">
        <v>6346</v>
      </c>
      <c r="E99" s="784">
        <v>10000.0</v>
      </c>
      <c r="F99" s="772" t="s">
        <v>2981</v>
      </c>
      <c r="G99" s="782" t="s">
        <v>2550</v>
      </c>
      <c r="H99" s="782" t="s">
        <v>29</v>
      </c>
      <c r="I99" s="782" t="s">
        <v>2551</v>
      </c>
      <c r="J99" s="782">
        <v>43703.0</v>
      </c>
      <c r="K99" s="785" t="s">
        <v>4206</v>
      </c>
      <c r="L99" s="781"/>
      <c r="M99" s="781"/>
      <c r="N99" s="781"/>
      <c r="O99" s="781"/>
      <c r="P99" s="781"/>
      <c r="Q99" s="781"/>
      <c r="R99" s="781"/>
      <c r="S99" s="781"/>
      <c r="T99" s="781"/>
      <c r="U99" s="781"/>
      <c r="V99" s="781"/>
      <c r="W99" s="781"/>
      <c r="X99" s="781"/>
      <c r="Y99" s="781"/>
      <c r="Z99" s="781"/>
      <c r="AA99" s="781"/>
      <c r="AB99" s="781"/>
      <c r="AC99" s="781"/>
      <c r="AD99" s="781"/>
      <c r="AE99" s="781"/>
    </row>
    <row r="100" ht="15.75" customHeight="1">
      <c r="A100" s="782">
        <v>44041.0</v>
      </c>
      <c r="B100" s="783" t="s">
        <v>6356</v>
      </c>
      <c r="C100" s="772" t="s">
        <v>2547</v>
      </c>
      <c r="D100" s="772" t="s">
        <v>6345</v>
      </c>
      <c r="E100" s="784">
        <v>0.0</v>
      </c>
      <c r="F100" s="772" t="s">
        <v>6357</v>
      </c>
      <c r="G100" s="782"/>
      <c r="H100" s="782"/>
      <c r="I100" s="782"/>
      <c r="J100" s="782"/>
      <c r="K100" s="785"/>
      <c r="L100" s="781"/>
      <c r="M100" s="781"/>
      <c r="N100" s="781"/>
      <c r="O100" s="781"/>
      <c r="P100" s="781"/>
      <c r="Q100" s="781"/>
      <c r="R100" s="781"/>
      <c r="S100" s="781"/>
      <c r="T100" s="781"/>
      <c r="U100" s="781"/>
      <c r="V100" s="781"/>
      <c r="W100" s="781"/>
      <c r="X100" s="781"/>
      <c r="Y100" s="781"/>
      <c r="Z100" s="781"/>
      <c r="AA100" s="781"/>
      <c r="AB100" s="781"/>
      <c r="AC100" s="781"/>
      <c r="AD100" s="781"/>
      <c r="AE100" s="781"/>
    </row>
    <row r="101" ht="15.75" customHeight="1">
      <c r="A101" s="786">
        <v>44041.0</v>
      </c>
      <c r="B101" s="790" t="s">
        <v>2941</v>
      </c>
      <c r="C101" s="788" t="s">
        <v>2547</v>
      </c>
      <c r="D101" s="772" t="s">
        <v>6346</v>
      </c>
      <c r="E101" s="784">
        <v>151239.98</v>
      </c>
      <c r="F101" s="772" t="s">
        <v>2940</v>
      </c>
      <c r="G101" s="782" t="s">
        <v>2550</v>
      </c>
      <c r="H101" s="782" t="s">
        <v>29</v>
      </c>
      <c r="I101" s="782" t="s">
        <v>2551</v>
      </c>
      <c r="J101" s="782">
        <v>43888.0</v>
      </c>
      <c r="K101" s="785" t="s">
        <v>3828</v>
      </c>
      <c r="L101" s="781"/>
      <c r="M101" s="781"/>
      <c r="N101" s="781"/>
      <c r="O101" s="781"/>
      <c r="P101" s="781"/>
      <c r="Q101" s="781"/>
      <c r="R101" s="781"/>
      <c r="S101" s="781"/>
      <c r="T101" s="781"/>
      <c r="U101" s="781"/>
      <c r="V101" s="781"/>
      <c r="W101" s="781"/>
      <c r="X101" s="781"/>
      <c r="Y101" s="781"/>
      <c r="Z101" s="781"/>
      <c r="AA101" s="781"/>
      <c r="AB101" s="781"/>
      <c r="AC101" s="781"/>
      <c r="AD101" s="781"/>
      <c r="AE101" s="781"/>
    </row>
    <row r="102" ht="15.75" customHeight="1">
      <c r="A102" s="786">
        <v>44041.0</v>
      </c>
      <c r="B102" s="787" t="s">
        <v>3649</v>
      </c>
      <c r="C102" s="788" t="s">
        <v>3632</v>
      </c>
      <c r="D102" s="772" t="s">
        <v>6346</v>
      </c>
      <c r="E102" s="784">
        <v>10000.0</v>
      </c>
      <c r="F102" s="772" t="s">
        <v>430</v>
      </c>
      <c r="G102" s="782" t="s">
        <v>18</v>
      </c>
      <c r="H102" s="782" t="s">
        <v>29</v>
      </c>
      <c r="I102" s="782" t="s">
        <v>2803</v>
      </c>
      <c r="J102" s="782">
        <v>43934.0</v>
      </c>
      <c r="K102" s="785" t="s">
        <v>3824</v>
      </c>
      <c r="L102" s="781"/>
      <c r="M102" s="781"/>
      <c r="N102" s="781"/>
      <c r="O102" s="781"/>
      <c r="P102" s="781"/>
      <c r="Q102" s="781"/>
      <c r="R102" s="781"/>
      <c r="S102" s="781"/>
      <c r="T102" s="781"/>
      <c r="U102" s="781"/>
      <c r="V102" s="781"/>
      <c r="W102" s="781"/>
      <c r="X102" s="781"/>
      <c r="Y102" s="781"/>
      <c r="Z102" s="781"/>
      <c r="AA102" s="781"/>
      <c r="AB102" s="781"/>
      <c r="AC102" s="781"/>
      <c r="AD102" s="781"/>
      <c r="AE102" s="781"/>
    </row>
    <row r="103" ht="15.75" customHeight="1">
      <c r="A103" s="782">
        <v>44042.0</v>
      </c>
      <c r="B103" s="792" t="s">
        <v>6358</v>
      </c>
      <c r="C103" s="772" t="s">
        <v>3820</v>
      </c>
      <c r="D103" s="772" t="s">
        <v>6345</v>
      </c>
      <c r="E103" s="784">
        <v>0.0</v>
      </c>
      <c r="F103" s="772" t="s">
        <v>3961</v>
      </c>
      <c r="G103" s="772" t="s">
        <v>2550</v>
      </c>
      <c r="H103" s="772" t="s">
        <v>29</v>
      </c>
      <c r="I103" s="772" t="s">
        <v>2550</v>
      </c>
      <c r="J103" s="782">
        <v>43838.0</v>
      </c>
      <c r="K103" s="789" t="s">
        <v>3962</v>
      </c>
      <c r="L103" s="781"/>
      <c r="M103" s="781"/>
      <c r="N103" s="781"/>
      <c r="O103" s="781"/>
      <c r="P103" s="781"/>
      <c r="Q103" s="781"/>
      <c r="R103" s="781"/>
      <c r="S103" s="781"/>
      <c r="T103" s="781"/>
      <c r="U103" s="781"/>
      <c r="V103" s="781"/>
      <c r="W103" s="781"/>
      <c r="X103" s="781"/>
      <c r="Y103" s="781"/>
      <c r="Z103" s="781"/>
      <c r="AA103" s="781"/>
      <c r="AB103" s="781"/>
      <c r="AC103" s="781"/>
      <c r="AD103" s="781"/>
      <c r="AE103" s="781"/>
    </row>
    <row r="104" ht="15.75" customHeight="1">
      <c r="A104" s="786">
        <v>44042.0</v>
      </c>
      <c r="B104" s="787" t="s">
        <v>3716</v>
      </c>
      <c r="C104" s="788" t="s">
        <v>3632</v>
      </c>
      <c r="D104" s="772" t="s">
        <v>6346</v>
      </c>
      <c r="E104" s="784">
        <v>10000.0</v>
      </c>
      <c r="F104" s="772" t="s">
        <v>3715</v>
      </c>
      <c r="G104" s="782" t="s">
        <v>18</v>
      </c>
      <c r="H104" s="782" t="s">
        <v>29</v>
      </c>
      <c r="I104" s="782" t="s">
        <v>2803</v>
      </c>
      <c r="J104" s="782">
        <v>43635.0</v>
      </c>
      <c r="K104" s="785" t="s">
        <v>4206</v>
      </c>
      <c r="L104" s="781"/>
      <c r="M104" s="781"/>
      <c r="N104" s="781"/>
      <c r="O104" s="781"/>
      <c r="P104" s="781"/>
      <c r="Q104" s="781"/>
      <c r="R104" s="781"/>
      <c r="S104" s="781"/>
      <c r="T104" s="781"/>
      <c r="U104" s="781"/>
      <c r="V104" s="781"/>
      <c r="W104" s="781"/>
      <c r="X104" s="781"/>
      <c r="Y104" s="781"/>
      <c r="Z104" s="781"/>
      <c r="AA104" s="781"/>
      <c r="AB104" s="781"/>
      <c r="AC104" s="781"/>
      <c r="AD104" s="781"/>
      <c r="AE104" s="781"/>
    </row>
    <row r="105" ht="15.75" customHeight="1">
      <c r="A105" s="782">
        <v>44044.0</v>
      </c>
      <c r="B105" s="783" t="s">
        <v>3415</v>
      </c>
      <c r="C105" s="772" t="s">
        <v>2547</v>
      </c>
      <c r="D105" s="772" t="s">
        <v>6345</v>
      </c>
      <c r="E105" s="784">
        <v>151239.98</v>
      </c>
      <c r="F105" s="772" t="s">
        <v>3414</v>
      </c>
      <c r="G105" s="782" t="s">
        <v>2550</v>
      </c>
      <c r="H105" s="782" t="s">
        <v>29</v>
      </c>
      <c r="I105" s="782" t="s">
        <v>2551</v>
      </c>
      <c r="J105" s="782">
        <v>43668.0</v>
      </c>
      <c r="K105" s="785" t="s">
        <v>4206</v>
      </c>
      <c r="L105" s="781"/>
      <c r="M105" s="781"/>
      <c r="N105" s="781"/>
      <c r="O105" s="781"/>
      <c r="P105" s="781"/>
      <c r="Q105" s="781"/>
      <c r="R105" s="781"/>
      <c r="S105" s="781"/>
      <c r="T105" s="781"/>
      <c r="U105" s="781"/>
      <c r="V105" s="781"/>
      <c r="W105" s="781"/>
      <c r="X105" s="781"/>
      <c r="Y105" s="781"/>
      <c r="Z105" s="781"/>
      <c r="AA105" s="781"/>
      <c r="AB105" s="781"/>
      <c r="AC105" s="781"/>
      <c r="AD105" s="781"/>
      <c r="AE105" s="781"/>
    </row>
    <row r="106" ht="15.75" customHeight="1">
      <c r="A106" s="786">
        <v>44046.0</v>
      </c>
      <c r="B106" s="787" t="s">
        <v>3056</v>
      </c>
      <c r="C106" s="788" t="s">
        <v>2547</v>
      </c>
      <c r="D106" s="772" t="s">
        <v>6346</v>
      </c>
      <c r="E106" s="784">
        <v>3000.0</v>
      </c>
      <c r="F106" s="772" t="s">
        <v>3055</v>
      </c>
      <c r="G106" s="782" t="s">
        <v>2550</v>
      </c>
      <c r="H106" s="782" t="s">
        <v>29</v>
      </c>
      <c r="I106" s="782" t="s">
        <v>2562</v>
      </c>
      <c r="J106" s="782">
        <v>43559.0</v>
      </c>
      <c r="K106" s="785" t="s">
        <v>4206</v>
      </c>
      <c r="L106" s="781"/>
      <c r="M106" s="781"/>
      <c r="N106" s="781"/>
      <c r="O106" s="781"/>
      <c r="P106" s="781"/>
      <c r="Q106" s="781"/>
      <c r="R106" s="781"/>
      <c r="S106" s="781"/>
      <c r="T106" s="781"/>
      <c r="U106" s="781"/>
      <c r="V106" s="781"/>
      <c r="W106" s="781"/>
      <c r="X106" s="781"/>
      <c r="Y106" s="781"/>
      <c r="Z106" s="781"/>
      <c r="AA106" s="781"/>
      <c r="AB106" s="781"/>
      <c r="AC106" s="781"/>
      <c r="AD106" s="781"/>
      <c r="AE106" s="781"/>
    </row>
    <row r="107" ht="15.75" customHeight="1">
      <c r="A107" s="786">
        <v>44046.0</v>
      </c>
      <c r="B107" s="787" t="s">
        <v>3446</v>
      </c>
      <c r="C107" s="788" t="s">
        <v>2547</v>
      </c>
      <c r="D107" s="772" t="s">
        <v>6346</v>
      </c>
      <c r="E107" s="784">
        <v>6500.0</v>
      </c>
      <c r="F107" s="772" t="s">
        <v>3445</v>
      </c>
      <c r="G107" s="782" t="s">
        <v>2550</v>
      </c>
      <c r="H107" s="782" t="s">
        <v>29</v>
      </c>
      <c r="I107" s="782" t="s">
        <v>2551</v>
      </c>
      <c r="J107" s="782">
        <v>43675.0</v>
      </c>
      <c r="K107" s="785" t="s">
        <v>4206</v>
      </c>
      <c r="L107" s="781"/>
      <c r="M107" s="781"/>
      <c r="N107" s="781"/>
      <c r="O107" s="781"/>
      <c r="P107" s="781"/>
      <c r="Q107" s="781"/>
      <c r="R107" s="781"/>
      <c r="S107" s="781"/>
      <c r="T107" s="781"/>
      <c r="U107" s="781"/>
      <c r="V107" s="781"/>
      <c r="W107" s="781"/>
      <c r="X107" s="781"/>
      <c r="Y107" s="781"/>
      <c r="Z107" s="781"/>
      <c r="AA107" s="781"/>
      <c r="AB107" s="781"/>
      <c r="AC107" s="781"/>
      <c r="AD107" s="781"/>
      <c r="AE107" s="781"/>
    </row>
    <row r="108" ht="15.75" customHeight="1">
      <c r="A108" s="786">
        <v>44048.0</v>
      </c>
      <c r="B108" s="790" t="s">
        <v>6350</v>
      </c>
      <c r="C108" s="788" t="s">
        <v>3820</v>
      </c>
      <c r="D108" s="772" t="s">
        <v>6346</v>
      </c>
      <c r="E108" s="784">
        <v>10000.0</v>
      </c>
      <c r="F108" s="772" t="s">
        <v>4677</v>
      </c>
      <c r="G108" s="772" t="s">
        <v>2550</v>
      </c>
      <c r="H108" s="772" t="s">
        <v>29</v>
      </c>
      <c r="I108" s="772" t="s">
        <v>2550</v>
      </c>
      <c r="J108" s="782">
        <v>44252.0</v>
      </c>
      <c r="K108" s="789" t="s">
        <v>3836</v>
      </c>
      <c r="L108" s="781"/>
      <c r="M108" s="781"/>
      <c r="N108" s="781"/>
      <c r="O108" s="781"/>
      <c r="P108" s="781"/>
      <c r="Q108" s="781"/>
      <c r="R108" s="781"/>
      <c r="S108" s="781"/>
      <c r="T108" s="781"/>
      <c r="U108" s="781"/>
      <c r="V108" s="781"/>
      <c r="W108" s="781"/>
      <c r="X108" s="781"/>
      <c r="Y108" s="781"/>
      <c r="Z108" s="781"/>
      <c r="AA108" s="781"/>
      <c r="AB108" s="781"/>
      <c r="AC108" s="781"/>
      <c r="AD108" s="781"/>
      <c r="AE108" s="781"/>
    </row>
    <row r="109" ht="15.75" customHeight="1">
      <c r="A109" s="786">
        <v>44048.0</v>
      </c>
      <c r="B109" s="787" t="s">
        <v>3333</v>
      </c>
      <c r="C109" s="788" t="s">
        <v>2547</v>
      </c>
      <c r="D109" s="772" t="s">
        <v>6346</v>
      </c>
      <c r="E109" s="784">
        <v>33000.0</v>
      </c>
      <c r="F109" s="772" t="s">
        <v>3332</v>
      </c>
      <c r="G109" s="782" t="s">
        <v>2550</v>
      </c>
      <c r="H109" s="782" t="s">
        <v>29</v>
      </c>
      <c r="I109" s="782" t="s">
        <v>2551</v>
      </c>
      <c r="J109" s="782">
        <v>43699.0</v>
      </c>
      <c r="K109" s="785" t="s">
        <v>4206</v>
      </c>
      <c r="L109" s="781"/>
      <c r="M109" s="781"/>
      <c r="N109" s="781"/>
      <c r="O109" s="781"/>
      <c r="P109" s="781"/>
      <c r="Q109" s="781"/>
      <c r="R109" s="781"/>
      <c r="S109" s="781"/>
      <c r="T109" s="781"/>
      <c r="U109" s="781"/>
      <c r="V109" s="781"/>
      <c r="W109" s="781"/>
      <c r="X109" s="781"/>
      <c r="Y109" s="781"/>
      <c r="Z109" s="781"/>
      <c r="AA109" s="781"/>
      <c r="AB109" s="781"/>
      <c r="AC109" s="781"/>
      <c r="AD109" s="781"/>
      <c r="AE109" s="781"/>
    </row>
    <row r="110" ht="15.75" customHeight="1">
      <c r="A110" s="786">
        <v>44049.0</v>
      </c>
      <c r="B110" s="787" t="s">
        <v>3415</v>
      </c>
      <c r="C110" s="788" t="s">
        <v>2547</v>
      </c>
      <c r="D110" s="772" t="s">
        <v>1481</v>
      </c>
      <c r="E110" s="784">
        <v>5000.0</v>
      </c>
      <c r="F110" s="772" t="s">
        <v>3414</v>
      </c>
      <c r="G110" s="782" t="s">
        <v>2550</v>
      </c>
      <c r="H110" s="782" t="s">
        <v>29</v>
      </c>
      <c r="I110" s="782" t="s">
        <v>2551</v>
      </c>
      <c r="J110" s="782">
        <v>43668.0</v>
      </c>
      <c r="K110" s="785" t="s">
        <v>4206</v>
      </c>
      <c r="L110" s="781"/>
      <c r="M110" s="781"/>
      <c r="N110" s="781"/>
      <c r="O110" s="781"/>
      <c r="P110" s="781"/>
      <c r="Q110" s="781"/>
      <c r="R110" s="781"/>
      <c r="S110" s="781"/>
      <c r="T110" s="781"/>
      <c r="U110" s="781"/>
      <c r="V110" s="781"/>
      <c r="W110" s="781"/>
      <c r="X110" s="781"/>
      <c r="Y110" s="781"/>
      <c r="Z110" s="781"/>
      <c r="AA110" s="781"/>
      <c r="AB110" s="781"/>
      <c r="AC110" s="781"/>
      <c r="AD110" s="781"/>
      <c r="AE110" s="781"/>
    </row>
    <row r="111" ht="15.75" customHeight="1">
      <c r="A111" s="786">
        <v>44049.0</v>
      </c>
      <c r="B111" s="787" t="s">
        <v>2941</v>
      </c>
      <c r="C111" s="788" t="s">
        <v>2547</v>
      </c>
      <c r="D111" s="772" t="s">
        <v>6346</v>
      </c>
      <c r="E111" s="784">
        <v>99216.1</v>
      </c>
      <c r="F111" s="772" t="s">
        <v>2940</v>
      </c>
      <c r="G111" s="782" t="s">
        <v>2550</v>
      </c>
      <c r="H111" s="782" t="s">
        <v>29</v>
      </c>
      <c r="I111" s="782" t="s">
        <v>2551</v>
      </c>
      <c r="J111" s="782">
        <v>43888.0</v>
      </c>
      <c r="K111" s="785" t="s">
        <v>3828</v>
      </c>
      <c r="L111" s="781"/>
      <c r="M111" s="781"/>
      <c r="N111" s="781"/>
      <c r="O111" s="781"/>
      <c r="P111" s="781"/>
      <c r="Q111" s="781"/>
      <c r="R111" s="781"/>
      <c r="S111" s="781"/>
      <c r="T111" s="781"/>
      <c r="U111" s="781"/>
      <c r="V111" s="781"/>
      <c r="W111" s="781"/>
      <c r="X111" s="781"/>
      <c r="Y111" s="781"/>
      <c r="Z111" s="781"/>
      <c r="AA111" s="781"/>
      <c r="AB111" s="781"/>
      <c r="AC111" s="781"/>
      <c r="AD111" s="781"/>
      <c r="AE111" s="781"/>
    </row>
    <row r="112" ht="15.75" customHeight="1">
      <c r="A112" s="786">
        <v>44050.0</v>
      </c>
      <c r="B112" s="787" t="s">
        <v>2982</v>
      </c>
      <c r="C112" s="788" t="s">
        <v>2547</v>
      </c>
      <c r="D112" s="772" t="s">
        <v>6346</v>
      </c>
      <c r="E112" s="784">
        <v>14000.0</v>
      </c>
      <c r="F112" s="772" t="s">
        <v>2981</v>
      </c>
      <c r="G112" s="782" t="s">
        <v>2550</v>
      </c>
      <c r="H112" s="782" t="s">
        <v>29</v>
      </c>
      <c r="I112" s="782" t="s">
        <v>2551</v>
      </c>
      <c r="J112" s="782">
        <v>43703.0</v>
      </c>
      <c r="K112" s="785" t="s">
        <v>4206</v>
      </c>
      <c r="L112" s="781"/>
      <c r="M112" s="781"/>
      <c r="N112" s="781"/>
      <c r="O112" s="781"/>
      <c r="P112" s="781"/>
      <c r="Q112" s="781"/>
      <c r="R112" s="781"/>
      <c r="S112" s="781"/>
      <c r="T112" s="781"/>
      <c r="U112" s="781"/>
      <c r="V112" s="781"/>
      <c r="W112" s="781"/>
      <c r="X112" s="781"/>
      <c r="Y112" s="781"/>
      <c r="Z112" s="781"/>
      <c r="AA112" s="781"/>
      <c r="AB112" s="781"/>
      <c r="AC112" s="781"/>
      <c r="AD112" s="781"/>
      <c r="AE112" s="781"/>
    </row>
    <row r="113" ht="15.75" customHeight="1">
      <c r="A113" s="786">
        <v>44050.0</v>
      </c>
      <c r="B113" s="787" t="s">
        <v>3409</v>
      </c>
      <c r="C113" s="788" t="s">
        <v>2547</v>
      </c>
      <c r="D113" s="772" t="s">
        <v>6346</v>
      </c>
      <c r="E113" s="784">
        <v>9000.0</v>
      </c>
      <c r="F113" s="772" t="s">
        <v>3408</v>
      </c>
      <c r="G113" s="782" t="s">
        <v>2550</v>
      </c>
      <c r="H113" s="782" t="s">
        <v>29</v>
      </c>
      <c r="I113" s="782" t="s">
        <v>2551</v>
      </c>
      <c r="J113" s="782">
        <v>43894.0</v>
      </c>
      <c r="K113" s="785" t="s">
        <v>3836</v>
      </c>
      <c r="L113" s="781"/>
      <c r="M113" s="781"/>
      <c r="N113" s="781"/>
      <c r="O113" s="781"/>
      <c r="P113" s="781"/>
      <c r="Q113" s="781"/>
      <c r="R113" s="781"/>
      <c r="S113" s="781"/>
      <c r="T113" s="781"/>
      <c r="U113" s="781"/>
      <c r="V113" s="781"/>
      <c r="W113" s="781"/>
      <c r="X113" s="781"/>
      <c r="Y113" s="781"/>
      <c r="Z113" s="781"/>
      <c r="AA113" s="781"/>
      <c r="AB113" s="781"/>
      <c r="AC113" s="781"/>
      <c r="AD113" s="781"/>
      <c r="AE113" s="781"/>
    </row>
    <row r="114" ht="15.75" customHeight="1">
      <c r="A114" s="786">
        <v>44050.0</v>
      </c>
      <c r="B114" s="790" t="s">
        <v>3086</v>
      </c>
      <c r="C114" s="788" t="s">
        <v>2547</v>
      </c>
      <c r="D114" s="772" t="s">
        <v>6346</v>
      </c>
      <c r="E114" s="784">
        <v>20000.0</v>
      </c>
      <c r="F114" s="772" t="s">
        <v>3085</v>
      </c>
      <c r="G114" s="782" t="s">
        <v>2550</v>
      </c>
      <c r="H114" s="782" t="s">
        <v>29</v>
      </c>
      <c r="I114" s="782" t="s">
        <v>2562</v>
      </c>
      <c r="J114" s="782">
        <v>43664.0</v>
      </c>
      <c r="K114" s="785" t="s">
        <v>4206</v>
      </c>
      <c r="L114" s="781"/>
      <c r="M114" s="781"/>
      <c r="N114" s="781"/>
      <c r="O114" s="781"/>
      <c r="P114" s="781"/>
      <c r="Q114" s="781"/>
      <c r="R114" s="781"/>
      <c r="S114" s="781"/>
      <c r="T114" s="781"/>
      <c r="U114" s="781"/>
      <c r="V114" s="781"/>
      <c r="W114" s="781"/>
      <c r="X114" s="781"/>
      <c r="Y114" s="781"/>
      <c r="Z114" s="781"/>
      <c r="AA114" s="781"/>
      <c r="AB114" s="781"/>
      <c r="AC114" s="781"/>
      <c r="AD114" s="781"/>
      <c r="AE114" s="781"/>
    </row>
    <row r="115" ht="15.75" customHeight="1">
      <c r="A115" s="782">
        <v>44053.0</v>
      </c>
      <c r="B115" s="783" t="s">
        <v>3572</v>
      </c>
      <c r="C115" s="772" t="s">
        <v>2547</v>
      </c>
      <c r="D115" s="772" t="s">
        <v>6345</v>
      </c>
      <c r="E115" s="784">
        <v>0.0</v>
      </c>
      <c r="F115" s="772" t="s">
        <v>3571</v>
      </c>
      <c r="G115" s="782" t="s">
        <v>2550</v>
      </c>
      <c r="H115" s="782" t="s">
        <v>29</v>
      </c>
      <c r="I115" s="782" t="s">
        <v>2551</v>
      </c>
      <c r="J115" s="782">
        <v>43738.0</v>
      </c>
      <c r="K115" s="785" t="s">
        <v>3840</v>
      </c>
      <c r="L115" s="781"/>
      <c r="M115" s="781"/>
      <c r="N115" s="781"/>
      <c r="O115" s="781"/>
      <c r="P115" s="781"/>
      <c r="Q115" s="781"/>
      <c r="R115" s="781"/>
      <c r="S115" s="781"/>
      <c r="T115" s="781"/>
      <c r="U115" s="781"/>
      <c r="V115" s="781"/>
      <c r="W115" s="781"/>
      <c r="X115" s="781"/>
      <c r="Y115" s="781"/>
      <c r="Z115" s="781"/>
      <c r="AA115" s="781"/>
      <c r="AB115" s="781"/>
      <c r="AC115" s="781"/>
      <c r="AD115" s="781"/>
      <c r="AE115" s="781"/>
    </row>
    <row r="116" ht="15.75" customHeight="1">
      <c r="A116" s="786">
        <v>44057.0</v>
      </c>
      <c r="B116" s="790" t="s">
        <v>3516</v>
      </c>
      <c r="C116" s="788" t="s">
        <v>2547</v>
      </c>
      <c r="D116" s="772" t="s">
        <v>6346</v>
      </c>
      <c r="E116" s="784">
        <v>200000.0</v>
      </c>
      <c r="F116" s="772" t="s">
        <v>3515</v>
      </c>
      <c r="G116" s="782" t="s">
        <v>2550</v>
      </c>
      <c r="H116" s="782" t="s">
        <v>29</v>
      </c>
      <c r="I116" s="782" t="s">
        <v>2551</v>
      </c>
      <c r="J116" s="782">
        <v>43717.0</v>
      </c>
      <c r="K116" s="785" t="s">
        <v>4206</v>
      </c>
      <c r="L116" s="781"/>
      <c r="M116" s="781"/>
      <c r="N116" s="781"/>
      <c r="O116" s="781"/>
      <c r="P116" s="781"/>
      <c r="Q116" s="781"/>
      <c r="R116" s="781"/>
      <c r="S116" s="781"/>
      <c r="T116" s="781"/>
      <c r="U116" s="781"/>
      <c r="V116" s="781"/>
      <c r="W116" s="781"/>
      <c r="X116" s="781"/>
      <c r="Y116" s="781"/>
      <c r="Z116" s="781"/>
      <c r="AA116" s="781"/>
      <c r="AB116" s="781"/>
      <c r="AC116" s="781"/>
      <c r="AD116" s="781"/>
      <c r="AE116" s="781"/>
    </row>
    <row r="117" ht="15.75" customHeight="1">
      <c r="A117" s="786">
        <v>44060.0</v>
      </c>
      <c r="B117" s="787" t="s">
        <v>3246</v>
      </c>
      <c r="C117" s="788" t="s">
        <v>2547</v>
      </c>
      <c r="D117" s="772" t="s">
        <v>6346</v>
      </c>
      <c r="E117" s="784">
        <v>6300.0</v>
      </c>
      <c r="F117" s="772" t="s">
        <v>3245</v>
      </c>
      <c r="G117" s="782" t="s">
        <v>2550</v>
      </c>
      <c r="H117" s="782" t="s">
        <v>29</v>
      </c>
      <c r="I117" s="782" t="s">
        <v>2551</v>
      </c>
      <c r="J117" s="782">
        <v>43564.0</v>
      </c>
      <c r="K117" s="785" t="s">
        <v>3840</v>
      </c>
      <c r="L117" s="781"/>
      <c r="M117" s="781"/>
      <c r="N117" s="781"/>
      <c r="O117" s="781"/>
      <c r="P117" s="781"/>
      <c r="Q117" s="781"/>
      <c r="R117" s="781"/>
      <c r="S117" s="781"/>
      <c r="T117" s="781"/>
      <c r="U117" s="781"/>
      <c r="V117" s="781"/>
      <c r="W117" s="781"/>
      <c r="X117" s="781"/>
      <c r="Y117" s="781"/>
      <c r="Z117" s="781"/>
      <c r="AA117" s="781"/>
      <c r="AB117" s="781"/>
      <c r="AC117" s="781"/>
      <c r="AD117" s="781"/>
      <c r="AE117" s="781"/>
    </row>
    <row r="118" ht="15.75" customHeight="1">
      <c r="A118" s="782">
        <v>44061.0</v>
      </c>
      <c r="B118" s="783" t="s">
        <v>3372</v>
      </c>
      <c r="C118" s="772" t="s">
        <v>2547</v>
      </c>
      <c r="D118" s="772" t="s">
        <v>6345</v>
      </c>
      <c r="E118" s="784">
        <v>394570.05</v>
      </c>
      <c r="F118" s="772" t="s">
        <v>3371</v>
      </c>
      <c r="G118" s="782" t="s">
        <v>2550</v>
      </c>
      <c r="H118" s="782" t="s">
        <v>29</v>
      </c>
      <c r="I118" s="782" t="s">
        <v>2551</v>
      </c>
      <c r="J118" s="782">
        <v>43700.0</v>
      </c>
      <c r="K118" s="785" t="s">
        <v>4206</v>
      </c>
      <c r="L118" s="781"/>
      <c r="M118" s="781"/>
      <c r="N118" s="781"/>
      <c r="O118" s="781"/>
      <c r="P118" s="781"/>
      <c r="Q118" s="781"/>
      <c r="R118" s="781"/>
      <c r="S118" s="781"/>
      <c r="T118" s="781"/>
      <c r="U118" s="781"/>
      <c r="V118" s="781"/>
      <c r="W118" s="781"/>
      <c r="X118" s="781"/>
      <c r="Y118" s="781"/>
      <c r="Z118" s="781"/>
      <c r="AA118" s="781"/>
      <c r="AB118" s="781"/>
      <c r="AC118" s="781"/>
      <c r="AD118" s="781"/>
      <c r="AE118" s="781"/>
    </row>
    <row r="119" ht="15.75" customHeight="1">
      <c r="A119" s="786">
        <v>44061.0</v>
      </c>
      <c r="B119" s="787" t="s">
        <v>3425</v>
      </c>
      <c r="C119" s="788" t="s">
        <v>2547</v>
      </c>
      <c r="D119" s="772" t="s">
        <v>6346</v>
      </c>
      <c r="E119" s="784">
        <v>7000.0</v>
      </c>
      <c r="F119" s="772" t="s">
        <v>3424</v>
      </c>
      <c r="G119" s="782" t="s">
        <v>2550</v>
      </c>
      <c r="H119" s="782" t="s">
        <v>29</v>
      </c>
      <c r="I119" s="782" t="s">
        <v>2551</v>
      </c>
      <c r="J119" s="782">
        <v>43840.0</v>
      </c>
      <c r="K119" s="785" t="s">
        <v>3836</v>
      </c>
      <c r="L119" s="781"/>
      <c r="M119" s="781"/>
      <c r="N119" s="781"/>
      <c r="O119" s="781"/>
      <c r="P119" s="781"/>
      <c r="Q119" s="781"/>
      <c r="R119" s="781"/>
      <c r="S119" s="781"/>
      <c r="T119" s="781"/>
      <c r="U119" s="781"/>
      <c r="V119" s="781"/>
      <c r="W119" s="781"/>
      <c r="X119" s="781"/>
      <c r="Y119" s="781"/>
      <c r="Z119" s="781"/>
      <c r="AA119" s="781"/>
      <c r="AB119" s="781"/>
      <c r="AC119" s="781"/>
      <c r="AD119" s="781"/>
      <c r="AE119" s="781"/>
    </row>
    <row r="120" ht="15.75" customHeight="1">
      <c r="A120" s="782">
        <v>44063.0</v>
      </c>
      <c r="B120" s="783" t="s">
        <v>2877</v>
      </c>
      <c r="C120" s="772" t="s">
        <v>2547</v>
      </c>
      <c r="D120" s="772" t="s">
        <v>6345</v>
      </c>
      <c r="E120" s="784">
        <v>99216.1</v>
      </c>
      <c r="F120" s="772" t="s">
        <v>2876</v>
      </c>
      <c r="G120" s="782" t="s">
        <v>2550</v>
      </c>
      <c r="H120" s="782" t="s">
        <v>29</v>
      </c>
      <c r="I120" s="782" t="s">
        <v>2551</v>
      </c>
      <c r="J120" s="782">
        <v>43675.0</v>
      </c>
      <c r="K120" s="785" t="s">
        <v>4206</v>
      </c>
      <c r="L120" s="781"/>
      <c r="M120" s="781"/>
      <c r="N120" s="781"/>
      <c r="O120" s="781"/>
      <c r="P120" s="781"/>
      <c r="Q120" s="781"/>
      <c r="R120" s="781"/>
      <c r="S120" s="781"/>
      <c r="T120" s="781"/>
      <c r="U120" s="781"/>
      <c r="V120" s="781"/>
      <c r="W120" s="781"/>
      <c r="X120" s="781"/>
      <c r="Y120" s="781"/>
      <c r="Z120" s="781"/>
      <c r="AA120" s="781"/>
      <c r="AB120" s="781"/>
      <c r="AC120" s="781"/>
      <c r="AD120" s="781"/>
      <c r="AE120" s="781"/>
    </row>
    <row r="121" ht="15.75" customHeight="1">
      <c r="A121" s="786">
        <v>44068.0</v>
      </c>
      <c r="B121" s="787" t="s">
        <v>3041</v>
      </c>
      <c r="C121" s="788" t="s">
        <v>2547</v>
      </c>
      <c r="D121" s="772" t="s">
        <v>6346</v>
      </c>
      <c r="E121" s="784">
        <v>130000.0</v>
      </c>
      <c r="F121" s="772" t="s">
        <v>3040</v>
      </c>
      <c r="G121" s="782" t="s">
        <v>2550</v>
      </c>
      <c r="H121" s="782" t="s">
        <v>29</v>
      </c>
      <c r="I121" s="782" t="s">
        <v>2551</v>
      </c>
      <c r="J121" s="782">
        <v>43605.0</v>
      </c>
      <c r="K121" s="785" t="s">
        <v>3836</v>
      </c>
      <c r="L121" s="781"/>
      <c r="M121" s="781"/>
      <c r="N121" s="781"/>
      <c r="O121" s="781"/>
      <c r="P121" s="781"/>
      <c r="Q121" s="781"/>
      <c r="R121" s="781"/>
      <c r="S121" s="781"/>
      <c r="T121" s="781"/>
      <c r="U121" s="781"/>
      <c r="V121" s="781"/>
      <c r="W121" s="781"/>
      <c r="X121" s="781"/>
      <c r="Y121" s="781"/>
      <c r="Z121" s="781"/>
      <c r="AA121" s="781"/>
      <c r="AB121" s="781"/>
      <c r="AC121" s="781"/>
      <c r="AD121" s="781"/>
      <c r="AE121" s="781"/>
    </row>
    <row r="122" ht="15.75" customHeight="1">
      <c r="A122" s="786">
        <v>44068.0</v>
      </c>
      <c r="B122" s="790" t="s">
        <v>3056</v>
      </c>
      <c r="C122" s="788" t="s">
        <v>2547</v>
      </c>
      <c r="D122" s="772" t="s">
        <v>6346</v>
      </c>
      <c r="E122" s="784">
        <v>5000.0</v>
      </c>
      <c r="F122" s="772" t="s">
        <v>3055</v>
      </c>
      <c r="G122" s="782" t="s">
        <v>2550</v>
      </c>
      <c r="H122" s="782" t="s">
        <v>29</v>
      </c>
      <c r="I122" s="782" t="s">
        <v>2562</v>
      </c>
      <c r="J122" s="782">
        <v>43559.0</v>
      </c>
      <c r="K122" s="785" t="s">
        <v>4206</v>
      </c>
      <c r="L122" s="781"/>
      <c r="M122" s="781"/>
      <c r="N122" s="781"/>
      <c r="O122" s="781"/>
      <c r="P122" s="781"/>
      <c r="Q122" s="781"/>
      <c r="R122" s="781"/>
      <c r="S122" s="781"/>
      <c r="T122" s="781"/>
      <c r="U122" s="781"/>
      <c r="V122" s="781"/>
      <c r="W122" s="781"/>
      <c r="X122" s="781"/>
      <c r="Y122" s="781"/>
      <c r="Z122" s="781"/>
      <c r="AA122" s="781"/>
      <c r="AB122" s="781"/>
      <c r="AC122" s="781"/>
      <c r="AD122" s="781"/>
      <c r="AE122" s="781"/>
    </row>
    <row r="123" ht="15.75" customHeight="1">
      <c r="A123" s="786">
        <v>44069.0</v>
      </c>
      <c r="B123" s="787" t="s">
        <v>6347</v>
      </c>
      <c r="C123" s="788" t="s">
        <v>3820</v>
      </c>
      <c r="D123" s="772" t="s">
        <v>6346</v>
      </c>
      <c r="E123" s="784">
        <v>1800.0</v>
      </c>
      <c r="F123" s="772" t="s">
        <v>5059</v>
      </c>
      <c r="G123" s="772" t="s">
        <v>2550</v>
      </c>
      <c r="H123" s="772" t="s">
        <v>29</v>
      </c>
      <c r="I123" s="772" t="s">
        <v>2550</v>
      </c>
      <c r="J123" s="782">
        <v>43749.0</v>
      </c>
      <c r="K123" s="789" t="s">
        <v>4206</v>
      </c>
      <c r="L123" s="781"/>
      <c r="M123" s="781"/>
      <c r="N123" s="781"/>
      <c r="O123" s="781"/>
      <c r="P123" s="781"/>
      <c r="Q123" s="781"/>
      <c r="R123" s="781"/>
      <c r="S123" s="781"/>
      <c r="T123" s="781"/>
      <c r="U123" s="781"/>
      <c r="V123" s="781"/>
      <c r="W123" s="781"/>
      <c r="X123" s="781"/>
      <c r="Y123" s="781"/>
      <c r="Z123" s="781"/>
      <c r="AA123" s="781"/>
      <c r="AB123" s="781"/>
      <c r="AC123" s="781"/>
      <c r="AD123" s="781"/>
      <c r="AE123" s="781"/>
    </row>
    <row r="124" ht="15.75" customHeight="1">
      <c r="A124" s="786">
        <v>44069.0</v>
      </c>
      <c r="B124" s="787" t="s">
        <v>2982</v>
      </c>
      <c r="C124" s="788" t="s">
        <v>2547</v>
      </c>
      <c r="D124" s="772" t="s">
        <v>6346</v>
      </c>
      <c r="E124" s="784">
        <v>20000.0</v>
      </c>
      <c r="F124" s="772" t="s">
        <v>2981</v>
      </c>
      <c r="G124" s="782" t="s">
        <v>2550</v>
      </c>
      <c r="H124" s="782" t="s">
        <v>29</v>
      </c>
      <c r="I124" s="782" t="s">
        <v>2551</v>
      </c>
      <c r="J124" s="782">
        <v>43703.0</v>
      </c>
      <c r="K124" s="785" t="s">
        <v>4206</v>
      </c>
      <c r="L124" s="781"/>
      <c r="M124" s="781"/>
      <c r="N124" s="781"/>
      <c r="O124" s="781"/>
      <c r="P124" s="781"/>
      <c r="Q124" s="781"/>
      <c r="R124" s="781"/>
      <c r="S124" s="781"/>
      <c r="T124" s="781"/>
      <c r="U124" s="781"/>
      <c r="V124" s="781"/>
      <c r="W124" s="781"/>
      <c r="X124" s="781"/>
      <c r="Y124" s="781"/>
      <c r="Z124" s="781"/>
      <c r="AA124" s="781"/>
      <c r="AB124" s="781"/>
      <c r="AC124" s="781"/>
      <c r="AD124" s="781"/>
      <c r="AE124" s="781"/>
    </row>
    <row r="125" ht="15.75" customHeight="1">
      <c r="A125" s="786">
        <v>44074.0</v>
      </c>
      <c r="B125" s="787" t="s">
        <v>3086</v>
      </c>
      <c r="C125" s="788" t="s">
        <v>2547</v>
      </c>
      <c r="D125" s="772" t="s">
        <v>6346</v>
      </c>
      <c r="E125" s="791">
        <v>150000.0</v>
      </c>
      <c r="F125" s="772" t="s">
        <v>3085</v>
      </c>
      <c r="G125" s="782" t="s">
        <v>2550</v>
      </c>
      <c r="H125" s="782" t="s">
        <v>29</v>
      </c>
      <c r="I125" s="782" t="s">
        <v>2562</v>
      </c>
      <c r="J125" s="782">
        <v>43664.0</v>
      </c>
      <c r="K125" s="785" t="s">
        <v>4206</v>
      </c>
      <c r="L125" s="781"/>
      <c r="M125" s="781"/>
      <c r="N125" s="781"/>
      <c r="O125" s="781"/>
      <c r="P125" s="781"/>
      <c r="Q125" s="781"/>
      <c r="R125" s="781"/>
      <c r="S125" s="781"/>
      <c r="T125" s="781"/>
      <c r="U125" s="781"/>
      <c r="V125" s="781"/>
      <c r="W125" s="781"/>
      <c r="X125" s="781"/>
      <c r="Y125" s="781"/>
      <c r="Z125" s="781"/>
      <c r="AA125" s="781"/>
      <c r="AB125" s="781"/>
      <c r="AC125" s="781"/>
      <c r="AD125" s="781"/>
      <c r="AE125" s="781"/>
    </row>
    <row r="126" ht="15.75" customHeight="1">
      <c r="A126" s="786">
        <v>44074.0</v>
      </c>
      <c r="B126" s="787" t="s">
        <v>3041</v>
      </c>
      <c r="C126" s="788" t="s">
        <v>2547</v>
      </c>
      <c r="D126" s="772" t="s">
        <v>6346</v>
      </c>
      <c r="E126" s="784">
        <v>20000.0</v>
      </c>
      <c r="F126" s="772" t="s">
        <v>3040</v>
      </c>
      <c r="G126" s="782" t="s">
        <v>2550</v>
      </c>
      <c r="H126" s="782" t="s">
        <v>29</v>
      </c>
      <c r="I126" s="782" t="s">
        <v>2551</v>
      </c>
      <c r="J126" s="782">
        <v>43605.0</v>
      </c>
      <c r="K126" s="785" t="s">
        <v>3836</v>
      </c>
      <c r="L126" s="781"/>
      <c r="M126" s="781"/>
      <c r="N126" s="781"/>
      <c r="O126" s="781"/>
      <c r="P126" s="781"/>
      <c r="Q126" s="781"/>
      <c r="R126" s="781"/>
      <c r="S126" s="781"/>
      <c r="T126" s="781"/>
      <c r="U126" s="781"/>
      <c r="V126" s="781"/>
      <c r="W126" s="781"/>
      <c r="X126" s="781"/>
      <c r="Y126" s="781"/>
      <c r="Z126" s="781"/>
      <c r="AA126" s="781"/>
      <c r="AB126" s="781"/>
      <c r="AC126" s="781"/>
      <c r="AD126" s="781"/>
      <c r="AE126" s="781"/>
    </row>
    <row r="127" ht="15.75" customHeight="1">
      <c r="A127" s="786">
        <v>44075.0</v>
      </c>
      <c r="B127" s="787" t="s">
        <v>3425</v>
      </c>
      <c r="C127" s="788" t="s">
        <v>2547</v>
      </c>
      <c r="D127" s="772" t="s">
        <v>6346</v>
      </c>
      <c r="E127" s="784">
        <v>194670.06</v>
      </c>
      <c r="F127" s="772" t="s">
        <v>3424</v>
      </c>
      <c r="G127" s="782" t="s">
        <v>2550</v>
      </c>
      <c r="H127" s="782" t="s">
        <v>29</v>
      </c>
      <c r="I127" s="782" t="s">
        <v>2551</v>
      </c>
      <c r="J127" s="782">
        <v>43840.0</v>
      </c>
      <c r="K127" s="785" t="s">
        <v>3836</v>
      </c>
      <c r="L127" s="781"/>
      <c r="M127" s="781"/>
      <c r="N127" s="781"/>
      <c r="O127" s="781"/>
      <c r="P127" s="781"/>
      <c r="Q127" s="781"/>
      <c r="R127" s="781"/>
      <c r="S127" s="781"/>
      <c r="T127" s="781"/>
      <c r="U127" s="781"/>
      <c r="V127" s="781"/>
      <c r="W127" s="781"/>
      <c r="X127" s="781"/>
      <c r="Y127" s="781"/>
      <c r="Z127" s="781"/>
      <c r="AA127" s="781"/>
      <c r="AB127" s="781"/>
      <c r="AC127" s="781"/>
      <c r="AD127" s="781"/>
      <c r="AE127" s="781"/>
    </row>
    <row r="128" ht="15.75" customHeight="1">
      <c r="A128" s="786">
        <v>44078.0</v>
      </c>
      <c r="B128" s="790" t="s">
        <v>3404</v>
      </c>
      <c r="C128" s="788" t="s">
        <v>2547</v>
      </c>
      <c r="D128" s="772" t="s">
        <v>6346</v>
      </c>
      <c r="E128" s="791">
        <v>5000.0</v>
      </c>
      <c r="F128" s="772" t="s">
        <v>3403</v>
      </c>
      <c r="G128" s="782" t="s">
        <v>2550</v>
      </c>
      <c r="H128" s="782" t="s">
        <v>29</v>
      </c>
      <c r="I128" s="782" t="s">
        <v>2562</v>
      </c>
      <c r="J128" s="782">
        <v>43564.0</v>
      </c>
      <c r="K128" s="785" t="s">
        <v>3824</v>
      </c>
      <c r="L128" s="781"/>
      <c r="M128" s="781"/>
      <c r="N128" s="781"/>
      <c r="O128" s="781"/>
      <c r="P128" s="781"/>
      <c r="Q128" s="781"/>
      <c r="R128" s="781"/>
      <c r="S128" s="781"/>
      <c r="T128" s="781"/>
      <c r="U128" s="781"/>
      <c r="V128" s="781"/>
      <c r="W128" s="781"/>
      <c r="X128" s="781"/>
      <c r="Y128" s="781"/>
      <c r="Z128" s="781"/>
      <c r="AA128" s="781"/>
      <c r="AB128" s="781"/>
      <c r="AC128" s="781"/>
      <c r="AD128" s="781"/>
      <c r="AE128" s="781"/>
    </row>
    <row r="129" ht="15.75" customHeight="1">
      <c r="A129" s="786">
        <v>44082.0</v>
      </c>
      <c r="B129" s="787" t="s">
        <v>3056</v>
      </c>
      <c r="C129" s="788" t="s">
        <v>2547</v>
      </c>
      <c r="D129" s="772" t="s">
        <v>6346</v>
      </c>
      <c r="E129" s="784">
        <v>14000.0</v>
      </c>
      <c r="F129" s="772" t="s">
        <v>3055</v>
      </c>
      <c r="G129" s="782" t="s">
        <v>2550</v>
      </c>
      <c r="H129" s="782" t="s">
        <v>29</v>
      </c>
      <c r="I129" s="782" t="s">
        <v>2562</v>
      </c>
      <c r="J129" s="782">
        <v>43559.0</v>
      </c>
      <c r="K129" s="785" t="s">
        <v>4206</v>
      </c>
      <c r="L129" s="781"/>
      <c r="M129" s="781"/>
      <c r="N129" s="781"/>
      <c r="O129" s="781"/>
      <c r="P129" s="781"/>
      <c r="Q129" s="781"/>
      <c r="R129" s="781"/>
      <c r="S129" s="781"/>
      <c r="T129" s="781"/>
      <c r="U129" s="781"/>
      <c r="V129" s="781"/>
      <c r="W129" s="781"/>
      <c r="X129" s="781"/>
      <c r="Y129" s="781"/>
      <c r="Z129" s="781"/>
      <c r="AA129" s="781"/>
      <c r="AB129" s="781"/>
      <c r="AC129" s="781"/>
      <c r="AD129" s="781"/>
      <c r="AE129" s="781"/>
    </row>
    <row r="130" ht="15.75" customHeight="1">
      <c r="A130" s="786">
        <v>44082.0</v>
      </c>
      <c r="B130" s="787" t="s">
        <v>6350</v>
      </c>
      <c r="C130" s="788" t="s">
        <v>3820</v>
      </c>
      <c r="D130" s="772" t="s">
        <v>6346</v>
      </c>
      <c r="E130" s="784">
        <v>20000.0</v>
      </c>
      <c r="F130" s="772" t="s">
        <v>4677</v>
      </c>
      <c r="G130" s="772" t="s">
        <v>2550</v>
      </c>
      <c r="H130" s="772" t="s">
        <v>29</v>
      </c>
      <c r="I130" s="772" t="s">
        <v>2550</v>
      </c>
      <c r="J130" s="782">
        <v>44252.0</v>
      </c>
      <c r="K130" s="789" t="s">
        <v>3836</v>
      </c>
      <c r="L130" s="781"/>
      <c r="M130" s="781"/>
      <c r="N130" s="781"/>
      <c r="O130" s="781"/>
      <c r="P130" s="781"/>
      <c r="Q130" s="781"/>
      <c r="R130" s="781"/>
      <c r="S130" s="781"/>
      <c r="T130" s="781"/>
      <c r="U130" s="781"/>
      <c r="V130" s="781"/>
      <c r="W130" s="781"/>
      <c r="X130" s="781"/>
      <c r="Y130" s="781"/>
      <c r="Z130" s="781"/>
      <c r="AA130" s="781"/>
      <c r="AB130" s="781"/>
      <c r="AC130" s="781"/>
      <c r="AD130" s="781"/>
      <c r="AE130" s="781"/>
    </row>
    <row r="131" ht="15.75" customHeight="1">
      <c r="A131" s="786">
        <v>44083.0</v>
      </c>
      <c r="B131" s="790" t="s">
        <v>2941</v>
      </c>
      <c r="C131" s="788" t="s">
        <v>2547</v>
      </c>
      <c r="D131" s="772" t="s">
        <v>6346</v>
      </c>
      <c r="E131" s="784">
        <v>85486.0</v>
      </c>
      <c r="F131" s="772" t="s">
        <v>2940</v>
      </c>
      <c r="G131" s="782" t="s">
        <v>2550</v>
      </c>
      <c r="H131" s="782" t="s">
        <v>29</v>
      </c>
      <c r="I131" s="782" t="s">
        <v>2551</v>
      </c>
      <c r="J131" s="782">
        <v>43888.0</v>
      </c>
      <c r="K131" s="785" t="s">
        <v>3828</v>
      </c>
      <c r="L131" s="781"/>
      <c r="M131" s="781"/>
      <c r="N131" s="781"/>
      <c r="O131" s="781"/>
      <c r="P131" s="781"/>
      <c r="Q131" s="781"/>
      <c r="R131" s="781"/>
      <c r="S131" s="781"/>
      <c r="T131" s="781"/>
      <c r="U131" s="781"/>
      <c r="V131" s="781"/>
      <c r="W131" s="781"/>
      <c r="X131" s="781"/>
      <c r="Y131" s="781"/>
      <c r="Z131" s="781"/>
      <c r="AA131" s="781"/>
      <c r="AB131" s="781"/>
      <c r="AC131" s="781"/>
      <c r="AD131" s="781"/>
      <c r="AE131" s="781"/>
    </row>
    <row r="132" ht="15.75" customHeight="1">
      <c r="A132" s="786">
        <v>44084.0</v>
      </c>
      <c r="B132" s="787" t="s">
        <v>2702</v>
      </c>
      <c r="C132" s="788" t="s">
        <v>2547</v>
      </c>
      <c r="D132" s="772" t="s">
        <v>6346</v>
      </c>
      <c r="E132" s="791">
        <v>3350000.0</v>
      </c>
      <c r="F132" s="772" t="s">
        <v>2701</v>
      </c>
      <c r="G132" s="782" t="s">
        <v>2550</v>
      </c>
      <c r="H132" s="782" t="s">
        <v>29</v>
      </c>
      <c r="I132" s="782" t="s">
        <v>2562</v>
      </c>
      <c r="J132" s="782">
        <v>43903.0</v>
      </c>
      <c r="K132" s="785" t="s">
        <v>3828</v>
      </c>
      <c r="L132" s="781"/>
      <c r="M132" s="781"/>
      <c r="N132" s="781"/>
      <c r="O132" s="781"/>
      <c r="P132" s="781"/>
      <c r="Q132" s="781"/>
      <c r="R132" s="781"/>
      <c r="S132" s="781"/>
      <c r="T132" s="781"/>
      <c r="U132" s="781"/>
      <c r="V132" s="781"/>
      <c r="W132" s="781"/>
      <c r="X132" s="781"/>
      <c r="Y132" s="781"/>
      <c r="Z132" s="781"/>
      <c r="AA132" s="781"/>
      <c r="AB132" s="781"/>
      <c r="AC132" s="781"/>
      <c r="AD132" s="781"/>
      <c r="AE132" s="781"/>
    </row>
    <row r="133" ht="15.75" customHeight="1">
      <c r="A133" s="782">
        <v>44085.0</v>
      </c>
      <c r="B133" s="792" t="s">
        <v>6359</v>
      </c>
      <c r="C133" s="772" t="s">
        <v>3820</v>
      </c>
      <c r="D133" s="772" t="s">
        <v>6345</v>
      </c>
      <c r="E133" s="784">
        <v>0.0</v>
      </c>
      <c r="F133" s="772" t="s">
        <v>2839</v>
      </c>
      <c r="G133" s="772" t="s">
        <v>2550</v>
      </c>
      <c r="H133" s="772" t="s">
        <v>29</v>
      </c>
      <c r="I133" s="772" t="s">
        <v>2550</v>
      </c>
      <c r="J133" s="782">
        <v>44043.0</v>
      </c>
      <c r="K133" s="789" t="s">
        <v>3828</v>
      </c>
      <c r="L133" s="781"/>
      <c r="M133" s="781"/>
      <c r="N133" s="781"/>
      <c r="O133" s="781"/>
      <c r="P133" s="781"/>
      <c r="Q133" s="781"/>
      <c r="R133" s="781"/>
      <c r="S133" s="781"/>
      <c r="T133" s="781"/>
      <c r="U133" s="781"/>
      <c r="V133" s="781"/>
      <c r="W133" s="781"/>
      <c r="X133" s="781"/>
      <c r="Y133" s="781"/>
      <c r="Z133" s="781"/>
      <c r="AA133" s="781"/>
      <c r="AB133" s="781"/>
      <c r="AC133" s="781"/>
      <c r="AD133" s="781"/>
      <c r="AE133" s="781"/>
    </row>
    <row r="134" ht="15.75" customHeight="1">
      <c r="A134" s="786">
        <v>44085.0</v>
      </c>
      <c r="B134" s="787" t="s">
        <v>6360</v>
      </c>
      <c r="C134" s="788" t="s">
        <v>3820</v>
      </c>
      <c r="D134" s="772" t="s">
        <v>6346</v>
      </c>
      <c r="E134" s="784">
        <v>277581.55</v>
      </c>
      <c r="F134" s="772" t="s">
        <v>4870</v>
      </c>
      <c r="G134" s="772" t="s">
        <v>2550</v>
      </c>
      <c r="H134" s="772" t="s">
        <v>29</v>
      </c>
      <c r="I134" s="772" t="s">
        <v>2550</v>
      </c>
      <c r="J134" s="782">
        <v>44068.0</v>
      </c>
      <c r="K134" s="789" t="s">
        <v>3828</v>
      </c>
      <c r="L134" s="781"/>
      <c r="M134" s="781"/>
      <c r="N134" s="781"/>
      <c r="O134" s="781"/>
      <c r="P134" s="781"/>
      <c r="Q134" s="781"/>
      <c r="R134" s="781"/>
      <c r="S134" s="781"/>
      <c r="T134" s="781"/>
      <c r="U134" s="781"/>
      <c r="V134" s="781"/>
      <c r="W134" s="781"/>
      <c r="X134" s="781"/>
      <c r="Y134" s="781"/>
      <c r="Z134" s="781"/>
      <c r="AA134" s="781"/>
      <c r="AB134" s="781"/>
      <c r="AC134" s="781"/>
      <c r="AD134" s="781"/>
      <c r="AE134" s="781"/>
    </row>
    <row r="135" ht="15.75" customHeight="1">
      <c r="A135" s="786">
        <v>44085.0</v>
      </c>
      <c r="B135" s="787" t="s">
        <v>6359</v>
      </c>
      <c r="C135" s="788" t="s">
        <v>3820</v>
      </c>
      <c r="D135" s="772" t="s">
        <v>1481</v>
      </c>
      <c r="E135" s="784">
        <v>110000.0</v>
      </c>
      <c r="F135" s="772" t="s">
        <v>2839</v>
      </c>
      <c r="G135" s="772" t="s">
        <v>2550</v>
      </c>
      <c r="H135" s="772" t="s">
        <v>29</v>
      </c>
      <c r="I135" s="772" t="s">
        <v>2550</v>
      </c>
      <c r="J135" s="782">
        <v>44043.0</v>
      </c>
      <c r="K135" s="789" t="s">
        <v>3828</v>
      </c>
      <c r="L135" s="781"/>
      <c r="M135" s="781"/>
      <c r="N135" s="781"/>
      <c r="O135" s="781"/>
      <c r="P135" s="781"/>
      <c r="Q135" s="781"/>
      <c r="R135" s="781"/>
      <c r="S135" s="781"/>
      <c r="T135" s="781"/>
      <c r="U135" s="781"/>
      <c r="V135" s="781"/>
      <c r="W135" s="781"/>
      <c r="X135" s="781"/>
      <c r="Y135" s="781"/>
      <c r="Z135" s="781"/>
      <c r="AA135" s="781"/>
      <c r="AB135" s="781"/>
      <c r="AC135" s="781"/>
      <c r="AD135" s="781"/>
      <c r="AE135" s="781"/>
    </row>
    <row r="136" ht="15.75" customHeight="1">
      <c r="A136" s="782">
        <v>44086.0</v>
      </c>
      <c r="B136" s="783" t="s">
        <v>2840</v>
      </c>
      <c r="C136" s="772" t="s">
        <v>2547</v>
      </c>
      <c r="D136" s="772" t="s">
        <v>6345</v>
      </c>
      <c r="E136" s="784">
        <v>0.0</v>
      </c>
      <c r="F136" s="772" t="s">
        <v>2839</v>
      </c>
      <c r="G136" s="782" t="s">
        <v>2550</v>
      </c>
      <c r="H136" s="782" t="s">
        <v>29</v>
      </c>
      <c r="I136" s="782" t="s">
        <v>2562</v>
      </c>
      <c r="J136" s="782">
        <v>43913.0</v>
      </c>
      <c r="K136" s="785" t="s">
        <v>3828</v>
      </c>
      <c r="L136" s="781"/>
      <c r="M136" s="781"/>
      <c r="N136" s="781"/>
      <c r="O136" s="781"/>
      <c r="P136" s="781"/>
      <c r="Q136" s="781"/>
      <c r="R136" s="781"/>
      <c r="S136" s="781"/>
      <c r="T136" s="781"/>
      <c r="U136" s="781"/>
      <c r="V136" s="781"/>
      <c r="W136" s="781"/>
      <c r="X136" s="781"/>
      <c r="Y136" s="781"/>
      <c r="Z136" s="781"/>
      <c r="AA136" s="781"/>
      <c r="AB136" s="781"/>
      <c r="AC136" s="781"/>
      <c r="AD136" s="781"/>
      <c r="AE136" s="781"/>
    </row>
    <row r="137" ht="15.75" customHeight="1">
      <c r="A137" s="786">
        <v>44088.0</v>
      </c>
      <c r="B137" s="790" t="s">
        <v>6350</v>
      </c>
      <c r="C137" s="788" t="s">
        <v>3820</v>
      </c>
      <c r="D137" s="772" t="s">
        <v>6346</v>
      </c>
      <c r="E137" s="784">
        <v>27000.0</v>
      </c>
      <c r="F137" s="772" t="s">
        <v>4677</v>
      </c>
      <c r="G137" s="772" t="s">
        <v>2550</v>
      </c>
      <c r="H137" s="772" t="s">
        <v>29</v>
      </c>
      <c r="I137" s="772" t="s">
        <v>2550</v>
      </c>
      <c r="J137" s="782">
        <v>44252.0</v>
      </c>
      <c r="K137" s="789" t="s">
        <v>3836</v>
      </c>
      <c r="L137" s="781"/>
      <c r="M137" s="781"/>
      <c r="N137" s="781"/>
      <c r="O137" s="781"/>
      <c r="P137" s="781"/>
      <c r="Q137" s="781"/>
      <c r="R137" s="781"/>
      <c r="S137" s="781"/>
      <c r="T137" s="781"/>
      <c r="U137" s="781"/>
      <c r="V137" s="781"/>
      <c r="W137" s="781"/>
      <c r="X137" s="781"/>
      <c r="Y137" s="781"/>
      <c r="Z137" s="781"/>
      <c r="AA137" s="781"/>
      <c r="AB137" s="781"/>
      <c r="AC137" s="781"/>
      <c r="AD137" s="781"/>
      <c r="AE137" s="781"/>
    </row>
    <row r="138" ht="15.75" customHeight="1">
      <c r="A138" s="786">
        <v>44088.0</v>
      </c>
      <c r="B138" s="787" t="s">
        <v>3590</v>
      </c>
      <c r="C138" s="788" t="s">
        <v>2547</v>
      </c>
      <c r="D138" s="772" t="s">
        <v>6346</v>
      </c>
      <c r="E138" s="784">
        <v>50000.0</v>
      </c>
      <c r="F138" s="772" t="s">
        <v>3589</v>
      </c>
      <c r="G138" s="782" t="s">
        <v>2550</v>
      </c>
      <c r="H138" s="782" t="s">
        <v>29</v>
      </c>
      <c r="I138" s="782" t="s">
        <v>2551</v>
      </c>
      <c r="J138" s="782">
        <v>43567.0</v>
      </c>
      <c r="K138" s="785" t="s">
        <v>3828</v>
      </c>
      <c r="L138" s="781"/>
      <c r="M138" s="781"/>
      <c r="N138" s="781"/>
      <c r="O138" s="781"/>
      <c r="P138" s="781"/>
      <c r="Q138" s="781"/>
      <c r="R138" s="781"/>
      <c r="S138" s="781"/>
      <c r="T138" s="781"/>
      <c r="U138" s="781"/>
      <c r="V138" s="781"/>
      <c r="W138" s="781"/>
      <c r="X138" s="781"/>
      <c r="Y138" s="781"/>
      <c r="Z138" s="781"/>
      <c r="AA138" s="781"/>
      <c r="AB138" s="781"/>
      <c r="AC138" s="781"/>
      <c r="AD138" s="781"/>
      <c r="AE138" s="781"/>
    </row>
    <row r="139" ht="15.75" customHeight="1">
      <c r="A139" s="786">
        <v>44089.0</v>
      </c>
      <c r="B139" s="787" t="s">
        <v>3333</v>
      </c>
      <c r="C139" s="788" t="s">
        <v>2547</v>
      </c>
      <c r="D139" s="772" t="s">
        <v>6346</v>
      </c>
      <c r="E139" s="784">
        <v>7000.0</v>
      </c>
      <c r="F139" s="772" t="s">
        <v>3332</v>
      </c>
      <c r="G139" s="782" t="s">
        <v>2550</v>
      </c>
      <c r="H139" s="782" t="s">
        <v>29</v>
      </c>
      <c r="I139" s="782" t="s">
        <v>2551</v>
      </c>
      <c r="J139" s="782">
        <v>43699.0</v>
      </c>
      <c r="K139" s="785" t="s">
        <v>4206</v>
      </c>
      <c r="L139" s="781"/>
      <c r="M139" s="781"/>
      <c r="N139" s="781"/>
      <c r="O139" s="781"/>
      <c r="P139" s="781"/>
      <c r="Q139" s="781"/>
      <c r="R139" s="781"/>
      <c r="S139" s="781"/>
      <c r="T139" s="781"/>
      <c r="U139" s="781"/>
      <c r="V139" s="781"/>
      <c r="W139" s="781"/>
      <c r="X139" s="781"/>
      <c r="Y139" s="781"/>
      <c r="Z139" s="781"/>
      <c r="AA139" s="781"/>
      <c r="AB139" s="781"/>
      <c r="AC139" s="781"/>
      <c r="AD139" s="781"/>
      <c r="AE139" s="781"/>
    </row>
    <row r="140" ht="15.75" customHeight="1">
      <c r="A140" s="786">
        <v>44089.0</v>
      </c>
      <c r="B140" s="787" t="s">
        <v>3246</v>
      </c>
      <c r="C140" s="788" t="s">
        <v>2547</v>
      </c>
      <c r="D140" s="772" t="s">
        <v>6346</v>
      </c>
      <c r="E140" s="784">
        <v>14000.0</v>
      </c>
      <c r="F140" s="772" t="s">
        <v>3245</v>
      </c>
      <c r="G140" s="782" t="s">
        <v>2550</v>
      </c>
      <c r="H140" s="782" t="s">
        <v>29</v>
      </c>
      <c r="I140" s="782" t="s">
        <v>2551</v>
      </c>
      <c r="J140" s="782">
        <v>43564.0</v>
      </c>
      <c r="K140" s="785" t="s">
        <v>3840</v>
      </c>
      <c r="L140" s="781"/>
      <c r="M140" s="781"/>
      <c r="N140" s="781"/>
      <c r="O140" s="781"/>
      <c r="P140" s="781"/>
      <c r="Q140" s="781"/>
      <c r="R140" s="781"/>
      <c r="S140" s="781"/>
      <c r="T140" s="781"/>
      <c r="U140" s="781"/>
      <c r="V140" s="781"/>
      <c r="W140" s="781"/>
      <c r="X140" s="781"/>
      <c r="Y140" s="781"/>
      <c r="Z140" s="781"/>
      <c r="AA140" s="781"/>
      <c r="AB140" s="781"/>
      <c r="AC140" s="781"/>
      <c r="AD140" s="781"/>
      <c r="AE140" s="781"/>
    </row>
    <row r="141" ht="15.75" customHeight="1">
      <c r="A141" s="786">
        <v>44089.0</v>
      </c>
      <c r="B141" s="790" t="s">
        <v>3496</v>
      </c>
      <c r="C141" s="788" t="s">
        <v>2547</v>
      </c>
      <c r="D141" s="772" t="s">
        <v>6346</v>
      </c>
      <c r="E141" s="784">
        <v>50000.0</v>
      </c>
      <c r="F141" s="772" t="s">
        <v>3495</v>
      </c>
      <c r="G141" s="782" t="s">
        <v>2550</v>
      </c>
      <c r="H141" s="782" t="s">
        <v>29</v>
      </c>
      <c r="I141" s="782" t="s">
        <v>2551</v>
      </c>
      <c r="J141" s="782">
        <v>44041.0</v>
      </c>
      <c r="K141" s="785" t="s">
        <v>3828</v>
      </c>
      <c r="L141" s="781"/>
      <c r="M141" s="781"/>
      <c r="N141" s="781"/>
      <c r="O141" s="781"/>
      <c r="P141" s="781"/>
      <c r="Q141" s="781"/>
      <c r="R141" s="781"/>
      <c r="S141" s="781"/>
      <c r="T141" s="781"/>
      <c r="U141" s="781"/>
      <c r="V141" s="781"/>
      <c r="W141" s="781"/>
      <c r="X141" s="781"/>
      <c r="Y141" s="781"/>
      <c r="Z141" s="781"/>
      <c r="AA141" s="781"/>
      <c r="AB141" s="781"/>
      <c r="AC141" s="781"/>
      <c r="AD141" s="781"/>
      <c r="AE141" s="781"/>
    </row>
    <row r="142" ht="15.75" customHeight="1">
      <c r="A142" s="782">
        <v>44091.0</v>
      </c>
      <c r="B142" s="783" t="s">
        <v>6361</v>
      </c>
      <c r="C142" s="772" t="s">
        <v>3820</v>
      </c>
      <c r="D142" s="772" t="s">
        <v>6345</v>
      </c>
      <c r="E142" s="784">
        <v>0.0</v>
      </c>
      <c r="F142" s="772" t="s">
        <v>4433</v>
      </c>
      <c r="G142" s="772" t="s">
        <v>2550</v>
      </c>
      <c r="H142" s="772" t="s">
        <v>29</v>
      </c>
      <c r="I142" s="772" t="s">
        <v>2550</v>
      </c>
      <c r="J142" s="782">
        <v>43696.0</v>
      </c>
      <c r="K142" s="789" t="s">
        <v>3828</v>
      </c>
      <c r="L142" s="781"/>
      <c r="M142" s="781"/>
      <c r="N142" s="781"/>
      <c r="O142" s="781"/>
      <c r="P142" s="781"/>
      <c r="Q142" s="781"/>
      <c r="R142" s="781"/>
      <c r="S142" s="781"/>
      <c r="T142" s="781"/>
      <c r="U142" s="781"/>
      <c r="V142" s="781"/>
      <c r="W142" s="781"/>
      <c r="X142" s="781"/>
      <c r="Y142" s="781"/>
      <c r="Z142" s="781"/>
      <c r="AA142" s="781"/>
      <c r="AB142" s="781"/>
      <c r="AC142" s="781"/>
      <c r="AD142" s="781"/>
      <c r="AE142" s="781"/>
    </row>
    <row r="143" ht="15.75" customHeight="1">
      <c r="A143" s="786">
        <v>44091.0</v>
      </c>
      <c r="B143" s="787" t="s">
        <v>6361</v>
      </c>
      <c r="C143" s="788" t="s">
        <v>3820</v>
      </c>
      <c r="D143" s="772" t="s">
        <v>1481</v>
      </c>
      <c r="E143" s="784">
        <v>6400.0</v>
      </c>
      <c r="F143" s="772" t="s">
        <v>4433</v>
      </c>
      <c r="G143" s="772" t="s">
        <v>2550</v>
      </c>
      <c r="H143" s="772" t="s">
        <v>29</v>
      </c>
      <c r="I143" s="772" t="s">
        <v>2550</v>
      </c>
      <c r="J143" s="782">
        <v>43696.0</v>
      </c>
      <c r="K143" s="789" t="s">
        <v>3828</v>
      </c>
      <c r="L143" s="781"/>
      <c r="M143" s="781"/>
      <c r="N143" s="781"/>
      <c r="O143" s="781"/>
      <c r="P143" s="781"/>
      <c r="Q143" s="781"/>
      <c r="R143" s="781"/>
      <c r="S143" s="781"/>
      <c r="T143" s="781"/>
      <c r="U143" s="781"/>
      <c r="V143" s="781"/>
      <c r="W143" s="781"/>
      <c r="X143" s="781"/>
      <c r="Y143" s="781"/>
      <c r="Z143" s="781"/>
      <c r="AA143" s="781"/>
      <c r="AB143" s="781"/>
      <c r="AC143" s="781"/>
      <c r="AD143" s="781"/>
      <c r="AE143" s="781"/>
    </row>
    <row r="144" ht="15.75" customHeight="1">
      <c r="A144" s="786">
        <v>44096.0</v>
      </c>
      <c r="B144" s="790" t="s">
        <v>6360</v>
      </c>
      <c r="C144" s="788" t="s">
        <v>3820</v>
      </c>
      <c r="D144" s="772" t="s">
        <v>6346</v>
      </c>
      <c r="E144" s="784">
        <v>0.0</v>
      </c>
      <c r="F144" s="772" t="s">
        <v>4870</v>
      </c>
      <c r="G144" s="772" t="s">
        <v>2550</v>
      </c>
      <c r="H144" s="772" t="s">
        <v>29</v>
      </c>
      <c r="I144" s="772" t="s">
        <v>2550</v>
      </c>
      <c r="J144" s="782">
        <v>44068.0</v>
      </c>
      <c r="K144" s="789" t="s">
        <v>3828</v>
      </c>
      <c r="L144" s="781"/>
      <c r="M144" s="781"/>
      <c r="N144" s="781"/>
      <c r="O144" s="781"/>
      <c r="P144" s="781"/>
      <c r="Q144" s="781"/>
      <c r="R144" s="781"/>
      <c r="S144" s="781"/>
      <c r="T144" s="781"/>
      <c r="U144" s="781"/>
      <c r="V144" s="781"/>
      <c r="W144" s="781"/>
      <c r="X144" s="781"/>
      <c r="Y144" s="781"/>
      <c r="Z144" s="781"/>
      <c r="AA144" s="781"/>
      <c r="AB144" s="781"/>
      <c r="AC144" s="781"/>
      <c r="AD144" s="781"/>
      <c r="AE144" s="781"/>
    </row>
    <row r="145" ht="15.75" customHeight="1">
      <c r="A145" s="786">
        <v>44096.0</v>
      </c>
      <c r="B145" s="787" t="s">
        <v>3104</v>
      </c>
      <c r="C145" s="788" t="s">
        <v>2547</v>
      </c>
      <c r="D145" s="772" t="s">
        <v>6346</v>
      </c>
      <c r="E145" s="784">
        <v>27000.0</v>
      </c>
      <c r="F145" s="772" t="s">
        <v>3103</v>
      </c>
      <c r="G145" s="782" t="s">
        <v>2550</v>
      </c>
      <c r="H145" s="782" t="s">
        <v>29</v>
      </c>
      <c r="I145" s="782" t="s">
        <v>2551</v>
      </c>
      <c r="J145" s="782">
        <v>43711.0</v>
      </c>
      <c r="K145" s="785" t="s">
        <v>4206</v>
      </c>
      <c r="L145" s="781"/>
      <c r="M145" s="781"/>
      <c r="N145" s="781"/>
      <c r="O145" s="781"/>
      <c r="P145" s="781"/>
      <c r="Q145" s="781"/>
      <c r="R145" s="781"/>
      <c r="S145" s="781"/>
      <c r="T145" s="781"/>
      <c r="U145" s="781"/>
      <c r="V145" s="781"/>
      <c r="W145" s="781"/>
      <c r="X145" s="781"/>
      <c r="Y145" s="781"/>
      <c r="Z145" s="781"/>
      <c r="AA145" s="781"/>
      <c r="AB145" s="781"/>
      <c r="AC145" s="781"/>
      <c r="AD145" s="781"/>
      <c r="AE145" s="781"/>
    </row>
    <row r="146" ht="15.75" customHeight="1">
      <c r="A146" s="786">
        <v>44097.0</v>
      </c>
      <c r="B146" s="787" t="s">
        <v>6362</v>
      </c>
      <c r="C146" s="788" t="s">
        <v>3820</v>
      </c>
      <c r="D146" s="772" t="s">
        <v>6346</v>
      </c>
      <c r="E146" s="784">
        <v>9000.0</v>
      </c>
      <c r="F146" s="772" t="s">
        <v>5021</v>
      </c>
      <c r="G146" s="772" t="s">
        <v>2550</v>
      </c>
      <c r="H146" s="772" t="s">
        <v>29</v>
      </c>
      <c r="I146" s="772" t="s">
        <v>2550</v>
      </c>
      <c r="J146" s="782">
        <v>44043.0</v>
      </c>
      <c r="K146" s="789" t="s">
        <v>3828</v>
      </c>
      <c r="L146" s="781"/>
      <c r="M146" s="781"/>
      <c r="N146" s="781"/>
      <c r="O146" s="781"/>
      <c r="P146" s="781"/>
      <c r="Q146" s="781"/>
      <c r="R146" s="781"/>
      <c r="S146" s="781"/>
      <c r="T146" s="781"/>
      <c r="U146" s="781"/>
      <c r="V146" s="781"/>
      <c r="W146" s="781"/>
      <c r="X146" s="781"/>
      <c r="Y146" s="781"/>
      <c r="Z146" s="781"/>
      <c r="AA146" s="781"/>
      <c r="AB146" s="781"/>
      <c r="AC146" s="781"/>
      <c r="AD146" s="781"/>
      <c r="AE146" s="781"/>
    </row>
    <row r="147" ht="15.75" customHeight="1">
      <c r="A147" s="786">
        <v>44099.0</v>
      </c>
      <c r="B147" s="790" t="s">
        <v>3056</v>
      </c>
      <c r="C147" s="788" t="s">
        <v>2547</v>
      </c>
      <c r="D147" s="772" t="s">
        <v>6346</v>
      </c>
      <c r="E147" s="784">
        <v>20000.0</v>
      </c>
      <c r="F147" s="772" t="s">
        <v>3055</v>
      </c>
      <c r="G147" s="782" t="s">
        <v>2550</v>
      </c>
      <c r="H147" s="782" t="s">
        <v>29</v>
      </c>
      <c r="I147" s="782" t="s">
        <v>2562</v>
      </c>
      <c r="J147" s="782">
        <v>43559.0</v>
      </c>
      <c r="K147" s="785" t="s">
        <v>4206</v>
      </c>
      <c r="L147" s="781"/>
      <c r="M147" s="781"/>
      <c r="N147" s="781"/>
      <c r="O147" s="781"/>
      <c r="P147" s="781"/>
      <c r="Q147" s="781"/>
      <c r="R147" s="781"/>
      <c r="S147" s="781"/>
      <c r="T147" s="781"/>
      <c r="U147" s="781"/>
      <c r="V147" s="781"/>
      <c r="W147" s="781"/>
      <c r="X147" s="781"/>
      <c r="Y147" s="781"/>
      <c r="Z147" s="781"/>
      <c r="AA147" s="781"/>
      <c r="AB147" s="781"/>
      <c r="AC147" s="781"/>
      <c r="AD147" s="781"/>
      <c r="AE147" s="781"/>
    </row>
    <row r="148" ht="15.75" customHeight="1">
      <c r="A148" s="786">
        <v>44099.0</v>
      </c>
      <c r="B148" s="787" t="s">
        <v>3041</v>
      </c>
      <c r="C148" s="788" t="s">
        <v>2547</v>
      </c>
      <c r="D148" s="772" t="s">
        <v>6346</v>
      </c>
      <c r="E148" s="784">
        <v>25000.0</v>
      </c>
      <c r="F148" s="772" t="s">
        <v>3040</v>
      </c>
      <c r="G148" s="782" t="s">
        <v>2550</v>
      </c>
      <c r="H148" s="782" t="s">
        <v>29</v>
      </c>
      <c r="I148" s="782" t="s">
        <v>2551</v>
      </c>
      <c r="J148" s="782">
        <v>43605.0</v>
      </c>
      <c r="K148" s="785" t="s">
        <v>3836</v>
      </c>
      <c r="L148" s="781"/>
      <c r="M148" s="781"/>
      <c r="N148" s="781"/>
      <c r="O148" s="781"/>
      <c r="P148" s="781"/>
      <c r="Q148" s="781"/>
      <c r="R148" s="781"/>
      <c r="S148" s="781"/>
      <c r="T148" s="781"/>
      <c r="U148" s="781"/>
      <c r="V148" s="781"/>
      <c r="W148" s="781"/>
      <c r="X148" s="781"/>
      <c r="Y148" s="781"/>
      <c r="Z148" s="781"/>
      <c r="AA148" s="781"/>
      <c r="AB148" s="781"/>
      <c r="AC148" s="781"/>
      <c r="AD148" s="781"/>
      <c r="AE148" s="781"/>
    </row>
    <row r="149" ht="15.75" customHeight="1">
      <c r="A149" s="786">
        <v>44102.0</v>
      </c>
      <c r="B149" s="790" t="s">
        <v>6347</v>
      </c>
      <c r="C149" s="788" t="s">
        <v>3820</v>
      </c>
      <c r="D149" s="772" t="s">
        <v>6346</v>
      </c>
      <c r="E149" s="784">
        <v>10000.0</v>
      </c>
      <c r="F149" s="772" t="s">
        <v>5059</v>
      </c>
      <c r="G149" s="772" t="s">
        <v>2550</v>
      </c>
      <c r="H149" s="772" t="s">
        <v>29</v>
      </c>
      <c r="I149" s="772" t="s">
        <v>2550</v>
      </c>
      <c r="J149" s="782">
        <v>43749.0</v>
      </c>
      <c r="K149" s="789" t="s">
        <v>4206</v>
      </c>
      <c r="L149" s="781"/>
      <c r="M149" s="781"/>
      <c r="N149" s="781"/>
      <c r="O149" s="781"/>
      <c r="P149" s="781"/>
      <c r="Q149" s="781"/>
      <c r="R149" s="781"/>
      <c r="S149" s="781"/>
      <c r="T149" s="781"/>
      <c r="U149" s="781"/>
      <c r="V149" s="781"/>
      <c r="W149" s="781"/>
      <c r="X149" s="781"/>
      <c r="Y149" s="781"/>
      <c r="Z149" s="781"/>
      <c r="AA149" s="781"/>
      <c r="AB149" s="781"/>
      <c r="AC149" s="781"/>
      <c r="AD149" s="781"/>
      <c r="AE149" s="781"/>
    </row>
    <row r="150" ht="15.75" customHeight="1">
      <c r="A150" s="786">
        <v>44103.0</v>
      </c>
      <c r="B150" s="787" t="s">
        <v>3086</v>
      </c>
      <c r="C150" s="788" t="s">
        <v>2547</v>
      </c>
      <c r="D150" s="772" t="s">
        <v>6346</v>
      </c>
      <c r="E150" s="784">
        <v>10000.0</v>
      </c>
      <c r="F150" s="772" t="s">
        <v>3085</v>
      </c>
      <c r="G150" s="782" t="s">
        <v>2550</v>
      </c>
      <c r="H150" s="782" t="s">
        <v>29</v>
      </c>
      <c r="I150" s="782" t="s">
        <v>2562</v>
      </c>
      <c r="J150" s="782">
        <v>43664.0</v>
      </c>
      <c r="K150" s="785" t="s">
        <v>4206</v>
      </c>
      <c r="L150" s="781"/>
      <c r="M150" s="781"/>
      <c r="N150" s="781"/>
      <c r="O150" s="781"/>
      <c r="P150" s="781"/>
      <c r="Q150" s="781"/>
      <c r="R150" s="781"/>
      <c r="S150" s="781"/>
      <c r="T150" s="781"/>
      <c r="U150" s="781"/>
      <c r="V150" s="781"/>
      <c r="W150" s="781"/>
      <c r="X150" s="781"/>
      <c r="Y150" s="781"/>
      <c r="Z150" s="781"/>
      <c r="AA150" s="781"/>
      <c r="AB150" s="781"/>
      <c r="AC150" s="781"/>
      <c r="AD150" s="781"/>
      <c r="AE150" s="781"/>
    </row>
    <row r="151" ht="15.75" customHeight="1">
      <c r="A151" s="786">
        <v>44103.0</v>
      </c>
      <c r="B151" s="790" t="s">
        <v>3702</v>
      </c>
      <c r="C151" s="788" t="s">
        <v>3632</v>
      </c>
      <c r="D151" s="772" t="s">
        <v>1481</v>
      </c>
      <c r="E151" s="784">
        <v>7000.0</v>
      </c>
      <c r="F151" s="772" t="s">
        <v>6363</v>
      </c>
      <c r="G151" s="782" t="s">
        <v>18</v>
      </c>
      <c r="H151" s="782" t="s">
        <v>29</v>
      </c>
      <c r="I151" s="782" t="s">
        <v>3703</v>
      </c>
      <c r="J151" s="782">
        <v>43742.0</v>
      </c>
      <c r="K151" s="785" t="s">
        <v>4206</v>
      </c>
      <c r="L151" s="781"/>
      <c r="M151" s="781"/>
      <c r="N151" s="781"/>
      <c r="O151" s="781"/>
      <c r="P151" s="781"/>
      <c r="Q151" s="781"/>
      <c r="R151" s="781"/>
      <c r="S151" s="781"/>
      <c r="T151" s="781"/>
      <c r="U151" s="781"/>
      <c r="V151" s="781"/>
      <c r="W151" s="781"/>
      <c r="X151" s="781"/>
      <c r="Y151" s="781"/>
      <c r="Z151" s="781"/>
      <c r="AA151" s="781"/>
      <c r="AB151" s="781"/>
      <c r="AC151" s="781"/>
      <c r="AD151" s="781"/>
      <c r="AE151" s="781"/>
    </row>
    <row r="152" ht="15.75" customHeight="1">
      <c r="A152" s="786">
        <v>44103.0</v>
      </c>
      <c r="B152" s="787" t="s">
        <v>2737</v>
      </c>
      <c r="C152" s="788" t="s">
        <v>2547</v>
      </c>
      <c r="D152" s="772" t="s">
        <v>6346</v>
      </c>
      <c r="E152" s="784">
        <v>10000.0</v>
      </c>
      <c r="F152" s="772" t="s">
        <v>2736</v>
      </c>
      <c r="G152" s="782" t="s">
        <v>2550</v>
      </c>
      <c r="H152" s="782" t="s">
        <v>29</v>
      </c>
      <c r="I152" s="782" t="s">
        <v>2551</v>
      </c>
      <c r="J152" s="782">
        <v>43707.0</v>
      </c>
      <c r="K152" s="785" t="s">
        <v>3840</v>
      </c>
      <c r="L152" s="781"/>
      <c r="M152" s="781"/>
      <c r="N152" s="781"/>
      <c r="O152" s="781"/>
      <c r="P152" s="781"/>
      <c r="Q152" s="781"/>
      <c r="R152" s="781"/>
      <c r="S152" s="781"/>
      <c r="T152" s="781"/>
      <c r="U152" s="781"/>
      <c r="V152" s="781"/>
      <c r="W152" s="781"/>
      <c r="X152" s="781"/>
      <c r="Y152" s="781"/>
      <c r="Z152" s="781"/>
      <c r="AA152" s="781"/>
      <c r="AB152" s="781"/>
      <c r="AC152" s="781"/>
      <c r="AD152" s="781"/>
      <c r="AE152" s="781"/>
    </row>
    <row r="153" ht="15.75" customHeight="1">
      <c r="A153" s="786">
        <v>44103.0</v>
      </c>
      <c r="B153" s="787" t="s">
        <v>6364</v>
      </c>
      <c r="C153" s="788" t="s">
        <v>3820</v>
      </c>
      <c r="D153" s="772" t="s">
        <v>6346</v>
      </c>
      <c r="E153" s="784">
        <v>4000.0</v>
      </c>
      <c r="F153" s="772" t="s">
        <v>4490</v>
      </c>
      <c r="G153" s="772" t="s">
        <v>2550</v>
      </c>
      <c r="H153" s="772" t="s">
        <v>29</v>
      </c>
      <c r="I153" s="772" t="s">
        <v>2550</v>
      </c>
      <c r="J153" s="782">
        <v>43901.0</v>
      </c>
      <c r="K153" s="789" t="s">
        <v>3824</v>
      </c>
      <c r="L153" s="781"/>
      <c r="M153" s="781"/>
      <c r="N153" s="781"/>
      <c r="O153" s="781"/>
      <c r="P153" s="781"/>
      <c r="Q153" s="781"/>
      <c r="R153" s="781"/>
      <c r="S153" s="781"/>
      <c r="T153" s="781"/>
      <c r="U153" s="781"/>
      <c r="V153" s="781"/>
      <c r="W153" s="781"/>
      <c r="X153" s="781"/>
      <c r="Y153" s="781"/>
      <c r="Z153" s="781"/>
      <c r="AA153" s="781"/>
      <c r="AB153" s="781"/>
      <c r="AC153" s="781"/>
      <c r="AD153" s="781"/>
      <c r="AE153" s="781"/>
    </row>
    <row r="154" ht="15.75" customHeight="1">
      <c r="A154" s="786">
        <v>44103.0</v>
      </c>
      <c r="B154" s="787" t="s">
        <v>2982</v>
      </c>
      <c r="C154" s="788" t="s">
        <v>2547</v>
      </c>
      <c r="D154" s="772" t="s">
        <v>6346</v>
      </c>
      <c r="E154" s="784">
        <v>6000.0</v>
      </c>
      <c r="F154" s="772" t="s">
        <v>2981</v>
      </c>
      <c r="G154" s="782" t="s">
        <v>2550</v>
      </c>
      <c r="H154" s="782" t="s">
        <v>29</v>
      </c>
      <c r="I154" s="782" t="s">
        <v>2551</v>
      </c>
      <c r="J154" s="782">
        <v>43703.0</v>
      </c>
      <c r="K154" s="785" t="s">
        <v>4206</v>
      </c>
      <c r="L154" s="781"/>
      <c r="M154" s="781"/>
      <c r="N154" s="781"/>
      <c r="O154" s="781"/>
      <c r="P154" s="781"/>
      <c r="Q154" s="781"/>
      <c r="R154" s="781"/>
      <c r="S154" s="781"/>
      <c r="T154" s="781"/>
      <c r="U154" s="781"/>
      <c r="V154" s="781"/>
      <c r="W154" s="781"/>
      <c r="X154" s="781"/>
      <c r="Y154" s="781"/>
      <c r="Z154" s="781"/>
      <c r="AA154" s="781"/>
      <c r="AB154" s="781"/>
      <c r="AC154" s="781"/>
      <c r="AD154" s="781"/>
      <c r="AE154" s="781"/>
    </row>
    <row r="155" ht="15.75" customHeight="1">
      <c r="A155" s="786">
        <v>44103.0</v>
      </c>
      <c r="B155" s="790" t="s">
        <v>3446</v>
      </c>
      <c r="C155" s="788" t="s">
        <v>2547</v>
      </c>
      <c r="D155" s="772" t="s">
        <v>6346</v>
      </c>
      <c r="E155" s="784">
        <v>1500.0</v>
      </c>
      <c r="F155" s="772" t="s">
        <v>3445</v>
      </c>
      <c r="G155" s="782" t="s">
        <v>2550</v>
      </c>
      <c r="H155" s="782" t="s">
        <v>29</v>
      </c>
      <c r="I155" s="782" t="s">
        <v>2551</v>
      </c>
      <c r="J155" s="782">
        <v>43675.0</v>
      </c>
      <c r="K155" s="785" t="s">
        <v>4206</v>
      </c>
      <c r="L155" s="781"/>
      <c r="M155" s="781"/>
      <c r="N155" s="781"/>
      <c r="O155" s="781"/>
      <c r="P155" s="781"/>
      <c r="Q155" s="781"/>
      <c r="R155" s="781"/>
      <c r="S155" s="781"/>
      <c r="T155" s="781"/>
      <c r="U155" s="781"/>
      <c r="V155" s="781"/>
      <c r="W155" s="781"/>
      <c r="X155" s="781"/>
      <c r="Y155" s="781"/>
      <c r="Z155" s="781"/>
      <c r="AA155" s="781"/>
      <c r="AB155" s="781"/>
      <c r="AC155" s="781"/>
      <c r="AD155" s="781"/>
      <c r="AE155" s="781"/>
    </row>
    <row r="156" ht="15.75" customHeight="1">
      <c r="A156" s="782">
        <v>44105.0</v>
      </c>
      <c r="B156" s="783" t="s">
        <v>3333</v>
      </c>
      <c r="C156" s="772" t="s">
        <v>2547</v>
      </c>
      <c r="D156" s="772" t="s">
        <v>6345</v>
      </c>
      <c r="E156" s="784">
        <v>17805.25</v>
      </c>
      <c r="F156" s="772" t="s">
        <v>3332</v>
      </c>
      <c r="G156" s="782" t="s">
        <v>2550</v>
      </c>
      <c r="H156" s="782" t="s">
        <v>29</v>
      </c>
      <c r="I156" s="782" t="s">
        <v>2551</v>
      </c>
      <c r="J156" s="782">
        <v>43699.0</v>
      </c>
      <c r="K156" s="785" t="s">
        <v>4206</v>
      </c>
      <c r="L156" s="781"/>
      <c r="M156" s="781"/>
      <c r="N156" s="781"/>
      <c r="O156" s="781"/>
      <c r="P156" s="781"/>
      <c r="Q156" s="781"/>
      <c r="R156" s="781"/>
      <c r="S156" s="781"/>
      <c r="T156" s="781"/>
      <c r="U156" s="781"/>
      <c r="V156" s="781"/>
      <c r="W156" s="781"/>
      <c r="X156" s="781"/>
      <c r="Y156" s="781"/>
      <c r="Z156" s="781"/>
      <c r="AA156" s="781"/>
      <c r="AB156" s="781"/>
      <c r="AC156" s="781"/>
      <c r="AD156" s="781"/>
      <c r="AE156" s="781"/>
    </row>
    <row r="157" ht="15.75" customHeight="1">
      <c r="A157" s="782">
        <v>44105.0</v>
      </c>
      <c r="B157" s="792" t="s">
        <v>6355</v>
      </c>
      <c r="C157" s="772" t="s">
        <v>3820</v>
      </c>
      <c r="D157" s="772" t="s">
        <v>6345</v>
      </c>
      <c r="E157" s="784">
        <v>0.0</v>
      </c>
      <c r="F157" s="772" t="s">
        <v>3165</v>
      </c>
      <c r="G157" s="772" t="s">
        <v>2550</v>
      </c>
      <c r="H157" s="772" t="s">
        <v>29</v>
      </c>
      <c r="I157" s="772" t="s">
        <v>2550</v>
      </c>
      <c r="J157" s="782">
        <v>43700.0</v>
      </c>
      <c r="K157" s="789" t="s">
        <v>3828</v>
      </c>
      <c r="L157" s="781"/>
      <c r="M157" s="781"/>
      <c r="N157" s="781"/>
      <c r="O157" s="781"/>
      <c r="P157" s="781"/>
      <c r="Q157" s="781"/>
      <c r="R157" s="781"/>
      <c r="S157" s="781"/>
      <c r="T157" s="781"/>
      <c r="U157" s="781"/>
      <c r="V157" s="781"/>
      <c r="W157" s="781"/>
      <c r="X157" s="781"/>
      <c r="Y157" s="781"/>
      <c r="Z157" s="781"/>
      <c r="AA157" s="781"/>
      <c r="AB157" s="781"/>
      <c r="AC157" s="781"/>
      <c r="AD157" s="781"/>
      <c r="AE157" s="781"/>
    </row>
    <row r="158" ht="15.75" customHeight="1">
      <c r="A158" s="782">
        <v>44105.0</v>
      </c>
      <c r="B158" s="783" t="s">
        <v>6365</v>
      </c>
      <c r="C158" s="772" t="s">
        <v>3820</v>
      </c>
      <c r="D158" s="772" t="s">
        <v>6345</v>
      </c>
      <c r="E158" s="784">
        <v>0.0</v>
      </c>
      <c r="F158" s="772" t="s">
        <v>5194</v>
      </c>
      <c r="G158" s="772" t="s">
        <v>18</v>
      </c>
      <c r="H158" s="772" t="s">
        <v>29</v>
      </c>
      <c r="I158" s="772" t="s">
        <v>5195</v>
      </c>
      <c r="J158" s="782">
        <v>43777.0</v>
      </c>
      <c r="K158" s="789" t="s">
        <v>4620</v>
      </c>
      <c r="L158" s="781"/>
      <c r="M158" s="781"/>
      <c r="N158" s="781"/>
      <c r="O158" s="781"/>
      <c r="P158" s="781"/>
      <c r="Q158" s="781"/>
      <c r="R158" s="781"/>
      <c r="S158" s="781"/>
      <c r="T158" s="781"/>
      <c r="U158" s="781"/>
      <c r="V158" s="781"/>
      <c r="W158" s="781"/>
      <c r="X158" s="781"/>
      <c r="Y158" s="781"/>
      <c r="Z158" s="781"/>
      <c r="AA158" s="781"/>
      <c r="AB158" s="781"/>
      <c r="AC158" s="781"/>
      <c r="AD158" s="781"/>
      <c r="AE158" s="781"/>
    </row>
    <row r="159" ht="15.75" customHeight="1">
      <c r="A159" s="786">
        <v>44105.0</v>
      </c>
      <c r="B159" s="787" t="s">
        <v>3425</v>
      </c>
      <c r="C159" s="788" t="s">
        <v>2547</v>
      </c>
      <c r="D159" s="772" t="s">
        <v>6346</v>
      </c>
      <c r="E159" s="784">
        <v>20000.0</v>
      </c>
      <c r="F159" s="772" t="s">
        <v>3424</v>
      </c>
      <c r="G159" s="782" t="s">
        <v>2550</v>
      </c>
      <c r="H159" s="782" t="s">
        <v>29</v>
      </c>
      <c r="I159" s="782" t="s">
        <v>2551</v>
      </c>
      <c r="J159" s="782">
        <v>43840.0</v>
      </c>
      <c r="K159" s="785" t="s">
        <v>3836</v>
      </c>
      <c r="L159" s="781"/>
      <c r="M159" s="781"/>
      <c r="N159" s="781"/>
      <c r="O159" s="781"/>
      <c r="P159" s="781"/>
      <c r="Q159" s="781"/>
      <c r="R159" s="781"/>
      <c r="S159" s="781"/>
      <c r="T159" s="781"/>
      <c r="U159" s="781"/>
      <c r="V159" s="781"/>
      <c r="W159" s="781"/>
      <c r="X159" s="781"/>
      <c r="Y159" s="781"/>
      <c r="Z159" s="781"/>
      <c r="AA159" s="781"/>
      <c r="AB159" s="781"/>
      <c r="AC159" s="781"/>
      <c r="AD159" s="781"/>
      <c r="AE159" s="781"/>
    </row>
    <row r="160" ht="15.75" customHeight="1">
      <c r="A160" s="782">
        <v>44109.0</v>
      </c>
      <c r="B160" s="792" t="s">
        <v>3351</v>
      </c>
      <c r="C160" s="772" t="s">
        <v>2547</v>
      </c>
      <c r="D160" s="772" t="s">
        <v>6345</v>
      </c>
      <c r="E160" s="784">
        <v>379116.63</v>
      </c>
      <c r="F160" s="772" t="s">
        <v>3350</v>
      </c>
      <c r="G160" s="782" t="s">
        <v>2659</v>
      </c>
      <c r="H160" s="782" t="s">
        <v>29</v>
      </c>
      <c r="I160" s="782" t="s">
        <v>2659</v>
      </c>
      <c r="J160" s="782">
        <v>43426.0</v>
      </c>
      <c r="K160" s="785" t="s">
        <v>3840</v>
      </c>
      <c r="L160" s="781"/>
      <c r="M160" s="781"/>
      <c r="N160" s="781"/>
      <c r="O160" s="781"/>
      <c r="P160" s="781"/>
      <c r="Q160" s="781"/>
      <c r="R160" s="781"/>
      <c r="S160" s="781"/>
      <c r="T160" s="781"/>
      <c r="U160" s="781"/>
      <c r="V160" s="781"/>
      <c r="W160" s="781"/>
      <c r="X160" s="781"/>
      <c r="Y160" s="781"/>
      <c r="Z160" s="781"/>
      <c r="AA160" s="781"/>
      <c r="AB160" s="781"/>
      <c r="AC160" s="781"/>
      <c r="AD160" s="781"/>
      <c r="AE160" s="781"/>
    </row>
    <row r="161" ht="15.75" customHeight="1">
      <c r="A161" s="786">
        <v>44109.0</v>
      </c>
      <c r="B161" s="787" t="s">
        <v>6360</v>
      </c>
      <c r="C161" s="788" t="s">
        <v>3820</v>
      </c>
      <c r="D161" s="772" t="s">
        <v>6346</v>
      </c>
      <c r="E161" s="784">
        <v>10000.0</v>
      </c>
      <c r="F161" s="772" t="s">
        <v>4870</v>
      </c>
      <c r="G161" s="772" t="s">
        <v>2550</v>
      </c>
      <c r="H161" s="772" t="s">
        <v>29</v>
      </c>
      <c r="I161" s="772" t="s">
        <v>2550</v>
      </c>
      <c r="J161" s="782">
        <v>44068.0</v>
      </c>
      <c r="K161" s="789" t="s">
        <v>3828</v>
      </c>
      <c r="L161" s="781"/>
      <c r="M161" s="781"/>
      <c r="N161" s="781"/>
      <c r="O161" s="781"/>
      <c r="P161" s="781"/>
      <c r="Q161" s="781"/>
      <c r="R161" s="781"/>
      <c r="S161" s="781"/>
      <c r="T161" s="781"/>
      <c r="U161" s="781"/>
      <c r="V161" s="781"/>
      <c r="W161" s="781"/>
      <c r="X161" s="781"/>
      <c r="Y161" s="781"/>
      <c r="Z161" s="781"/>
      <c r="AA161" s="781"/>
      <c r="AB161" s="781"/>
      <c r="AC161" s="781"/>
      <c r="AD161" s="781"/>
      <c r="AE161" s="781"/>
    </row>
    <row r="162" ht="15.75" customHeight="1">
      <c r="A162" s="786">
        <v>44109.0</v>
      </c>
      <c r="B162" s="787" t="s">
        <v>3041</v>
      </c>
      <c r="C162" s="788" t="s">
        <v>2547</v>
      </c>
      <c r="D162" s="772" t="s">
        <v>6346</v>
      </c>
      <c r="E162" s="784">
        <v>10000.0</v>
      </c>
      <c r="F162" s="772" t="s">
        <v>3040</v>
      </c>
      <c r="G162" s="782" t="s">
        <v>2550</v>
      </c>
      <c r="H162" s="782" t="s">
        <v>29</v>
      </c>
      <c r="I162" s="782" t="s">
        <v>2551</v>
      </c>
      <c r="J162" s="782">
        <v>43605.0</v>
      </c>
      <c r="K162" s="785" t="s">
        <v>3836</v>
      </c>
      <c r="L162" s="781"/>
      <c r="M162" s="781"/>
      <c r="N162" s="781"/>
      <c r="O162" s="781"/>
      <c r="P162" s="781"/>
      <c r="Q162" s="781"/>
      <c r="R162" s="781"/>
      <c r="S162" s="781"/>
      <c r="T162" s="781"/>
      <c r="U162" s="781"/>
      <c r="V162" s="781"/>
      <c r="W162" s="781"/>
      <c r="X162" s="781"/>
      <c r="Y162" s="781"/>
      <c r="Z162" s="781"/>
      <c r="AA162" s="781"/>
      <c r="AB162" s="781"/>
      <c r="AC162" s="781"/>
      <c r="AD162" s="781"/>
      <c r="AE162" s="781"/>
    </row>
    <row r="163" ht="15.75" customHeight="1">
      <c r="A163" s="786">
        <v>44109.0</v>
      </c>
      <c r="B163" s="787" t="s">
        <v>3246</v>
      </c>
      <c r="C163" s="788" t="s">
        <v>2547</v>
      </c>
      <c r="D163" s="772" t="s">
        <v>6346</v>
      </c>
      <c r="E163" s="784">
        <v>14000.0</v>
      </c>
      <c r="F163" s="772" t="s">
        <v>3245</v>
      </c>
      <c r="G163" s="782" t="s">
        <v>2550</v>
      </c>
      <c r="H163" s="782" t="s">
        <v>29</v>
      </c>
      <c r="I163" s="782" t="s">
        <v>2551</v>
      </c>
      <c r="J163" s="782">
        <v>43564.0</v>
      </c>
      <c r="K163" s="785" t="s">
        <v>3840</v>
      </c>
      <c r="L163" s="781"/>
      <c r="M163" s="781"/>
      <c r="N163" s="781"/>
      <c r="O163" s="781"/>
      <c r="P163" s="781"/>
      <c r="Q163" s="781"/>
      <c r="R163" s="781"/>
      <c r="S163" s="781"/>
      <c r="T163" s="781"/>
      <c r="U163" s="781"/>
      <c r="V163" s="781"/>
      <c r="W163" s="781"/>
      <c r="X163" s="781"/>
      <c r="Y163" s="781"/>
      <c r="Z163" s="781"/>
      <c r="AA163" s="781"/>
      <c r="AB163" s="781"/>
      <c r="AC163" s="781"/>
      <c r="AD163" s="781"/>
      <c r="AE163" s="781"/>
    </row>
    <row r="164" ht="15.75" customHeight="1">
      <c r="A164" s="786">
        <v>44119.0</v>
      </c>
      <c r="B164" s="787" t="s">
        <v>3516</v>
      </c>
      <c r="C164" s="788" t="s">
        <v>2547</v>
      </c>
      <c r="D164" s="772" t="s">
        <v>6346</v>
      </c>
      <c r="E164" s="784">
        <v>7000.0</v>
      </c>
      <c r="F164" s="772" t="s">
        <v>3515</v>
      </c>
      <c r="G164" s="782" t="s">
        <v>2550</v>
      </c>
      <c r="H164" s="782" t="s">
        <v>29</v>
      </c>
      <c r="I164" s="782" t="s">
        <v>2551</v>
      </c>
      <c r="J164" s="782">
        <v>43717.0</v>
      </c>
      <c r="K164" s="785" t="s">
        <v>4206</v>
      </c>
      <c r="L164" s="781"/>
      <c r="M164" s="781"/>
      <c r="N164" s="781"/>
      <c r="O164" s="781"/>
      <c r="P164" s="781"/>
      <c r="Q164" s="781"/>
      <c r="R164" s="781"/>
      <c r="S164" s="781"/>
      <c r="T164" s="781"/>
      <c r="U164" s="781"/>
      <c r="V164" s="781"/>
      <c r="W164" s="781"/>
      <c r="X164" s="781"/>
      <c r="Y164" s="781"/>
      <c r="Z164" s="781"/>
      <c r="AA164" s="781"/>
      <c r="AB164" s="781"/>
      <c r="AC164" s="781"/>
      <c r="AD164" s="781"/>
      <c r="AE164" s="781"/>
    </row>
    <row r="165" ht="15.75" customHeight="1">
      <c r="A165" s="786">
        <v>44120.0</v>
      </c>
      <c r="B165" s="790" t="s">
        <v>6360</v>
      </c>
      <c r="C165" s="788" t="s">
        <v>3820</v>
      </c>
      <c r="D165" s="772" t="s">
        <v>6346</v>
      </c>
      <c r="E165" s="784">
        <v>8000.0</v>
      </c>
      <c r="F165" s="772" t="s">
        <v>4870</v>
      </c>
      <c r="G165" s="772" t="s">
        <v>2550</v>
      </c>
      <c r="H165" s="772" t="s">
        <v>29</v>
      </c>
      <c r="I165" s="772" t="s">
        <v>2550</v>
      </c>
      <c r="J165" s="782">
        <v>44068.0</v>
      </c>
      <c r="K165" s="789" t="s">
        <v>3828</v>
      </c>
      <c r="L165" s="781"/>
      <c r="M165" s="781"/>
      <c r="N165" s="781"/>
      <c r="O165" s="781"/>
      <c r="P165" s="781"/>
      <c r="Q165" s="781"/>
      <c r="R165" s="781"/>
      <c r="S165" s="781"/>
      <c r="T165" s="781"/>
      <c r="U165" s="781"/>
      <c r="V165" s="781"/>
      <c r="W165" s="781"/>
      <c r="X165" s="781"/>
      <c r="Y165" s="781"/>
      <c r="Z165" s="781"/>
      <c r="AA165" s="781"/>
      <c r="AB165" s="781"/>
      <c r="AC165" s="781"/>
      <c r="AD165" s="781"/>
      <c r="AE165" s="781"/>
    </row>
    <row r="166" ht="15.75" customHeight="1">
      <c r="A166" s="786">
        <v>44124.0</v>
      </c>
      <c r="B166" s="787" t="s">
        <v>3409</v>
      </c>
      <c r="C166" s="788" t="s">
        <v>2547</v>
      </c>
      <c r="D166" s="772" t="s">
        <v>6346</v>
      </c>
      <c r="E166" s="784">
        <v>140000.0</v>
      </c>
      <c r="F166" s="772" t="s">
        <v>3408</v>
      </c>
      <c r="G166" s="782" t="s">
        <v>2550</v>
      </c>
      <c r="H166" s="782" t="s">
        <v>29</v>
      </c>
      <c r="I166" s="782" t="s">
        <v>2551</v>
      </c>
      <c r="J166" s="782">
        <v>43894.0</v>
      </c>
      <c r="K166" s="785" t="s">
        <v>3836</v>
      </c>
      <c r="L166" s="781"/>
      <c r="M166" s="781"/>
      <c r="N166" s="781"/>
      <c r="O166" s="781"/>
      <c r="P166" s="781"/>
      <c r="Q166" s="781"/>
      <c r="R166" s="781"/>
      <c r="S166" s="781"/>
      <c r="T166" s="781"/>
      <c r="U166" s="781"/>
      <c r="V166" s="781"/>
      <c r="W166" s="781"/>
      <c r="X166" s="781"/>
      <c r="Y166" s="781"/>
      <c r="Z166" s="781"/>
      <c r="AA166" s="781"/>
      <c r="AB166" s="781"/>
      <c r="AC166" s="781"/>
      <c r="AD166" s="781"/>
      <c r="AE166" s="781"/>
    </row>
    <row r="167" ht="15.75" customHeight="1">
      <c r="A167" s="786">
        <v>44124.0</v>
      </c>
      <c r="B167" s="787" t="s">
        <v>3284</v>
      </c>
      <c r="C167" s="788" t="s">
        <v>2547</v>
      </c>
      <c r="D167" s="772" t="s">
        <v>6346</v>
      </c>
      <c r="E167" s="784">
        <v>10000.0</v>
      </c>
      <c r="F167" s="772" t="s">
        <v>3283</v>
      </c>
      <c r="G167" s="782" t="s">
        <v>2550</v>
      </c>
      <c r="H167" s="782" t="s">
        <v>29</v>
      </c>
      <c r="I167" s="782" t="s">
        <v>2562</v>
      </c>
      <c r="J167" s="782">
        <v>43622.0</v>
      </c>
      <c r="K167" s="785" t="s">
        <v>3836</v>
      </c>
      <c r="L167" s="781"/>
      <c r="M167" s="781"/>
      <c r="N167" s="781"/>
      <c r="O167" s="781"/>
      <c r="P167" s="781"/>
      <c r="Q167" s="781"/>
      <c r="R167" s="781"/>
      <c r="S167" s="781"/>
      <c r="T167" s="781"/>
      <c r="U167" s="781"/>
      <c r="V167" s="781"/>
      <c r="W167" s="781"/>
      <c r="X167" s="781"/>
      <c r="Y167" s="781"/>
      <c r="Z167" s="781"/>
      <c r="AA167" s="781"/>
      <c r="AB167" s="781"/>
      <c r="AC167" s="781"/>
      <c r="AD167" s="781"/>
      <c r="AE167" s="781"/>
    </row>
    <row r="168" ht="15.75" customHeight="1">
      <c r="A168" s="786">
        <v>44125.0</v>
      </c>
      <c r="B168" s="787" t="s">
        <v>6350</v>
      </c>
      <c r="C168" s="788" t="s">
        <v>3820</v>
      </c>
      <c r="D168" s="772" t="s">
        <v>6346</v>
      </c>
      <c r="E168" s="784">
        <v>130000.0</v>
      </c>
      <c r="F168" s="772" t="s">
        <v>4677</v>
      </c>
      <c r="G168" s="772" t="s">
        <v>2550</v>
      </c>
      <c r="H168" s="772" t="s">
        <v>29</v>
      </c>
      <c r="I168" s="772" t="s">
        <v>2550</v>
      </c>
      <c r="J168" s="782">
        <v>44252.0</v>
      </c>
      <c r="K168" s="789" t="s">
        <v>3836</v>
      </c>
      <c r="L168" s="781"/>
      <c r="M168" s="781"/>
      <c r="N168" s="781"/>
      <c r="O168" s="781"/>
      <c r="P168" s="781"/>
      <c r="Q168" s="781"/>
      <c r="R168" s="781"/>
      <c r="S168" s="781"/>
      <c r="T168" s="781"/>
      <c r="U168" s="781"/>
      <c r="V168" s="781"/>
      <c r="W168" s="781"/>
      <c r="X168" s="781"/>
      <c r="Y168" s="781"/>
      <c r="Z168" s="781"/>
      <c r="AA168" s="781"/>
      <c r="AB168" s="781"/>
      <c r="AC168" s="781"/>
      <c r="AD168" s="781"/>
      <c r="AE168" s="781"/>
    </row>
    <row r="169" ht="15.75" customHeight="1">
      <c r="A169" s="786">
        <v>44127.0</v>
      </c>
      <c r="B169" s="787" t="s">
        <v>3246</v>
      </c>
      <c r="C169" s="788" t="s">
        <v>2547</v>
      </c>
      <c r="D169" s="772" t="s">
        <v>6346</v>
      </c>
      <c r="E169" s="784">
        <v>12000.0</v>
      </c>
      <c r="F169" s="772" t="s">
        <v>3245</v>
      </c>
      <c r="G169" s="782" t="s">
        <v>2550</v>
      </c>
      <c r="H169" s="782" t="s">
        <v>29</v>
      </c>
      <c r="I169" s="782" t="s">
        <v>2551</v>
      </c>
      <c r="J169" s="782">
        <v>43564.0</v>
      </c>
      <c r="K169" s="785" t="s">
        <v>3840</v>
      </c>
      <c r="L169" s="781"/>
      <c r="M169" s="781"/>
      <c r="N169" s="781"/>
      <c r="O169" s="781"/>
      <c r="P169" s="781"/>
      <c r="Q169" s="781"/>
      <c r="R169" s="781"/>
      <c r="S169" s="781"/>
      <c r="T169" s="781"/>
      <c r="U169" s="781"/>
      <c r="V169" s="781"/>
      <c r="W169" s="781"/>
      <c r="X169" s="781"/>
      <c r="Y169" s="781"/>
      <c r="Z169" s="781"/>
      <c r="AA169" s="781"/>
      <c r="AB169" s="781"/>
      <c r="AC169" s="781"/>
      <c r="AD169" s="781"/>
      <c r="AE169" s="781"/>
    </row>
    <row r="170" ht="15.75" customHeight="1">
      <c r="A170" s="786">
        <v>44130.0</v>
      </c>
      <c r="B170" s="787" t="s">
        <v>3041</v>
      </c>
      <c r="C170" s="788" t="s">
        <v>2547</v>
      </c>
      <c r="D170" s="772" t="s">
        <v>6346</v>
      </c>
      <c r="E170" s="784">
        <v>34182.0</v>
      </c>
      <c r="F170" s="772" t="s">
        <v>3040</v>
      </c>
      <c r="G170" s="782" t="s">
        <v>2550</v>
      </c>
      <c r="H170" s="782" t="s">
        <v>29</v>
      </c>
      <c r="I170" s="782" t="s">
        <v>2551</v>
      </c>
      <c r="J170" s="782">
        <v>43605.0</v>
      </c>
      <c r="K170" s="785" t="s">
        <v>3836</v>
      </c>
      <c r="L170" s="781"/>
      <c r="M170" s="781"/>
      <c r="N170" s="781"/>
      <c r="O170" s="781"/>
      <c r="P170" s="781"/>
      <c r="Q170" s="781"/>
      <c r="R170" s="781"/>
      <c r="S170" s="781"/>
      <c r="T170" s="781"/>
      <c r="U170" s="781"/>
      <c r="V170" s="781"/>
      <c r="W170" s="781"/>
      <c r="X170" s="781"/>
      <c r="Y170" s="781"/>
      <c r="Z170" s="781"/>
      <c r="AA170" s="781"/>
      <c r="AB170" s="781"/>
      <c r="AC170" s="781"/>
      <c r="AD170" s="781"/>
      <c r="AE170" s="781"/>
    </row>
    <row r="171" ht="15.75" customHeight="1">
      <c r="A171" s="786">
        <v>44131.0</v>
      </c>
      <c r="B171" s="787" t="s">
        <v>6360</v>
      </c>
      <c r="C171" s="788" t="s">
        <v>3820</v>
      </c>
      <c r="D171" s="772" t="s">
        <v>6346</v>
      </c>
      <c r="E171" s="784">
        <v>20000.0</v>
      </c>
      <c r="F171" s="772" t="s">
        <v>4870</v>
      </c>
      <c r="G171" s="772" t="s">
        <v>2550</v>
      </c>
      <c r="H171" s="772" t="s">
        <v>29</v>
      </c>
      <c r="I171" s="772" t="s">
        <v>2550</v>
      </c>
      <c r="J171" s="782">
        <v>44068.0</v>
      </c>
      <c r="K171" s="789" t="s">
        <v>3828</v>
      </c>
      <c r="L171" s="781"/>
      <c r="M171" s="781"/>
      <c r="N171" s="781"/>
      <c r="O171" s="781"/>
      <c r="P171" s="781"/>
      <c r="Q171" s="781"/>
      <c r="R171" s="781"/>
      <c r="S171" s="781"/>
      <c r="T171" s="781"/>
      <c r="U171" s="781"/>
      <c r="V171" s="781"/>
      <c r="W171" s="781"/>
      <c r="X171" s="781"/>
      <c r="Y171" s="781"/>
      <c r="Z171" s="781"/>
      <c r="AA171" s="781"/>
      <c r="AB171" s="781"/>
      <c r="AC171" s="781"/>
      <c r="AD171" s="781"/>
      <c r="AE171" s="781"/>
    </row>
    <row r="172" ht="15.75" customHeight="1">
      <c r="A172" s="786">
        <v>44131.0</v>
      </c>
      <c r="B172" s="787" t="s">
        <v>3425</v>
      </c>
      <c r="C172" s="788" t="s">
        <v>2547</v>
      </c>
      <c r="D172" s="772" t="s">
        <v>6346</v>
      </c>
      <c r="E172" s="784">
        <v>20000.0</v>
      </c>
      <c r="F172" s="772" t="s">
        <v>3424</v>
      </c>
      <c r="G172" s="782" t="s">
        <v>2550</v>
      </c>
      <c r="H172" s="782" t="s">
        <v>29</v>
      </c>
      <c r="I172" s="782" t="s">
        <v>2551</v>
      </c>
      <c r="J172" s="782">
        <v>43840.0</v>
      </c>
      <c r="K172" s="785" t="s">
        <v>3836</v>
      </c>
      <c r="L172" s="781"/>
      <c r="M172" s="781"/>
      <c r="N172" s="781"/>
      <c r="O172" s="781"/>
      <c r="P172" s="781"/>
      <c r="Q172" s="781"/>
      <c r="R172" s="781"/>
      <c r="S172" s="781"/>
      <c r="T172" s="781"/>
      <c r="U172" s="781"/>
      <c r="V172" s="781"/>
      <c r="W172" s="781"/>
      <c r="X172" s="781"/>
      <c r="Y172" s="781"/>
      <c r="Z172" s="781"/>
      <c r="AA172" s="781"/>
      <c r="AB172" s="781"/>
      <c r="AC172" s="781"/>
      <c r="AD172" s="781"/>
      <c r="AE172" s="781"/>
    </row>
    <row r="173" ht="15.75" customHeight="1">
      <c r="A173" s="786">
        <v>44131.0</v>
      </c>
      <c r="B173" s="787" t="s">
        <v>2654</v>
      </c>
      <c r="C173" s="788" t="s">
        <v>2547</v>
      </c>
      <c r="D173" s="772" t="s">
        <v>6346</v>
      </c>
      <c r="E173" s="784">
        <v>3000.0</v>
      </c>
      <c r="F173" s="772" t="s">
        <v>2653</v>
      </c>
      <c r="G173" s="782" t="s">
        <v>2550</v>
      </c>
      <c r="H173" s="782" t="s">
        <v>29</v>
      </c>
      <c r="I173" s="782" t="s">
        <v>2551</v>
      </c>
      <c r="J173" s="782">
        <v>43867.0</v>
      </c>
      <c r="K173" s="785" t="s">
        <v>3828</v>
      </c>
      <c r="L173" s="781"/>
      <c r="M173" s="781"/>
      <c r="N173" s="781"/>
      <c r="O173" s="781"/>
      <c r="P173" s="781"/>
      <c r="Q173" s="781"/>
      <c r="R173" s="781"/>
      <c r="S173" s="781"/>
      <c r="T173" s="781"/>
      <c r="U173" s="781"/>
      <c r="V173" s="781"/>
      <c r="W173" s="781"/>
      <c r="X173" s="781"/>
      <c r="Y173" s="781"/>
      <c r="Z173" s="781"/>
      <c r="AA173" s="781"/>
      <c r="AB173" s="781"/>
      <c r="AC173" s="781"/>
      <c r="AD173" s="781"/>
      <c r="AE173" s="781"/>
    </row>
    <row r="174" ht="15.75" customHeight="1">
      <c r="A174" s="786">
        <v>44131.0</v>
      </c>
      <c r="B174" s="787" t="s">
        <v>2982</v>
      </c>
      <c r="C174" s="788" t="s">
        <v>2547</v>
      </c>
      <c r="D174" s="772" t="s">
        <v>6346</v>
      </c>
      <c r="E174" s="784">
        <v>7000.0</v>
      </c>
      <c r="F174" s="772" t="s">
        <v>2981</v>
      </c>
      <c r="G174" s="782" t="s">
        <v>2550</v>
      </c>
      <c r="H174" s="782" t="s">
        <v>29</v>
      </c>
      <c r="I174" s="782" t="s">
        <v>2551</v>
      </c>
      <c r="J174" s="782">
        <v>43703.0</v>
      </c>
      <c r="K174" s="785" t="s">
        <v>4206</v>
      </c>
      <c r="L174" s="781"/>
      <c r="M174" s="781"/>
      <c r="N174" s="781"/>
      <c r="O174" s="781"/>
      <c r="P174" s="781"/>
      <c r="Q174" s="781"/>
      <c r="R174" s="781"/>
      <c r="S174" s="781"/>
      <c r="T174" s="781"/>
      <c r="U174" s="781"/>
      <c r="V174" s="781"/>
      <c r="W174" s="781"/>
      <c r="X174" s="781"/>
      <c r="Y174" s="781"/>
      <c r="Z174" s="781"/>
      <c r="AA174" s="781"/>
      <c r="AB174" s="781"/>
      <c r="AC174" s="781"/>
      <c r="AD174" s="781"/>
      <c r="AE174" s="781"/>
    </row>
    <row r="175" ht="15.75" customHeight="1">
      <c r="A175" s="786">
        <v>44131.0</v>
      </c>
      <c r="B175" s="787" t="s">
        <v>3147</v>
      </c>
      <c r="C175" s="788" t="s">
        <v>2547</v>
      </c>
      <c r="D175" s="772" t="s">
        <v>6346</v>
      </c>
      <c r="E175" s="784">
        <v>10000.0</v>
      </c>
      <c r="F175" s="772" t="s">
        <v>3146</v>
      </c>
      <c r="G175" s="782" t="s">
        <v>2550</v>
      </c>
      <c r="H175" s="782" t="s">
        <v>29</v>
      </c>
      <c r="I175" s="782" t="s">
        <v>2551</v>
      </c>
      <c r="J175" s="782">
        <v>43732.0</v>
      </c>
      <c r="K175" s="785" t="s">
        <v>4206</v>
      </c>
      <c r="L175" s="781"/>
      <c r="M175" s="781"/>
      <c r="N175" s="781"/>
      <c r="O175" s="781"/>
      <c r="P175" s="781"/>
      <c r="Q175" s="781"/>
      <c r="R175" s="781"/>
      <c r="S175" s="781"/>
      <c r="T175" s="781"/>
      <c r="U175" s="781"/>
      <c r="V175" s="781"/>
      <c r="W175" s="781"/>
      <c r="X175" s="781"/>
      <c r="Y175" s="781"/>
      <c r="Z175" s="781"/>
      <c r="AA175" s="781"/>
      <c r="AB175" s="781"/>
      <c r="AC175" s="781"/>
      <c r="AD175" s="781"/>
      <c r="AE175" s="781"/>
    </row>
    <row r="176" ht="15.75" customHeight="1">
      <c r="A176" s="782">
        <v>44132.0</v>
      </c>
      <c r="B176" s="783" t="s">
        <v>3547</v>
      </c>
      <c r="C176" s="772" t="s">
        <v>2547</v>
      </c>
      <c r="D176" s="772" t="s">
        <v>6345</v>
      </c>
      <c r="E176" s="784">
        <v>191544.71</v>
      </c>
      <c r="F176" s="772" t="s">
        <v>3546</v>
      </c>
      <c r="G176" s="782" t="s">
        <v>2659</v>
      </c>
      <c r="H176" s="782" t="s">
        <v>29</v>
      </c>
      <c r="I176" s="782" t="s">
        <v>2659</v>
      </c>
      <c r="J176" s="782">
        <v>43494.0</v>
      </c>
      <c r="K176" s="785" t="s">
        <v>3840</v>
      </c>
      <c r="L176" s="781"/>
      <c r="M176" s="781"/>
      <c r="N176" s="781"/>
      <c r="O176" s="781"/>
      <c r="P176" s="781"/>
      <c r="Q176" s="781"/>
      <c r="R176" s="781"/>
      <c r="S176" s="781"/>
      <c r="T176" s="781"/>
      <c r="U176" s="781"/>
      <c r="V176" s="781"/>
      <c r="W176" s="781"/>
      <c r="X176" s="781"/>
      <c r="Y176" s="781"/>
      <c r="Z176" s="781"/>
      <c r="AA176" s="781"/>
      <c r="AB176" s="781"/>
      <c r="AC176" s="781"/>
      <c r="AD176" s="781"/>
      <c r="AE176" s="781"/>
    </row>
    <row r="177" ht="15.75" customHeight="1">
      <c r="A177" s="786">
        <v>44133.0</v>
      </c>
      <c r="B177" s="787" t="s">
        <v>3269</v>
      </c>
      <c r="C177" s="788" t="s">
        <v>2547</v>
      </c>
      <c r="D177" s="772" t="s">
        <v>6346</v>
      </c>
      <c r="E177" s="784">
        <v>9600.0</v>
      </c>
      <c r="F177" s="772" t="s">
        <v>3268</v>
      </c>
      <c r="G177" s="782" t="s">
        <v>2550</v>
      </c>
      <c r="H177" s="782" t="s">
        <v>29</v>
      </c>
      <c r="I177" s="782" t="s">
        <v>2551</v>
      </c>
      <c r="J177" s="782">
        <v>43873.0</v>
      </c>
      <c r="K177" s="785" t="s">
        <v>3828</v>
      </c>
      <c r="L177" s="781"/>
      <c r="M177" s="781"/>
      <c r="N177" s="781"/>
      <c r="O177" s="781"/>
      <c r="P177" s="781"/>
      <c r="Q177" s="781"/>
      <c r="R177" s="781"/>
      <c r="S177" s="781"/>
      <c r="T177" s="781"/>
      <c r="U177" s="781"/>
      <c r="V177" s="781"/>
      <c r="W177" s="781"/>
      <c r="X177" s="781"/>
      <c r="Y177" s="781"/>
      <c r="Z177" s="781"/>
      <c r="AA177" s="781"/>
      <c r="AB177" s="781"/>
      <c r="AC177" s="781"/>
      <c r="AD177" s="781"/>
      <c r="AE177" s="781"/>
    </row>
    <row r="178" ht="15.75" customHeight="1">
      <c r="A178" s="786">
        <v>44133.0</v>
      </c>
      <c r="B178" s="787" t="s">
        <v>3041</v>
      </c>
      <c r="C178" s="788" t="s">
        <v>2547</v>
      </c>
      <c r="D178" s="772" t="s">
        <v>6346</v>
      </c>
      <c r="E178" s="784">
        <v>8000.0</v>
      </c>
      <c r="F178" s="772" t="s">
        <v>3040</v>
      </c>
      <c r="G178" s="782" t="s">
        <v>2550</v>
      </c>
      <c r="H178" s="782" t="s">
        <v>29</v>
      </c>
      <c r="I178" s="782" t="s">
        <v>2551</v>
      </c>
      <c r="J178" s="782">
        <v>43605.0</v>
      </c>
      <c r="K178" s="785" t="s">
        <v>3836</v>
      </c>
      <c r="L178" s="781"/>
      <c r="M178" s="781"/>
      <c r="N178" s="781"/>
      <c r="O178" s="781"/>
      <c r="P178" s="781"/>
      <c r="Q178" s="781"/>
      <c r="R178" s="781"/>
      <c r="S178" s="781"/>
      <c r="T178" s="781"/>
      <c r="U178" s="781"/>
      <c r="V178" s="781"/>
      <c r="W178" s="781"/>
      <c r="X178" s="781"/>
      <c r="Y178" s="781"/>
      <c r="Z178" s="781"/>
      <c r="AA178" s="781"/>
      <c r="AB178" s="781"/>
      <c r="AC178" s="781"/>
      <c r="AD178" s="781"/>
      <c r="AE178" s="781"/>
    </row>
    <row r="179" ht="15.75" customHeight="1">
      <c r="A179" s="786">
        <v>44138.0</v>
      </c>
      <c r="B179" s="787" t="s">
        <v>3446</v>
      </c>
      <c r="C179" s="788" t="s">
        <v>2547</v>
      </c>
      <c r="D179" s="772" t="s">
        <v>6346</v>
      </c>
      <c r="E179" s="784">
        <v>100000.0</v>
      </c>
      <c r="F179" s="772" t="s">
        <v>3445</v>
      </c>
      <c r="G179" s="782" t="s">
        <v>2550</v>
      </c>
      <c r="H179" s="782" t="s">
        <v>29</v>
      </c>
      <c r="I179" s="782" t="s">
        <v>2551</v>
      </c>
      <c r="J179" s="782">
        <v>43675.0</v>
      </c>
      <c r="K179" s="785" t="s">
        <v>4206</v>
      </c>
      <c r="L179" s="781"/>
      <c r="M179" s="781"/>
      <c r="N179" s="781"/>
      <c r="O179" s="781"/>
      <c r="P179" s="781"/>
      <c r="Q179" s="781"/>
      <c r="R179" s="781"/>
      <c r="S179" s="781"/>
      <c r="T179" s="781"/>
      <c r="U179" s="781"/>
      <c r="V179" s="781"/>
      <c r="W179" s="781"/>
      <c r="X179" s="781"/>
      <c r="Y179" s="781"/>
      <c r="Z179" s="781"/>
      <c r="AA179" s="781"/>
      <c r="AB179" s="781"/>
      <c r="AC179" s="781"/>
      <c r="AD179" s="781"/>
      <c r="AE179" s="781"/>
    </row>
    <row r="180" ht="15.75" customHeight="1">
      <c r="A180" s="786">
        <v>44138.0</v>
      </c>
      <c r="B180" s="790" t="s">
        <v>2941</v>
      </c>
      <c r="C180" s="788" t="s">
        <v>2547</v>
      </c>
      <c r="D180" s="772" t="s">
        <v>6346</v>
      </c>
      <c r="E180" s="784">
        <v>30000.0</v>
      </c>
      <c r="F180" s="772" t="s">
        <v>2940</v>
      </c>
      <c r="G180" s="782" t="s">
        <v>2550</v>
      </c>
      <c r="H180" s="782" t="s">
        <v>29</v>
      </c>
      <c r="I180" s="782" t="s">
        <v>2551</v>
      </c>
      <c r="J180" s="782">
        <v>43888.0</v>
      </c>
      <c r="K180" s="785" t="s">
        <v>3828</v>
      </c>
      <c r="L180" s="781"/>
      <c r="M180" s="781"/>
      <c r="N180" s="781"/>
      <c r="O180" s="781"/>
      <c r="P180" s="781"/>
      <c r="Q180" s="781"/>
      <c r="R180" s="781"/>
      <c r="S180" s="781"/>
      <c r="T180" s="781"/>
      <c r="U180" s="781"/>
      <c r="V180" s="781"/>
      <c r="W180" s="781"/>
      <c r="X180" s="781"/>
      <c r="Y180" s="781"/>
      <c r="Z180" s="781"/>
      <c r="AA180" s="781"/>
      <c r="AB180" s="781"/>
      <c r="AC180" s="781"/>
      <c r="AD180" s="781"/>
      <c r="AE180" s="781"/>
    </row>
    <row r="181" ht="15.75" customHeight="1">
      <c r="A181" s="786">
        <v>44138.0</v>
      </c>
      <c r="B181" s="787" t="s">
        <v>3041</v>
      </c>
      <c r="C181" s="788" t="s">
        <v>2547</v>
      </c>
      <c r="D181" s="772" t="s">
        <v>6346</v>
      </c>
      <c r="E181" s="784">
        <v>6000.0</v>
      </c>
      <c r="F181" s="772" t="s">
        <v>3040</v>
      </c>
      <c r="G181" s="782" t="s">
        <v>2550</v>
      </c>
      <c r="H181" s="782" t="s">
        <v>29</v>
      </c>
      <c r="I181" s="782" t="s">
        <v>2551</v>
      </c>
      <c r="J181" s="782">
        <v>43605.0</v>
      </c>
      <c r="K181" s="785" t="s">
        <v>3836</v>
      </c>
      <c r="L181" s="781"/>
      <c r="M181" s="781"/>
      <c r="N181" s="781"/>
      <c r="O181" s="781"/>
      <c r="P181" s="781"/>
      <c r="Q181" s="781"/>
      <c r="R181" s="781"/>
      <c r="S181" s="781"/>
      <c r="T181" s="781"/>
      <c r="U181" s="781"/>
      <c r="V181" s="781"/>
      <c r="W181" s="781"/>
      <c r="X181" s="781"/>
      <c r="Y181" s="781"/>
      <c r="Z181" s="781"/>
      <c r="AA181" s="781"/>
      <c r="AB181" s="781"/>
      <c r="AC181" s="781"/>
      <c r="AD181" s="781"/>
      <c r="AE181" s="781"/>
    </row>
    <row r="182" ht="15.75" customHeight="1">
      <c r="A182" s="786">
        <v>44138.0</v>
      </c>
      <c r="B182" s="787" t="s">
        <v>3056</v>
      </c>
      <c r="C182" s="788" t="s">
        <v>2547</v>
      </c>
      <c r="D182" s="772" t="s">
        <v>6346</v>
      </c>
      <c r="E182" s="784">
        <v>6000.0</v>
      </c>
      <c r="F182" s="772" t="s">
        <v>3055</v>
      </c>
      <c r="G182" s="782" t="s">
        <v>2550</v>
      </c>
      <c r="H182" s="782" t="s">
        <v>29</v>
      </c>
      <c r="I182" s="782" t="s">
        <v>2562</v>
      </c>
      <c r="J182" s="782">
        <v>43559.0</v>
      </c>
      <c r="K182" s="785" t="s">
        <v>4206</v>
      </c>
      <c r="L182" s="781"/>
      <c r="M182" s="781"/>
      <c r="N182" s="781"/>
      <c r="O182" s="781"/>
      <c r="P182" s="781"/>
      <c r="Q182" s="781"/>
      <c r="R182" s="781"/>
      <c r="S182" s="781"/>
      <c r="T182" s="781"/>
      <c r="U182" s="781"/>
      <c r="V182" s="781"/>
      <c r="W182" s="781"/>
      <c r="X182" s="781"/>
      <c r="Y182" s="781"/>
      <c r="Z182" s="781"/>
      <c r="AA182" s="781"/>
      <c r="AB182" s="781"/>
      <c r="AC182" s="781"/>
      <c r="AD182" s="781"/>
      <c r="AE182" s="781"/>
    </row>
    <row r="183" ht="15.75" customHeight="1">
      <c r="A183" s="786">
        <v>44138.0</v>
      </c>
      <c r="B183" s="787" t="s">
        <v>2982</v>
      </c>
      <c r="C183" s="788" t="s">
        <v>2547</v>
      </c>
      <c r="D183" s="772" t="s">
        <v>6346</v>
      </c>
      <c r="E183" s="784">
        <v>6300.0</v>
      </c>
      <c r="F183" s="772" t="s">
        <v>2981</v>
      </c>
      <c r="G183" s="782" t="s">
        <v>2550</v>
      </c>
      <c r="H183" s="782" t="s">
        <v>29</v>
      </c>
      <c r="I183" s="782" t="s">
        <v>2551</v>
      </c>
      <c r="J183" s="782">
        <v>43703.0</v>
      </c>
      <c r="K183" s="785" t="s">
        <v>4206</v>
      </c>
      <c r="L183" s="781"/>
      <c r="M183" s="781"/>
      <c r="N183" s="781"/>
      <c r="O183" s="781"/>
      <c r="P183" s="781"/>
      <c r="Q183" s="781"/>
      <c r="R183" s="781"/>
      <c r="S183" s="781"/>
      <c r="T183" s="781"/>
      <c r="U183" s="781"/>
      <c r="V183" s="781"/>
      <c r="W183" s="781"/>
      <c r="X183" s="781"/>
      <c r="Y183" s="781"/>
      <c r="Z183" s="781"/>
      <c r="AA183" s="781"/>
      <c r="AB183" s="781"/>
      <c r="AC183" s="781"/>
      <c r="AD183" s="781"/>
      <c r="AE183" s="781"/>
    </row>
    <row r="184" ht="15.75" customHeight="1">
      <c r="A184" s="786">
        <v>44138.0</v>
      </c>
      <c r="B184" s="787" t="s">
        <v>2982</v>
      </c>
      <c r="C184" s="788" t="s">
        <v>2547</v>
      </c>
      <c r="D184" s="772" t="s">
        <v>6346</v>
      </c>
      <c r="E184" s="784">
        <v>10000.0</v>
      </c>
      <c r="F184" s="772" t="s">
        <v>2981</v>
      </c>
      <c r="G184" s="782" t="s">
        <v>2550</v>
      </c>
      <c r="H184" s="782" t="s">
        <v>29</v>
      </c>
      <c r="I184" s="782" t="s">
        <v>2551</v>
      </c>
      <c r="J184" s="782">
        <v>43703.0</v>
      </c>
      <c r="K184" s="785" t="s">
        <v>4206</v>
      </c>
      <c r="L184" s="781"/>
      <c r="M184" s="781"/>
      <c r="N184" s="781"/>
      <c r="O184" s="781"/>
      <c r="P184" s="781"/>
      <c r="Q184" s="781"/>
      <c r="R184" s="781"/>
      <c r="S184" s="781"/>
      <c r="T184" s="781"/>
      <c r="U184" s="781"/>
      <c r="V184" s="781"/>
      <c r="W184" s="781"/>
      <c r="X184" s="781"/>
      <c r="Y184" s="781"/>
      <c r="Z184" s="781"/>
      <c r="AA184" s="781"/>
      <c r="AB184" s="781"/>
      <c r="AC184" s="781"/>
      <c r="AD184" s="781"/>
      <c r="AE184" s="781"/>
    </row>
    <row r="185" ht="15.75" customHeight="1">
      <c r="A185" s="786">
        <v>44138.0</v>
      </c>
      <c r="B185" s="787" t="s">
        <v>6360</v>
      </c>
      <c r="C185" s="788" t="s">
        <v>3820</v>
      </c>
      <c r="D185" s="772" t="s">
        <v>6346</v>
      </c>
      <c r="E185" s="784">
        <v>5000.0</v>
      </c>
      <c r="F185" s="772" t="s">
        <v>4870</v>
      </c>
      <c r="G185" s="772" t="s">
        <v>2550</v>
      </c>
      <c r="H185" s="772" t="s">
        <v>29</v>
      </c>
      <c r="I185" s="772" t="s">
        <v>2550</v>
      </c>
      <c r="J185" s="782">
        <v>44068.0</v>
      </c>
      <c r="K185" s="789" t="s">
        <v>3828</v>
      </c>
      <c r="L185" s="781"/>
      <c r="M185" s="781"/>
      <c r="N185" s="781"/>
      <c r="O185" s="781"/>
      <c r="P185" s="781"/>
      <c r="Q185" s="781"/>
      <c r="R185" s="781"/>
      <c r="S185" s="781"/>
      <c r="T185" s="781"/>
      <c r="U185" s="781"/>
      <c r="V185" s="781"/>
      <c r="W185" s="781"/>
      <c r="X185" s="781"/>
      <c r="Y185" s="781"/>
      <c r="Z185" s="781"/>
      <c r="AA185" s="781"/>
      <c r="AB185" s="781"/>
      <c r="AC185" s="781"/>
      <c r="AD185" s="781"/>
      <c r="AE185" s="781"/>
    </row>
    <row r="186" ht="15.75" customHeight="1">
      <c r="A186" s="786">
        <v>44139.0</v>
      </c>
      <c r="B186" s="787" t="s">
        <v>2991</v>
      </c>
      <c r="C186" s="788" t="s">
        <v>2547</v>
      </c>
      <c r="D186" s="772" t="s">
        <v>6346</v>
      </c>
      <c r="E186" s="784">
        <v>10000.0</v>
      </c>
      <c r="F186" s="772" t="s">
        <v>2990</v>
      </c>
      <c r="G186" s="782" t="s">
        <v>2550</v>
      </c>
      <c r="H186" s="782" t="s">
        <v>29</v>
      </c>
      <c r="I186" s="782" t="s">
        <v>2551</v>
      </c>
      <c r="J186" s="782">
        <v>43875.0</v>
      </c>
      <c r="K186" s="785" t="s">
        <v>3836</v>
      </c>
      <c r="L186" s="781"/>
      <c r="M186" s="781"/>
      <c r="N186" s="781"/>
      <c r="O186" s="781"/>
      <c r="P186" s="781"/>
      <c r="Q186" s="781"/>
      <c r="R186" s="781"/>
      <c r="S186" s="781"/>
      <c r="T186" s="781"/>
      <c r="U186" s="781"/>
      <c r="V186" s="781"/>
      <c r="W186" s="781"/>
      <c r="X186" s="781"/>
      <c r="Y186" s="781"/>
      <c r="Z186" s="781"/>
      <c r="AA186" s="781"/>
      <c r="AB186" s="781"/>
      <c r="AC186" s="781"/>
      <c r="AD186" s="781"/>
      <c r="AE186" s="781"/>
    </row>
    <row r="187" ht="15.75" customHeight="1">
      <c r="A187" s="786">
        <v>44139.0</v>
      </c>
      <c r="B187" s="787" t="s">
        <v>3284</v>
      </c>
      <c r="C187" s="788" t="s">
        <v>2547</v>
      </c>
      <c r="D187" s="772" t="s">
        <v>6346</v>
      </c>
      <c r="E187" s="784">
        <v>20000.0</v>
      </c>
      <c r="F187" s="772" t="s">
        <v>3283</v>
      </c>
      <c r="G187" s="782" t="s">
        <v>2550</v>
      </c>
      <c r="H187" s="782" t="s">
        <v>29</v>
      </c>
      <c r="I187" s="782" t="s">
        <v>2562</v>
      </c>
      <c r="J187" s="782">
        <v>43622.0</v>
      </c>
      <c r="K187" s="785" t="s">
        <v>3836</v>
      </c>
      <c r="L187" s="781"/>
      <c r="M187" s="781"/>
      <c r="N187" s="781"/>
      <c r="O187" s="781"/>
      <c r="P187" s="781"/>
      <c r="Q187" s="781"/>
      <c r="R187" s="781"/>
      <c r="S187" s="781"/>
      <c r="T187" s="781"/>
      <c r="U187" s="781"/>
      <c r="V187" s="781"/>
      <c r="W187" s="781"/>
      <c r="X187" s="781"/>
      <c r="Y187" s="781"/>
      <c r="Z187" s="781"/>
      <c r="AA187" s="781"/>
      <c r="AB187" s="781"/>
      <c r="AC187" s="781"/>
      <c r="AD187" s="781"/>
      <c r="AE187" s="781"/>
    </row>
    <row r="188" ht="15.75" customHeight="1">
      <c r="A188" s="786">
        <v>44139.0</v>
      </c>
      <c r="B188" s="787" t="s">
        <v>3656</v>
      </c>
      <c r="C188" s="788" t="s">
        <v>3632</v>
      </c>
      <c r="D188" s="772" t="s">
        <v>6346</v>
      </c>
      <c r="E188" s="784">
        <v>30000.0</v>
      </c>
      <c r="F188" s="772" t="s">
        <v>3655</v>
      </c>
      <c r="G188" s="782" t="s">
        <v>18</v>
      </c>
      <c r="H188" s="782" t="s">
        <v>29</v>
      </c>
      <c r="I188" s="782" t="s">
        <v>18</v>
      </c>
      <c r="J188" s="782">
        <v>44062.0</v>
      </c>
      <c r="K188" s="785" t="s">
        <v>3828</v>
      </c>
      <c r="L188" s="781"/>
      <c r="M188" s="781"/>
      <c r="N188" s="781"/>
      <c r="O188" s="781"/>
      <c r="P188" s="781"/>
      <c r="Q188" s="781"/>
      <c r="R188" s="781"/>
      <c r="S188" s="781"/>
      <c r="T188" s="781"/>
      <c r="U188" s="781"/>
      <c r="V188" s="781"/>
      <c r="W188" s="781"/>
      <c r="X188" s="781"/>
      <c r="Y188" s="781"/>
      <c r="Z188" s="781"/>
      <c r="AA188" s="781"/>
      <c r="AB188" s="781"/>
      <c r="AC188" s="781"/>
      <c r="AD188" s="781"/>
      <c r="AE188" s="781"/>
    </row>
    <row r="189" ht="15.75" customHeight="1">
      <c r="A189" s="786">
        <v>44139.0</v>
      </c>
      <c r="B189" s="787" t="s">
        <v>3716</v>
      </c>
      <c r="C189" s="788" t="s">
        <v>3632</v>
      </c>
      <c r="D189" s="772" t="s">
        <v>6346</v>
      </c>
      <c r="E189" s="784">
        <v>28000.0</v>
      </c>
      <c r="F189" s="772" t="s">
        <v>3715</v>
      </c>
      <c r="G189" s="782" t="s">
        <v>18</v>
      </c>
      <c r="H189" s="782" t="s">
        <v>29</v>
      </c>
      <c r="I189" s="782" t="s">
        <v>2803</v>
      </c>
      <c r="J189" s="782">
        <v>43635.0</v>
      </c>
      <c r="K189" s="785" t="s">
        <v>4206</v>
      </c>
      <c r="L189" s="781"/>
      <c r="M189" s="781"/>
      <c r="N189" s="781"/>
      <c r="O189" s="781"/>
      <c r="P189" s="781"/>
      <c r="Q189" s="781"/>
      <c r="R189" s="781"/>
      <c r="S189" s="781"/>
      <c r="T189" s="781"/>
      <c r="U189" s="781"/>
      <c r="V189" s="781"/>
      <c r="W189" s="781"/>
      <c r="X189" s="781"/>
      <c r="Y189" s="781"/>
      <c r="Z189" s="781"/>
      <c r="AA189" s="781"/>
      <c r="AB189" s="781"/>
      <c r="AC189" s="781"/>
      <c r="AD189" s="781"/>
      <c r="AE189" s="781"/>
    </row>
    <row r="190" ht="15.75" customHeight="1">
      <c r="A190" s="786">
        <v>44141.0</v>
      </c>
      <c r="B190" s="787" t="s">
        <v>3086</v>
      </c>
      <c r="C190" s="788" t="s">
        <v>2547</v>
      </c>
      <c r="D190" s="772" t="s">
        <v>6346</v>
      </c>
      <c r="E190" s="784">
        <v>1800000.0</v>
      </c>
      <c r="F190" s="772" t="s">
        <v>3085</v>
      </c>
      <c r="G190" s="782" t="s">
        <v>2550</v>
      </c>
      <c r="H190" s="782" t="s">
        <v>29</v>
      </c>
      <c r="I190" s="782" t="s">
        <v>2562</v>
      </c>
      <c r="J190" s="782">
        <v>43664.0</v>
      </c>
      <c r="K190" s="785" t="s">
        <v>4206</v>
      </c>
      <c r="L190" s="781"/>
      <c r="M190" s="781"/>
      <c r="N190" s="781"/>
      <c r="O190" s="781"/>
      <c r="P190" s="781"/>
      <c r="Q190" s="781"/>
      <c r="R190" s="781"/>
      <c r="S190" s="781"/>
      <c r="T190" s="781"/>
      <c r="U190" s="781"/>
      <c r="V190" s="781"/>
      <c r="W190" s="781"/>
      <c r="X190" s="781"/>
      <c r="Y190" s="781"/>
      <c r="Z190" s="781"/>
      <c r="AA190" s="781"/>
      <c r="AB190" s="781"/>
      <c r="AC190" s="781"/>
      <c r="AD190" s="781"/>
      <c r="AE190" s="781"/>
    </row>
    <row r="191" ht="15.75" customHeight="1">
      <c r="A191" s="786">
        <v>44144.0</v>
      </c>
      <c r="B191" s="787" t="s">
        <v>3041</v>
      </c>
      <c r="C191" s="788" t="s">
        <v>2547</v>
      </c>
      <c r="D191" s="772" t="s">
        <v>6346</v>
      </c>
      <c r="E191" s="784">
        <v>15000.0</v>
      </c>
      <c r="F191" s="772" t="s">
        <v>3040</v>
      </c>
      <c r="G191" s="782" t="s">
        <v>2550</v>
      </c>
      <c r="H191" s="782" t="s">
        <v>29</v>
      </c>
      <c r="I191" s="782" t="s">
        <v>2551</v>
      </c>
      <c r="J191" s="782">
        <v>43605.0</v>
      </c>
      <c r="K191" s="785" t="s">
        <v>3836</v>
      </c>
      <c r="L191" s="781"/>
      <c r="M191" s="781"/>
      <c r="N191" s="781"/>
      <c r="O191" s="781"/>
      <c r="P191" s="781"/>
      <c r="Q191" s="781"/>
      <c r="R191" s="781"/>
      <c r="S191" s="781"/>
      <c r="T191" s="781"/>
      <c r="U191" s="781"/>
      <c r="V191" s="781"/>
      <c r="W191" s="781"/>
      <c r="X191" s="781"/>
      <c r="Y191" s="781"/>
      <c r="Z191" s="781"/>
      <c r="AA191" s="781"/>
      <c r="AB191" s="781"/>
      <c r="AC191" s="781"/>
      <c r="AD191" s="781"/>
      <c r="AE191" s="781"/>
    </row>
    <row r="192" ht="15.75" customHeight="1">
      <c r="A192" s="786">
        <v>44144.0</v>
      </c>
      <c r="B192" s="787" t="s">
        <v>3516</v>
      </c>
      <c r="C192" s="788" t="s">
        <v>2547</v>
      </c>
      <c r="D192" s="772" t="s">
        <v>6346</v>
      </c>
      <c r="E192" s="784">
        <v>7000.0</v>
      </c>
      <c r="F192" s="772" t="s">
        <v>3515</v>
      </c>
      <c r="G192" s="782" t="s">
        <v>2550</v>
      </c>
      <c r="H192" s="782" t="s">
        <v>29</v>
      </c>
      <c r="I192" s="782" t="s">
        <v>2551</v>
      </c>
      <c r="J192" s="782">
        <v>43717.0</v>
      </c>
      <c r="K192" s="785" t="s">
        <v>4206</v>
      </c>
      <c r="L192" s="781"/>
      <c r="M192" s="781"/>
      <c r="N192" s="781"/>
      <c r="O192" s="781"/>
      <c r="P192" s="781"/>
      <c r="Q192" s="781"/>
      <c r="R192" s="781"/>
      <c r="S192" s="781"/>
      <c r="T192" s="781"/>
      <c r="U192" s="781"/>
      <c r="V192" s="781"/>
      <c r="W192" s="781"/>
      <c r="X192" s="781"/>
      <c r="Y192" s="781"/>
      <c r="Z192" s="781"/>
      <c r="AA192" s="781"/>
      <c r="AB192" s="781"/>
      <c r="AC192" s="781"/>
      <c r="AD192" s="781"/>
      <c r="AE192" s="781"/>
    </row>
    <row r="193" ht="15.75" customHeight="1">
      <c r="A193" s="786">
        <v>44145.0</v>
      </c>
      <c r="B193" s="790" t="s">
        <v>2941</v>
      </c>
      <c r="C193" s="788" t="s">
        <v>2547</v>
      </c>
      <c r="D193" s="772" t="s">
        <v>6346</v>
      </c>
      <c r="E193" s="784">
        <v>90562.43</v>
      </c>
      <c r="F193" s="772" t="s">
        <v>2940</v>
      </c>
      <c r="G193" s="782" t="s">
        <v>2550</v>
      </c>
      <c r="H193" s="782" t="s">
        <v>29</v>
      </c>
      <c r="I193" s="782" t="s">
        <v>2551</v>
      </c>
      <c r="J193" s="782">
        <v>43888.0</v>
      </c>
      <c r="K193" s="785" t="s">
        <v>3828</v>
      </c>
      <c r="L193" s="781"/>
      <c r="M193" s="781"/>
      <c r="N193" s="781"/>
      <c r="O193" s="781"/>
      <c r="P193" s="781"/>
      <c r="Q193" s="781"/>
      <c r="R193" s="781"/>
      <c r="S193" s="781"/>
      <c r="T193" s="781"/>
      <c r="U193" s="781"/>
      <c r="V193" s="781"/>
      <c r="W193" s="781"/>
      <c r="X193" s="781"/>
      <c r="Y193" s="781"/>
      <c r="Z193" s="781"/>
      <c r="AA193" s="781"/>
      <c r="AB193" s="781"/>
      <c r="AC193" s="781"/>
      <c r="AD193" s="781"/>
      <c r="AE193" s="781"/>
    </row>
    <row r="194" ht="15.75" customHeight="1">
      <c r="A194" s="786">
        <v>44145.0</v>
      </c>
      <c r="B194" s="787" t="s">
        <v>6347</v>
      </c>
      <c r="C194" s="788" t="s">
        <v>3820</v>
      </c>
      <c r="D194" s="772" t="s">
        <v>6346</v>
      </c>
      <c r="E194" s="784">
        <v>45400.0</v>
      </c>
      <c r="F194" s="772" t="s">
        <v>5059</v>
      </c>
      <c r="G194" s="772" t="s">
        <v>2550</v>
      </c>
      <c r="H194" s="772" t="s">
        <v>29</v>
      </c>
      <c r="I194" s="772" t="s">
        <v>2550</v>
      </c>
      <c r="J194" s="782">
        <v>43749.0</v>
      </c>
      <c r="K194" s="789" t="s">
        <v>4206</v>
      </c>
      <c r="L194" s="781"/>
      <c r="M194" s="781"/>
      <c r="N194" s="781"/>
      <c r="O194" s="781"/>
      <c r="P194" s="781"/>
      <c r="Q194" s="781"/>
      <c r="R194" s="781"/>
      <c r="S194" s="781"/>
      <c r="T194" s="781"/>
      <c r="U194" s="781"/>
      <c r="V194" s="781"/>
      <c r="W194" s="781"/>
      <c r="X194" s="781"/>
      <c r="Y194" s="781"/>
      <c r="Z194" s="781"/>
      <c r="AA194" s="781"/>
      <c r="AB194" s="781"/>
      <c r="AC194" s="781"/>
      <c r="AD194" s="781"/>
      <c r="AE194" s="781"/>
    </row>
    <row r="195" ht="15.75" customHeight="1">
      <c r="A195" s="786">
        <v>44147.0</v>
      </c>
      <c r="B195" s="787" t="s">
        <v>3590</v>
      </c>
      <c r="C195" s="788" t="s">
        <v>2547</v>
      </c>
      <c r="D195" s="772" t="s">
        <v>6346</v>
      </c>
      <c r="E195" s="784">
        <v>10000.0</v>
      </c>
      <c r="F195" s="772" t="s">
        <v>3589</v>
      </c>
      <c r="G195" s="782" t="s">
        <v>2550</v>
      </c>
      <c r="H195" s="782" t="s">
        <v>29</v>
      </c>
      <c r="I195" s="782" t="s">
        <v>2551</v>
      </c>
      <c r="J195" s="782">
        <v>43567.0</v>
      </c>
      <c r="K195" s="785" t="s">
        <v>3828</v>
      </c>
      <c r="L195" s="781"/>
      <c r="M195" s="781"/>
      <c r="N195" s="781"/>
      <c r="O195" s="781"/>
      <c r="P195" s="781"/>
      <c r="Q195" s="781"/>
      <c r="R195" s="781"/>
      <c r="S195" s="781"/>
      <c r="T195" s="781"/>
      <c r="U195" s="781"/>
      <c r="V195" s="781"/>
      <c r="W195" s="781"/>
      <c r="X195" s="781"/>
      <c r="Y195" s="781"/>
      <c r="Z195" s="781"/>
      <c r="AA195" s="781"/>
      <c r="AB195" s="781"/>
      <c r="AC195" s="781"/>
      <c r="AD195" s="781"/>
      <c r="AE195" s="781"/>
    </row>
    <row r="196" ht="15.75" customHeight="1">
      <c r="A196" s="786">
        <v>44147.0</v>
      </c>
      <c r="B196" s="787" t="s">
        <v>6366</v>
      </c>
      <c r="C196" s="788" t="s">
        <v>3820</v>
      </c>
      <c r="D196" s="772" t="s">
        <v>6346</v>
      </c>
      <c r="E196" s="784">
        <v>20000.0</v>
      </c>
      <c r="F196" s="772" t="s">
        <v>4627</v>
      </c>
      <c r="G196" s="772" t="s">
        <v>2550</v>
      </c>
      <c r="H196" s="772" t="s">
        <v>29</v>
      </c>
      <c r="I196" s="772" t="s">
        <v>2550</v>
      </c>
      <c r="J196" s="782">
        <v>43717.0</v>
      </c>
      <c r="K196" s="789" t="s">
        <v>4206</v>
      </c>
      <c r="L196" s="781"/>
      <c r="M196" s="781"/>
      <c r="N196" s="781"/>
      <c r="O196" s="781"/>
      <c r="P196" s="781"/>
      <c r="Q196" s="781"/>
      <c r="R196" s="781"/>
      <c r="S196" s="781"/>
      <c r="T196" s="781"/>
      <c r="U196" s="781"/>
      <c r="V196" s="781"/>
      <c r="W196" s="781"/>
      <c r="X196" s="781"/>
      <c r="Y196" s="781"/>
      <c r="Z196" s="781"/>
      <c r="AA196" s="781"/>
      <c r="AB196" s="781"/>
      <c r="AC196" s="781"/>
      <c r="AD196" s="781"/>
      <c r="AE196" s="781"/>
    </row>
    <row r="197" ht="15.75" customHeight="1">
      <c r="A197" s="786">
        <v>44147.0</v>
      </c>
      <c r="B197" s="787" t="s">
        <v>3496</v>
      </c>
      <c r="C197" s="788" t="s">
        <v>2547</v>
      </c>
      <c r="D197" s="772" t="s">
        <v>6346</v>
      </c>
      <c r="E197" s="784">
        <v>50000.0</v>
      </c>
      <c r="F197" s="772" t="s">
        <v>3495</v>
      </c>
      <c r="G197" s="782" t="s">
        <v>2550</v>
      </c>
      <c r="H197" s="782" t="s">
        <v>29</v>
      </c>
      <c r="I197" s="782" t="s">
        <v>2551</v>
      </c>
      <c r="J197" s="782">
        <v>44041.0</v>
      </c>
      <c r="K197" s="785" t="s">
        <v>3828</v>
      </c>
      <c r="L197" s="781"/>
      <c r="M197" s="781"/>
      <c r="N197" s="781"/>
      <c r="O197" s="781"/>
      <c r="P197" s="781"/>
      <c r="Q197" s="781"/>
      <c r="R197" s="781"/>
      <c r="S197" s="781"/>
      <c r="T197" s="781"/>
      <c r="U197" s="781"/>
      <c r="V197" s="781"/>
      <c r="W197" s="781"/>
      <c r="X197" s="781"/>
      <c r="Y197" s="781"/>
      <c r="Z197" s="781"/>
      <c r="AA197" s="781"/>
      <c r="AB197" s="781"/>
      <c r="AC197" s="781"/>
      <c r="AD197" s="781"/>
      <c r="AE197" s="781"/>
    </row>
    <row r="198" ht="15.75" customHeight="1">
      <c r="A198" s="786">
        <v>44151.0</v>
      </c>
      <c r="B198" s="787" t="s">
        <v>3721</v>
      </c>
      <c r="C198" s="788" t="s">
        <v>3632</v>
      </c>
      <c r="D198" s="772" t="s">
        <v>6346</v>
      </c>
      <c r="E198" s="784">
        <v>6000.0</v>
      </c>
      <c r="F198" s="772" t="s">
        <v>3720</v>
      </c>
      <c r="G198" s="782" t="s">
        <v>18</v>
      </c>
      <c r="H198" s="782" t="s">
        <v>29</v>
      </c>
      <c r="I198" s="782" t="s">
        <v>2213</v>
      </c>
      <c r="J198" s="782">
        <v>43797.0</v>
      </c>
      <c r="K198" s="785" t="s">
        <v>3836</v>
      </c>
      <c r="L198" s="781"/>
      <c r="M198" s="781"/>
      <c r="N198" s="781"/>
      <c r="O198" s="781"/>
      <c r="P198" s="781"/>
      <c r="Q198" s="781"/>
      <c r="R198" s="781"/>
      <c r="S198" s="781"/>
      <c r="T198" s="781"/>
      <c r="U198" s="781"/>
      <c r="V198" s="781"/>
      <c r="W198" s="781"/>
      <c r="X198" s="781"/>
      <c r="Y198" s="781"/>
      <c r="Z198" s="781"/>
      <c r="AA198" s="781"/>
      <c r="AB198" s="781"/>
      <c r="AC198" s="781"/>
      <c r="AD198" s="781"/>
      <c r="AE198" s="781"/>
    </row>
    <row r="199" ht="15.75" customHeight="1">
      <c r="A199" s="786">
        <v>44152.0</v>
      </c>
      <c r="B199" s="787" t="s">
        <v>6360</v>
      </c>
      <c r="C199" s="788" t="s">
        <v>3820</v>
      </c>
      <c r="D199" s="772" t="s">
        <v>6346</v>
      </c>
      <c r="E199" s="784">
        <v>20000.0</v>
      </c>
      <c r="F199" s="772" t="s">
        <v>4870</v>
      </c>
      <c r="G199" s="772" t="s">
        <v>2550</v>
      </c>
      <c r="H199" s="772" t="s">
        <v>29</v>
      </c>
      <c r="I199" s="772" t="s">
        <v>2550</v>
      </c>
      <c r="J199" s="782">
        <v>44068.0</v>
      </c>
      <c r="K199" s="789" t="s">
        <v>3828</v>
      </c>
      <c r="L199" s="781"/>
      <c r="M199" s="781"/>
      <c r="N199" s="781"/>
      <c r="O199" s="781"/>
      <c r="P199" s="781"/>
      <c r="Q199" s="781"/>
      <c r="R199" s="781"/>
      <c r="S199" s="781"/>
      <c r="T199" s="781"/>
      <c r="U199" s="781"/>
      <c r="V199" s="781"/>
      <c r="W199" s="781"/>
      <c r="X199" s="781"/>
      <c r="Y199" s="781"/>
      <c r="Z199" s="781"/>
      <c r="AA199" s="781"/>
      <c r="AB199" s="781"/>
      <c r="AC199" s="781"/>
      <c r="AD199" s="781"/>
      <c r="AE199" s="781"/>
    </row>
    <row r="200" ht="15.75" customHeight="1">
      <c r="A200" s="782">
        <v>44153.0</v>
      </c>
      <c r="B200" s="783" t="s">
        <v>3425</v>
      </c>
      <c r="C200" s="772" t="s">
        <v>2547</v>
      </c>
      <c r="D200" s="772" t="s">
        <v>6345</v>
      </c>
      <c r="E200" s="784">
        <v>90562.43</v>
      </c>
      <c r="F200" s="772" t="s">
        <v>3424</v>
      </c>
      <c r="G200" s="782" t="s">
        <v>2550</v>
      </c>
      <c r="H200" s="782" t="s">
        <v>29</v>
      </c>
      <c r="I200" s="782" t="s">
        <v>2551</v>
      </c>
      <c r="J200" s="782">
        <v>43840.0</v>
      </c>
      <c r="K200" s="785" t="s">
        <v>3836</v>
      </c>
      <c r="L200" s="781"/>
      <c r="M200" s="781"/>
      <c r="N200" s="781"/>
      <c r="O200" s="781"/>
      <c r="P200" s="781"/>
      <c r="Q200" s="781"/>
      <c r="R200" s="781"/>
      <c r="S200" s="781"/>
      <c r="T200" s="781"/>
      <c r="U200" s="781"/>
      <c r="V200" s="781"/>
      <c r="W200" s="781"/>
      <c r="X200" s="781"/>
      <c r="Y200" s="781"/>
      <c r="Z200" s="781"/>
      <c r="AA200" s="781"/>
      <c r="AB200" s="781"/>
      <c r="AC200" s="781"/>
      <c r="AD200" s="781"/>
      <c r="AE200" s="781"/>
    </row>
    <row r="201" ht="15.75" customHeight="1">
      <c r="A201" s="786">
        <v>44153.0</v>
      </c>
      <c r="B201" s="787" t="s">
        <v>3425</v>
      </c>
      <c r="C201" s="788" t="s">
        <v>2547</v>
      </c>
      <c r="D201" s="772" t="s">
        <v>6346</v>
      </c>
      <c r="E201" s="791">
        <v>30000.0</v>
      </c>
      <c r="F201" s="772" t="s">
        <v>3424</v>
      </c>
      <c r="G201" s="782" t="s">
        <v>2550</v>
      </c>
      <c r="H201" s="782" t="s">
        <v>29</v>
      </c>
      <c r="I201" s="782" t="s">
        <v>2551</v>
      </c>
      <c r="J201" s="782">
        <v>43840.0</v>
      </c>
      <c r="K201" s="785" t="s">
        <v>3836</v>
      </c>
      <c r="L201" s="781"/>
      <c r="M201" s="781"/>
      <c r="N201" s="781"/>
      <c r="O201" s="781"/>
      <c r="P201" s="781"/>
      <c r="Q201" s="781"/>
      <c r="R201" s="781"/>
      <c r="S201" s="781"/>
      <c r="T201" s="781"/>
      <c r="U201" s="781"/>
      <c r="V201" s="781"/>
      <c r="W201" s="781"/>
      <c r="X201" s="781"/>
      <c r="Y201" s="781"/>
      <c r="Z201" s="781"/>
      <c r="AA201" s="781"/>
      <c r="AB201" s="781"/>
      <c r="AC201" s="781"/>
      <c r="AD201" s="781"/>
      <c r="AE201" s="781"/>
    </row>
    <row r="202" ht="15.75" customHeight="1">
      <c r="A202" s="786">
        <v>44159.0</v>
      </c>
      <c r="B202" s="787" t="s">
        <v>3041</v>
      </c>
      <c r="C202" s="788" t="s">
        <v>2547</v>
      </c>
      <c r="D202" s="772" t="s">
        <v>6346</v>
      </c>
      <c r="E202" s="784">
        <v>7000.0</v>
      </c>
      <c r="F202" s="772" t="s">
        <v>3040</v>
      </c>
      <c r="G202" s="782" t="s">
        <v>2550</v>
      </c>
      <c r="H202" s="782" t="s">
        <v>29</v>
      </c>
      <c r="I202" s="782" t="s">
        <v>2551</v>
      </c>
      <c r="J202" s="782">
        <v>43605.0</v>
      </c>
      <c r="K202" s="785" t="s">
        <v>3836</v>
      </c>
      <c r="L202" s="781"/>
      <c r="M202" s="781"/>
      <c r="N202" s="781"/>
      <c r="O202" s="781"/>
      <c r="P202" s="781"/>
      <c r="Q202" s="781"/>
      <c r="R202" s="781"/>
      <c r="S202" s="781"/>
      <c r="T202" s="781"/>
      <c r="U202" s="781"/>
      <c r="V202" s="781"/>
      <c r="W202" s="781"/>
      <c r="X202" s="781"/>
      <c r="Y202" s="781"/>
      <c r="Z202" s="781"/>
      <c r="AA202" s="781"/>
      <c r="AB202" s="781"/>
      <c r="AC202" s="781"/>
      <c r="AD202" s="781"/>
      <c r="AE202" s="781"/>
    </row>
    <row r="203" ht="15.75" customHeight="1">
      <c r="A203" s="786">
        <v>44160.0</v>
      </c>
      <c r="B203" s="787" t="s">
        <v>2982</v>
      </c>
      <c r="C203" s="788" t="s">
        <v>2547</v>
      </c>
      <c r="D203" s="772" t="s">
        <v>6346</v>
      </c>
      <c r="E203" s="784">
        <v>112433.37</v>
      </c>
      <c r="F203" s="772" t="s">
        <v>2981</v>
      </c>
      <c r="G203" s="782" t="s">
        <v>2550</v>
      </c>
      <c r="H203" s="782" t="s">
        <v>29</v>
      </c>
      <c r="I203" s="782" t="s">
        <v>2551</v>
      </c>
      <c r="J203" s="782">
        <v>43703.0</v>
      </c>
      <c r="K203" s="785" t="s">
        <v>4206</v>
      </c>
      <c r="L203" s="781"/>
      <c r="M203" s="781"/>
      <c r="N203" s="781"/>
      <c r="O203" s="781"/>
      <c r="P203" s="781"/>
      <c r="Q203" s="781"/>
      <c r="R203" s="781"/>
      <c r="S203" s="781"/>
      <c r="T203" s="781"/>
      <c r="U203" s="781"/>
      <c r="V203" s="781"/>
      <c r="W203" s="781"/>
      <c r="X203" s="781"/>
      <c r="Y203" s="781"/>
      <c r="Z203" s="781"/>
      <c r="AA203" s="781"/>
      <c r="AB203" s="781"/>
      <c r="AC203" s="781"/>
      <c r="AD203" s="781"/>
      <c r="AE203" s="781"/>
    </row>
    <row r="204" ht="15.75" customHeight="1">
      <c r="A204" s="786">
        <v>44161.0</v>
      </c>
      <c r="B204" s="787" t="s">
        <v>6360</v>
      </c>
      <c r="C204" s="788" t="s">
        <v>3820</v>
      </c>
      <c r="D204" s="772" t="s">
        <v>6346</v>
      </c>
      <c r="E204" s="784">
        <v>286876.16</v>
      </c>
      <c r="F204" s="772" t="s">
        <v>4870</v>
      </c>
      <c r="G204" s="772" t="s">
        <v>2550</v>
      </c>
      <c r="H204" s="772" t="s">
        <v>29</v>
      </c>
      <c r="I204" s="772" t="s">
        <v>2550</v>
      </c>
      <c r="J204" s="782">
        <v>44068.0</v>
      </c>
      <c r="K204" s="789" t="s">
        <v>3828</v>
      </c>
      <c r="L204" s="781"/>
      <c r="M204" s="781"/>
      <c r="N204" s="781"/>
      <c r="O204" s="781"/>
      <c r="P204" s="781"/>
      <c r="Q204" s="781"/>
      <c r="R204" s="781"/>
      <c r="S204" s="781"/>
      <c r="T204" s="781"/>
      <c r="U204" s="781"/>
      <c r="V204" s="781"/>
      <c r="W204" s="781"/>
      <c r="X204" s="781"/>
      <c r="Y204" s="781"/>
      <c r="Z204" s="781"/>
      <c r="AA204" s="781"/>
      <c r="AB204" s="781"/>
      <c r="AC204" s="781"/>
      <c r="AD204" s="781"/>
      <c r="AE204" s="781"/>
    </row>
    <row r="205" ht="15.75" customHeight="1">
      <c r="A205" s="786">
        <v>44165.0</v>
      </c>
      <c r="B205" s="787" t="s">
        <v>3590</v>
      </c>
      <c r="C205" s="788" t="s">
        <v>2547</v>
      </c>
      <c r="D205" s="772" t="s">
        <v>6346</v>
      </c>
      <c r="E205" s="784">
        <v>34941.81</v>
      </c>
      <c r="F205" s="772" t="s">
        <v>3589</v>
      </c>
      <c r="G205" s="782" t="s">
        <v>2550</v>
      </c>
      <c r="H205" s="782" t="s">
        <v>29</v>
      </c>
      <c r="I205" s="782" t="s">
        <v>2551</v>
      </c>
      <c r="J205" s="782">
        <v>43567.0</v>
      </c>
      <c r="K205" s="785" t="s">
        <v>3828</v>
      </c>
      <c r="L205" s="781"/>
      <c r="M205" s="781"/>
      <c r="N205" s="781"/>
      <c r="O205" s="781"/>
      <c r="P205" s="781"/>
      <c r="Q205" s="781"/>
      <c r="R205" s="781"/>
      <c r="S205" s="781"/>
      <c r="T205" s="781"/>
      <c r="U205" s="781"/>
      <c r="V205" s="781"/>
      <c r="W205" s="781"/>
      <c r="X205" s="781"/>
      <c r="Y205" s="781"/>
      <c r="Z205" s="781"/>
      <c r="AA205" s="781"/>
      <c r="AB205" s="781"/>
      <c r="AC205" s="781"/>
      <c r="AD205" s="781"/>
      <c r="AE205" s="781"/>
    </row>
    <row r="206" ht="15.75" customHeight="1">
      <c r="A206" s="786">
        <v>44166.0</v>
      </c>
      <c r="B206" s="787" t="s">
        <v>3446</v>
      </c>
      <c r="C206" s="788" t="s">
        <v>2547</v>
      </c>
      <c r="D206" s="772" t="s">
        <v>6346</v>
      </c>
      <c r="E206" s="784">
        <v>130950.51000000001</v>
      </c>
      <c r="F206" s="772" t="s">
        <v>3445</v>
      </c>
      <c r="G206" s="782" t="s">
        <v>2550</v>
      </c>
      <c r="H206" s="782" t="s">
        <v>29</v>
      </c>
      <c r="I206" s="782" t="s">
        <v>2551</v>
      </c>
      <c r="J206" s="782">
        <v>43675.0</v>
      </c>
      <c r="K206" s="785" t="s">
        <v>4206</v>
      </c>
      <c r="L206" s="781"/>
      <c r="M206" s="781"/>
      <c r="N206" s="781"/>
      <c r="O206" s="781"/>
      <c r="P206" s="781"/>
      <c r="Q206" s="781"/>
      <c r="R206" s="781"/>
      <c r="S206" s="781"/>
      <c r="T206" s="781"/>
      <c r="U206" s="781"/>
      <c r="V206" s="781"/>
      <c r="W206" s="781"/>
      <c r="X206" s="781"/>
      <c r="Y206" s="781"/>
      <c r="Z206" s="781"/>
      <c r="AA206" s="781"/>
      <c r="AB206" s="781"/>
      <c r="AC206" s="781"/>
      <c r="AD206" s="781"/>
      <c r="AE206" s="781"/>
    </row>
    <row r="207" ht="15.75" customHeight="1">
      <c r="A207" s="786">
        <v>44166.0</v>
      </c>
      <c r="B207" s="787" t="s">
        <v>3516</v>
      </c>
      <c r="C207" s="788" t="s">
        <v>2547</v>
      </c>
      <c r="D207" s="772" t="s">
        <v>6346</v>
      </c>
      <c r="E207" s="784">
        <v>10000.0</v>
      </c>
      <c r="F207" s="772" t="s">
        <v>3515</v>
      </c>
      <c r="G207" s="782" t="s">
        <v>2550</v>
      </c>
      <c r="H207" s="782" t="s">
        <v>29</v>
      </c>
      <c r="I207" s="782" t="s">
        <v>2551</v>
      </c>
      <c r="J207" s="782">
        <v>43717.0</v>
      </c>
      <c r="K207" s="785" t="s">
        <v>4206</v>
      </c>
      <c r="L207" s="781"/>
      <c r="M207" s="781"/>
      <c r="N207" s="781"/>
      <c r="O207" s="781"/>
      <c r="P207" s="781"/>
      <c r="Q207" s="781"/>
      <c r="R207" s="781"/>
      <c r="S207" s="781"/>
      <c r="T207" s="781"/>
      <c r="U207" s="781"/>
      <c r="V207" s="781"/>
      <c r="W207" s="781"/>
      <c r="X207" s="781"/>
      <c r="Y207" s="781"/>
      <c r="Z207" s="781"/>
      <c r="AA207" s="781"/>
      <c r="AB207" s="781"/>
      <c r="AC207" s="781"/>
      <c r="AD207" s="781"/>
      <c r="AE207" s="781"/>
    </row>
    <row r="208" ht="15.75" customHeight="1">
      <c r="A208" s="786">
        <v>44172.0</v>
      </c>
      <c r="B208" s="790" t="s">
        <v>2941</v>
      </c>
      <c r="C208" s="788" t="s">
        <v>2547</v>
      </c>
      <c r="D208" s="772" t="s">
        <v>6346</v>
      </c>
      <c r="E208" s="784">
        <v>5500.0</v>
      </c>
      <c r="F208" s="772" t="s">
        <v>2940</v>
      </c>
      <c r="G208" s="782" t="s">
        <v>2550</v>
      </c>
      <c r="H208" s="782" t="s">
        <v>29</v>
      </c>
      <c r="I208" s="782" t="s">
        <v>2551</v>
      </c>
      <c r="J208" s="782">
        <v>43888.0</v>
      </c>
      <c r="K208" s="785" t="s">
        <v>3828</v>
      </c>
      <c r="L208" s="781"/>
      <c r="M208" s="781"/>
      <c r="N208" s="781"/>
      <c r="O208" s="781"/>
      <c r="P208" s="781"/>
      <c r="Q208" s="781"/>
      <c r="R208" s="781"/>
      <c r="S208" s="781"/>
      <c r="T208" s="781"/>
      <c r="U208" s="781"/>
      <c r="V208" s="781"/>
      <c r="W208" s="781"/>
      <c r="X208" s="781"/>
      <c r="Y208" s="781"/>
      <c r="Z208" s="781"/>
      <c r="AA208" s="781"/>
      <c r="AB208" s="781"/>
      <c r="AC208" s="781"/>
      <c r="AD208" s="781"/>
      <c r="AE208" s="781"/>
    </row>
    <row r="209" ht="15.75" customHeight="1">
      <c r="A209" s="786">
        <v>44172.0</v>
      </c>
      <c r="B209" s="787" t="s">
        <v>3056</v>
      </c>
      <c r="C209" s="788" t="s">
        <v>2547</v>
      </c>
      <c r="D209" s="772" t="s">
        <v>6346</v>
      </c>
      <c r="E209" s="784">
        <v>35000.0</v>
      </c>
      <c r="F209" s="772" t="s">
        <v>3055</v>
      </c>
      <c r="G209" s="782" t="s">
        <v>2550</v>
      </c>
      <c r="H209" s="782" t="s">
        <v>29</v>
      </c>
      <c r="I209" s="782" t="s">
        <v>2562</v>
      </c>
      <c r="J209" s="782">
        <v>43559.0</v>
      </c>
      <c r="K209" s="785" t="s">
        <v>4206</v>
      </c>
      <c r="L209" s="781"/>
      <c r="M209" s="781"/>
      <c r="N209" s="781"/>
      <c r="O209" s="781"/>
      <c r="P209" s="781"/>
      <c r="Q209" s="781"/>
      <c r="R209" s="781"/>
      <c r="S209" s="781"/>
      <c r="T209" s="781"/>
      <c r="U209" s="781"/>
      <c r="V209" s="781"/>
      <c r="W209" s="781"/>
      <c r="X209" s="781"/>
      <c r="Y209" s="781"/>
      <c r="Z209" s="781"/>
      <c r="AA209" s="781"/>
      <c r="AB209" s="781"/>
      <c r="AC209" s="781"/>
      <c r="AD209" s="781"/>
      <c r="AE209" s="781"/>
    </row>
    <row r="210" ht="15.75" customHeight="1">
      <c r="A210" s="786">
        <v>44173.0</v>
      </c>
      <c r="B210" s="787" t="s">
        <v>3288</v>
      </c>
      <c r="C210" s="788" t="s">
        <v>2547</v>
      </c>
      <c r="D210" s="772" t="s">
        <v>6346</v>
      </c>
      <c r="E210" s="784">
        <v>100000.0</v>
      </c>
      <c r="F210" s="772" t="s">
        <v>3287</v>
      </c>
      <c r="G210" s="782" t="s">
        <v>2550</v>
      </c>
      <c r="H210" s="782" t="s">
        <v>29</v>
      </c>
      <c r="I210" s="782" t="s">
        <v>2551</v>
      </c>
      <c r="J210" s="782">
        <v>43922.0</v>
      </c>
      <c r="K210" s="785" t="s">
        <v>3836</v>
      </c>
      <c r="L210" s="781"/>
      <c r="M210" s="781"/>
      <c r="N210" s="781"/>
      <c r="O210" s="781"/>
      <c r="P210" s="781"/>
      <c r="Q210" s="781"/>
      <c r="R210" s="781"/>
      <c r="S210" s="781"/>
      <c r="T210" s="781"/>
      <c r="U210" s="781"/>
      <c r="V210" s="781"/>
      <c r="W210" s="781"/>
      <c r="X210" s="781"/>
      <c r="Y210" s="781"/>
      <c r="Z210" s="781"/>
      <c r="AA210" s="781"/>
      <c r="AB210" s="781"/>
      <c r="AC210" s="781"/>
      <c r="AD210" s="781"/>
      <c r="AE210" s="781"/>
    </row>
    <row r="211" ht="15.75" customHeight="1">
      <c r="A211" s="786">
        <v>44173.0</v>
      </c>
      <c r="B211" s="787" t="s">
        <v>3288</v>
      </c>
      <c r="C211" s="788" t="s">
        <v>2547</v>
      </c>
      <c r="D211" s="772" t="s">
        <v>6346</v>
      </c>
      <c r="E211" s="784">
        <v>32772.8</v>
      </c>
      <c r="F211" s="772" t="s">
        <v>3287</v>
      </c>
      <c r="G211" s="782" t="s">
        <v>2550</v>
      </c>
      <c r="H211" s="782" t="s">
        <v>29</v>
      </c>
      <c r="I211" s="782" t="s">
        <v>2551</v>
      </c>
      <c r="J211" s="782">
        <v>43922.0</v>
      </c>
      <c r="K211" s="785" t="s">
        <v>3836</v>
      </c>
      <c r="L211" s="781"/>
      <c r="M211" s="781"/>
      <c r="N211" s="781"/>
      <c r="O211" s="781"/>
      <c r="P211" s="781"/>
      <c r="Q211" s="781"/>
      <c r="R211" s="781"/>
      <c r="S211" s="781"/>
      <c r="T211" s="781"/>
      <c r="U211" s="781"/>
      <c r="V211" s="781"/>
      <c r="W211" s="781"/>
      <c r="X211" s="781"/>
      <c r="Y211" s="781"/>
      <c r="Z211" s="781"/>
      <c r="AA211" s="781"/>
      <c r="AB211" s="781"/>
      <c r="AC211" s="781"/>
      <c r="AD211" s="781"/>
      <c r="AE211" s="781"/>
    </row>
    <row r="212" ht="15.75" customHeight="1">
      <c r="A212" s="786">
        <v>44173.0</v>
      </c>
      <c r="B212" s="787" t="s">
        <v>3288</v>
      </c>
      <c r="C212" s="788" t="s">
        <v>2547</v>
      </c>
      <c r="D212" s="772" t="s">
        <v>6346</v>
      </c>
      <c r="E212" s="784">
        <v>13100.45</v>
      </c>
      <c r="F212" s="772" t="s">
        <v>3287</v>
      </c>
      <c r="G212" s="782" t="s">
        <v>2550</v>
      </c>
      <c r="H212" s="782" t="s">
        <v>29</v>
      </c>
      <c r="I212" s="782" t="s">
        <v>2551</v>
      </c>
      <c r="J212" s="782">
        <v>43922.0</v>
      </c>
      <c r="K212" s="785" t="s">
        <v>3836</v>
      </c>
      <c r="L212" s="781"/>
      <c r="M212" s="781"/>
      <c r="N212" s="781"/>
      <c r="O212" s="781"/>
      <c r="P212" s="781"/>
      <c r="Q212" s="781"/>
      <c r="R212" s="781"/>
      <c r="S212" s="781"/>
      <c r="T212" s="781"/>
      <c r="U212" s="781"/>
      <c r="V212" s="781"/>
      <c r="W212" s="781"/>
      <c r="X212" s="781"/>
      <c r="Y212" s="781"/>
      <c r="Z212" s="781"/>
      <c r="AA212" s="781"/>
      <c r="AB212" s="781"/>
      <c r="AC212" s="781"/>
      <c r="AD212" s="781"/>
      <c r="AE212" s="781"/>
    </row>
    <row r="213" ht="15.75" customHeight="1">
      <c r="A213" s="786">
        <v>44173.0</v>
      </c>
      <c r="B213" s="787" t="s">
        <v>3288</v>
      </c>
      <c r="C213" s="788" t="s">
        <v>2547</v>
      </c>
      <c r="D213" s="772" t="s">
        <v>6346</v>
      </c>
      <c r="E213" s="784">
        <v>40379.75</v>
      </c>
      <c r="F213" s="772" t="s">
        <v>3287</v>
      </c>
      <c r="G213" s="782" t="s">
        <v>2550</v>
      </c>
      <c r="H213" s="782" t="s">
        <v>29</v>
      </c>
      <c r="I213" s="782" t="s">
        <v>2551</v>
      </c>
      <c r="J213" s="782">
        <v>43922.0</v>
      </c>
      <c r="K213" s="785" t="s">
        <v>3836</v>
      </c>
      <c r="L213" s="781"/>
      <c r="M213" s="781"/>
      <c r="N213" s="781"/>
      <c r="O213" s="781"/>
      <c r="P213" s="781"/>
      <c r="Q213" s="781"/>
      <c r="R213" s="781"/>
      <c r="S213" s="781"/>
      <c r="T213" s="781"/>
      <c r="U213" s="781"/>
      <c r="V213" s="781"/>
      <c r="W213" s="781"/>
      <c r="X213" s="781"/>
      <c r="Y213" s="781"/>
      <c r="Z213" s="781"/>
      <c r="AA213" s="781"/>
      <c r="AB213" s="781"/>
      <c r="AC213" s="781"/>
      <c r="AD213" s="781"/>
      <c r="AE213" s="781"/>
    </row>
    <row r="214" ht="15.75" customHeight="1">
      <c r="A214" s="786">
        <v>44174.0</v>
      </c>
      <c r="B214" s="787" t="s">
        <v>2982</v>
      </c>
      <c r="C214" s="788" t="s">
        <v>2547</v>
      </c>
      <c r="D214" s="772" t="s">
        <v>6346</v>
      </c>
      <c r="E214" s="784">
        <v>8747.0</v>
      </c>
      <c r="F214" s="772" t="s">
        <v>2981</v>
      </c>
      <c r="G214" s="782" t="s">
        <v>2550</v>
      </c>
      <c r="H214" s="782" t="s">
        <v>29</v>
      </c>
      <c r="I214" s="782" t="s">
        <v>2551</v>
      </c>
      <c r="J214" s="782">
        <v>43703.0</v>
      </c>
      <c r="K214" s="785" t="s">
        <v>4206</v>
      </c>
      <c r="L214" s="781"/>
      <c r="M214" s="781"/>
      <c r="N214" s="781"/>
      <c r="O214" s="781"/>
      <c r="P214" s="781"/>
      <c r="Q214" s="781"/>
      <c r="R214" s="781"/>
      <c r="S214" s="781"/>
      <c r="T214" s="781"/>
      <c r="U214" s="781"/>
      <c r="V214" s="781"/>
      <c r="W214" s="781"/>
      <c r="X214" s="781"/>
      <c r="Y214" s="781"/>
      <c r="Z214" s="781"/>
      <c r="AA214" s="781"/>
      <c r="AB214" s="781"/>
      <c r="AC214" s="781"/>
      <c r="AD214" s="781"/>
      <c r="AE214" s="781"/>
    </row>
    <row r="215" ht="15.75" customHeight="1">
      <c r="A215" s="786">
        <v>44174.0</v>
      </c>
      <c r="B215" s="787" t="s">
        <v>2982</v>
      </c>
      <c r="C215" s="788" t="s">
        <v>2547</v>
      </c>
      <c r="D215" s="772" t="s">
        <v>6346</v>
      </c>
      <c r="E215" s="784">
        <v>10000.0</v>
      </c>
      <c r="F215" s="772" t="s">
        <v>2981</v>
      </c>
      <c r="G215" s="782" t="s">
        <v>2550</v>
      </c>
      <c r="H215" s="782" t="s">
        <v>29</v>
      </c>
      <c r="I215" s="782" t="s">
        <v>2551</v>
      </c>
      <c r="J215" s="782">
        <v>43703.0</v>
      </c>
      <c r="K215" s="785" t="s">
        <v>4206</v>
      </c>
      <c r="L215" s="781"/>
      <c r="M215" s="781"/>
      <c r="N215" s="781"/>
      <c r="O215" s="781"/>
      <c r="P215" s="781"/>
      <c r="Q215" s="781"/>
      <c r="R215" s="781"/>
      <c r="S215" s="781"/>
      <c r="T215" s="781"/>
      <c r="U215" s="781"/>
      <c r="V215" s="781"/>
      <c r="W215" s="781"/>
      <c r="X215" s="781"/>
      <c r="Y215" s="781"/>
      <c r="Z215" s="781"/>
      <c r="AA215" s="781"/>
      <c r="AB215" s="781"/>
      <c r="AC215" s="781"/>
      <c r="AD215" s="781"/>
      <c r="AE215" s="781"/>
    </row>
    <row r="216" ht="15.75" customHeight="1">
      <c r="A216" s="786">
        <v>44174.0</v>
      </c>
      <c r="B216" s="787" t="s">
        <v>2948</v>
      </c>
      <c r="C216" s="788" t="s">
        <v>2547</v>
      </c>
      <c r="D216" s="772" t="s">
        <v>6346</v>
      </c>
      <c r="E216" s="784">
        <v>20000.0</v>
      </c>
      <c r="F216" s="772" t="s">
        <v>2947</v>
      </c>
      <c r="G216" s="782" t="s">
        <v>2550</v>
      </c>
      <c r="H216" s="782" t="s">
        <v>29</v>
      </c>
      <c r="I216" s="782" t="s">
        <v>2562</v>
      </c>
      <c r="J216" s="782">
        <v>43531.0</v>
      </c>
      <c r="K216" s="785" t="s">
        <v>3840</v>
      </c>
      <c r="L216" s="781"/>
      <c r="M216" s="781"/>
      <c r="N216" s="781"/>
      <c r="O216" s="781"/>
      <c r="P216" s="781"/>
      <c r="Q216" s="781"/>
      <c r="R216" s="781"/>
      <c r="S216" s="781"/>
      <c r="T216" s="781"/>
      <c r="U216" s="781"/>
      <c r="V216" s="781"/>
      <c r="W216" s="781"/>
      <c r="X216" s="781"/>
      <c r="Y216" s="781"/>
      <c r="Z216" s="781"/>
      <c r="AA216" s="781"/>
      <c r="AB216" s="781"/>
      <c r="AC216" s="781"/>
      <c r="AD216" s="781"/>
      <c r="AE216" s="781"/>
    </row>
    <row r="217" ht="15.75" customHeight="1">
      <c r="A217" s="786">
        <v>44174.0</v>
      </c>
      <c r="B217" s="787" t="s">
        <v>2948</v>
      </c>
      <c r="C217" s="788" t="s">
        <v>2547</v>
      </c>
      <c r="D217" s="772" t="s">
        <v>6346</v>
      </c>
      <c r="E217" s="784">
        <v>20000.0</v>
      </c>
      <c r="F217" s="772" t="s">
        <v>2947</v>
      </c>
      <c r="G217" s="782" t="s">
        <v>2550</v>
      </c>
      <c r="H217" s="782" t="s">
        <v>29</v>
      </c>
      <c r="I217" s="782" t="s">
        <v>2562</v>
      </c>
      <c r="J217" s="782">
        <v>43531.0</v>
      </c>
      <c r="K217" s="785" t="s">
        <v>3840</v>
      </c>
      <c r="L217" s="781"/>
      <c r="M217" s="781"/>
      <c r="N217" s="781"/>
      <c r="O217" s="781"/>
      <c r="P217" s="781"/>
      <c r="Q217" s="781"/>
      <c r="R217" s="781"/>
      <c r="S217" s="781"/>
      <c r="T217" s="781"/>
      <c r="U217" s="781"/>
      <c r="V217" s="781"/>
      <c r="W217" s="781"/>
      <c r="X217" s="781"/>
      <c r="Y217" s="781"/>
      <c r="Z217" s="781"/>
      <c r="AA217" s="781"/>
      <c r="AB217" s="781"/>
      <c r="AC217" s="781"/>
      <c r="AD217" s="781"/>
      <c r="AE217" s="781"/>
    </row>
    <row r="218" ht="15.75" customHeight="1">
      <c r="A218" s="786">
        <v>44175.0</v>
      </c>
      <c r="B218" s="787" t="s">
        <v>3721</v>
      </c>
      <c r="C218" s="788" t="s">
        <v>3632</v>
      </c>
      <c r="D218" s="772" t="s">
        <v>6346</v>
      </c>
      <c r="E218" s="784">
        <v>28000.0</v>
      </c>
      <c r="F218" s="772" t="s">
        <v>3720</v>
      </c>
      <c r="G218" s="782" t="s">
        <v>18</v>
      </c>
      <c r="H218" s="782" t="s">
        <v>29</v>
      </c>
      <c r="I218" s="782" t="s">
        <v>2213</v>
      </c>
      <c r="J218" s="782">
        <v>43797.0</v>
      </c>
      <c r="K218" s="785" t="s">
        <v>3836</v>
      </c>
      <c r="L218" s="781"/>
      <c r="M218" s="781"/>
      <c r="N218" s="781"/>
      <c r="O218" s="781"/>
      <c r="P218" s="781"/>
      <c r="Q218" s="781"/>
      <c r="R218" s="781"/>
      <c r="S218" s="781"/>
      <c r="T218" s="781"/>
      <c r="U218" s="781"/>
      <c r="V218" s="781"/>
      <c r="W218" s="781"/>
      <c r="X218" s="781"/>
      <c r="Y218" s="781"/>
      <c r="Z218" s="781"/>
      <c r="AA218" s="781"/>
      <c r="AB218" s="781"/>
      <c r="AC218" s="781"/>
      <c r="AD218" s="781"/>
      <c r="AE218" s="781"/>
    </row>
    <row r="219" ht="15.75" customHeight="1">
      <c r="A219" s="786">
        <v>44175.0</v>
      </c>
      <c r="B219" s="787" t="s">
        <v>3721</v>
      </c>
      <c r="C219" s="788" t="s">
        <v>3632</v>
      </c>
      <c r="D219" s="772" t="s">
        <v>6346</v>
      </c>
      <c r="E219" s="784">
        <v>25000.0</v>
      </c>
      <c r="F219" s="772" t="s">
        <v>3720</v>
      </c>
      <c r="G219" s="782" t="s">
        <v>18</v>
      </c>
      <c r="H219" s="782" t="s">
        <v>29</v>
      </c>
      <c r="I219" s="782" t="s">
        <v>2213</v>
      </c>
      <c r="J219" s="782">
        <v>43797.0</v>
      </c>
      <c r="K219" s="785" t="s">
        <v>3836</v>
      </c>
      <c r="L219" s="781"/>
      <c r="M219" s="781"/>
      <c r="N219" s="781"/>
      <c r="O219" s="781"/>
      <c r="P219" s="781"/>
      <c r="Q219" s="781"/>
      <c r="R219" s="781"/>
      <c r="S219" s="781"/>
      <c r="T219" s="781"/>
      <c r="U219" s="781"/>
      <c r="V219" s="781"/>
      <c r="W219" s="781"/>
      <c r="X219" s="781"/>
      <c r="Y219" s="781"/>
      <c r="Z219" s="781"/>
      <c r="AA219" s="781"/>
      <c r="AB219" s="781"/>
      <c r="AC219" s="781"/>
      <c r="AD219" s="781"/>
      <c r="AE219" s="781"/>
    </row>
    <row r="220" ht="15.75" customHeight="1">
      <c r="A220" s="786">
        <v>44175.0</v>
      </c>
      <c r="B220" s="787" t="s">
        <v>3721</v>
      </c>
      <c r="C220" s="788" t="s">
        <v>3632</v>
      </c>
      <c r="D220" s="772" t="s">
        <v>6346</v>
      </c>
      <c r="E220" s="784">
        <v>43000.0</v>
      </c>
      <c r="F220" s="772" t="s">
        <v>3720</v>
      </c>
      <c r="G220" s="782" t="s">
        <v>18</v>
      </c>
      <c r="H220" s="782" t="s">
        <v>29</v>
      </c>
      <c r="I220" s="782" t="s">
        <v>2213</v>
      </c>
      <c r="J220" s="782">
        <v>43797.0</v>
      </c>
      <c r="K220" s="785" t="s">
        <v>3836</v>
      </c>
      <c r="L220" s="781"/>
      <c r="M220" s="781"/>
      <c r="N220" s="781"/>
      <c r="O220" s="781"/>
      <c r="P220" s="781"/>
      <c r="Q220" s="781"/>
      <c r="R220" s="781"/>
      <c r="S220" s="781"/>
      <c r="T220" s="781"/>
      <c r="U220" s="781"/>
      <c r="V220" s="781"/>
      <c r="W220" s="781"/>
      <c r="X220" s="781"/>
      <c r="Y220" s="781"/>
      <c r="Z220" s="781"/>
      <c r="AA220" s="781"/>
      <c r="AB220" s="781"/>
      <c r="AC220" s="781"/>
      <c r="AD220" s="781"/>
      <c r="AE220" s="781"/>
    </row>
    <row r="221" ht="15.75" customHeight="1">
      <c r="A221" s="786">
        <v>44175.0</v>
      </c>
      <c r="B221" s="787" t="s">
        <v>3721</v>
      </c>
      <c r="C221" s="788" t="s">
        <v>3632</v>
      </c>
      <c r="D221" s="772" t="s">
        <v>6346</v>
      </c>
      <c r="E221" s="784">
        <v>200000.0</v>
      </c>
      <c r="F221" s="772" t="s">
        <v>3720</v>
      </c>
      <c r="G221" s="782" t="s">
        <v>18</v>
      </c>
      <c r="H221" s="782" t="s">
        <v>29</v>
      </c>
      <c r="I221" s="782" t="s">
        <v>2213</v>
      </c>
      <c r="J221" s="782">
        <v>43797.0</v>
      </c>
      <c r="K221" s="785" t="s">
        <v>3836</v>
      </c>
      <c r="L221" s="781"/>
      <c r="M221" s="781"/>
      <c r="N221" s="781"/>
      <c r="O221" s="781"/>
      <c r="P221" s="781"/>
      <c r="Q221" s="781"/>
      <c r="R221" s="781"/>
      <c r="S221" s="781"/>
      <c r="T221" s="781"/>
      <c r="U221" s="781"/>
      <c r="V221" s="781"/>
      <c r="W221" s="781"/>
      <c r="X221" s="781"/>
      <c r="Y221" s="781"/>
      <c r="Z221" s="781"/>
      <c r="AA221" s="781"/>
      <c r="AB221" s="781"/>
      <c r="AC221" s="781"/>
      <c r="AD221" s="781"/>
      <c r="AE221" s="781"/>
    </row>
    <row r="222" ht="15.75" customHeight="1">
      <c r="A222" s="786">
        <v>44179.0</v>
      </c>
      <c r="B222" s="793" t="s">
        <v>3056</v>
      </c>
      <c r="C222" s="788" t="s">
        <v>2547</v>
      </c>
      <c r="D222" s="772" t="s">
        <v>6346</v>
      </c>
      <c r="E222" s="784">
        <v>25000.0</v>
      </c>
      <c r="F222" s="772" t="s">
        <v>3055</v>
      </c>
      <c r="G222" s="782" t="s">
        <v>2550</v>
      </c>
      <c r="H222" s="782" t="s">
        <v>29</v>
      </c>
      <c r="I222" s="782" t="s">
        <v>2562</v>
      </c>
      <c r="J222" s="782">
        <v>43559.0</v>
      </c>
      <c r="K222" s="785" t="s">
        <v>4206</v>
      </c>
      <c r="L222" s="781"/>
      <c r="M222" s="781"/>
      <c r="N222" s="781"/>
      <c r="O222" s="781"/>
      <c r="P222" s="781"/>
      <c r="Q222" s="781"/>
      <c r="R222" s="781"/>
      <c r="S222" s="781"/>
      <c r="T222" s="781"/>
      <c r="U222" s="781"/>
      <c r="V222" s="781"/>
      <c r="W222" s="781"/>
      <c r="X222" s="781"/>
      <c r="Y222" s="781"/>
      <c r="Z222" s="781"/>
      <c r="AA222" s="781"/>
      <c r="AB222" s="781"/>
      <c r="AC222" s="781"/>
      <c r="AD222" s="781"/>
      <c r="AE222" s="781"/>
    </row>
    <row r="223" ht="15.75" customHeight="1">
      <c r="A223" s="786">
        <v>44179.0</v>
      </c>
      <c r="B223" s="787" t="s">
        <v>3246</v>
      </c>
      <c r="C223" s="788" t="s">
        <v>2547</v>
      </c>
      <c r="D223" s="772" t="s">
        <v>6346</v>
      </c>
      <c r="E223" s="784">
        <v>14000.0</v>
      </c>
      <c r="F223" s="772" t="s">
        <v>3245</v>
      </c>
      <c r="G223" s="782" t="s">
        <v>2550</v>
      </c>
      <c r="H223" s="782" t="s">
        <v>29</v>
      </c>
      <c r="I223" s="782" t="s">
        <v>2551</v>
      </c>
      <c r="J223" s="782">
        <v>43564.0</v>
      </c>
      <c r="K223" s="785" t="s">
        <v>3840</v>
      </c>
      <c r="L223" s="781"/>
      <c r="M223" s="781"/>
      <c r="N223" s="781"/>
      <c r="O223" s="781"/>
      <c r="P223" s="781"/>
      <c r="Q223" s="781"/>
      <c r="R223" s="781"/>
      <c r="S223" s="781"/>
      <c r="T223" s="781"/>
      <c r="U223" s="781"/>
      <c r="V223" s="781"/>
      <c r="W223" s="781"/>
      <c r="X223" s="781"/>
      <c r="Y223" s="781"/>
      <c r="Z223" s="781"/>
      <c r="AA223" s="781"/>
      <c r="AB223" s="781"/>
      <c r="AC223" s="781"/>
      <c r="AD223" s="781"/>
      <c r="AE223" s="781"/>
    </row>
    <row r="224" ht="15.75" customHeight="1">
      <c r="A224" s="786">
        <v>44180.0</v>
      </c>
      <c r="B224" s="787" t="s">
        <v>6347</v>
      </c>
      <c r="C224" s="788" t="s">
        <v>3820</v>
      </c>
      <c r="D224" s="772" t="s">
        <v>6346</v>
      </c>
      <c r="E224" s="784">
        <v>153000.0</v>
      </c>
      <c r="F224" s="772" t="s">
        <v>5059</v>
      </c>
      <c r="G224" s="772" t="s">
        <v>2550</v>
      </c>
      <c r="H224" s="772" t="s">
        <v>29</v>
      </c>
      <c r="I224" s="772" t="s">
        <v>2550</v>
      </c>
      <c r="J224" s="782">
        <v>43749.0</v>
      </c>
      <c r="K224" s="789" t="s">
        <v>4206</v>
      </c>
      <c r="L224" s="781"/>
      <c r="M224" s="781"/>
      <c r="N224" s="781"/>
      <c r="O224" s="781"/>
      <c r="P224" s="781"/>
      <c r="Q224" s="781"/>
      <c r="R224" s="781"/>
      <c r="S224" s="781"/>
      <c r="T224" s="781"/>
      <c r="U224" s="781"/>
      <c r="V224" s="781"/>
      <c r="W224" s="781"/>
      <c r="X224" s="781"/>
      <c r="Y224" s="781"/>
      <c r="Z224" s="781"/>
      <c r="AA224" s="781"/>
      <c r="AB224" s="781"/>
      <c r="AC224" s="781"/>
      <c r="AD224" s="781"/>
      <c r="AE224" s="781"/>
    </row>
    <row r="225" ht="15.75" customHeight="1">
      <c r="A225" s="782">
        <v>44181.0</v>
      </c>
      <c r="B225" s="794" t="s">
        <v>2658</v>
      </c>
      <c r="C225" s="772" t="s">
        <v>2547</v>
      </c>
      <c r="D225" s="772" t="s">
        <v>6345</v>
      </c>
      <c r="E225" s="784">
        <v>268845.87</v>
      </c>
      <c r="F225" s="772" t="s">
        <v>2657</v>
      </c>
      <c r="G225" s="782" t="s">
        <v>2659</v>
      </c>
      <c r="H225" s="782" t="s">
        <v>29</v>
      </c>
      <c r="I225" s="782" t="s">
        <v>2659</v>
      </c>
      <c r="J225" s="782">
        <v>43563.0</v>
      </c>
      <c r="K225" s="785" t="s">
        <v>3840</v>
      </c>
      <c r="L225" s="781"/>
      <c r="M225" s="781"/>
      <c r="N225" s="781"/>
      <c r="O225" s="781"/>
      <c r="P225" s="781"/>
      <c r="Q225" s="781"/>
      <c r="R225" s="781"/>
      <c r="S225" s="781"/>
      <c r="T225" s="781"/>
      <c r="U225" s="781"/>
      <c r="V225" s="781"/>
      <c r="W225" s="781"/>
      <c r="X225" s="781"/>
      <c r="Y225" s="781"/>
      <c r="Z225" s="781"/>
      <c r="AA225" s="781"/>
      <c r="AB225" s="781"/>
      <c r="AC225" s="781"/>
      <c r="AD225" s="781"/>
      <c r="AE225" s="781"/>
    </row>
    <row r="226" ht="15.75" customHeight="1">
      <c r="A226" s="786">
        <v>44182.0</v>
      </c>
      <c r="B226" s="787" t="s">
        <v>3104</v>
      </c>
      <c r="C226" s="788" t="s">
        <v>2547</v>
      </c>
      <c r="D226" s="772" t="s">
        <v>6346</v>
      </c>
      <c r="E226" s="784">
        <v>7000.0</v>
      </c>
      <c r="F226" s="772" t="s">
        <v>3103</v>
      </c>
      <c r="G226" s="782" t="s">
        <v>2550</v>
      </c>
      <c r="H226" s="782" t="s">
        <v>29</v>
      </c>
      <c r="I226" s="782" t="s">
        <v>2551</v>
      </c>
      <c r="J226" s="782">
        <v>43711.0</v>
      </c>
      <c r="K226" s="785" t="s">
        <v>4206</v>
      </c>
      <c r="L226" s="781"/>
      <c r="M226" s="781"/>
      <c r="N226" s="781"/>
      <c r="O226" s="781"/>
      <c r="P226" s="781"/>
      <c r="Q226" s="781"/>
      <c r="R226" s="781"/>
      <c r="S226" s="781"/>
      <c r="T226" s="781"/>
      <c r="U226" s="781"/>
      <c r="V226" s="781"/>
      <c r="W226" s="781"/>
      <c r="X226" s="781"/>
      <c r="Y226" s="781"/>
      <c r="Z226" s="781"/>
      <c r="AA226" s="781"/>
      <c r="AB226" s="781"/>
      <c r="AC226" s="781"/>
      <c r="AD226" s="781"/>
      <c r="AE226" s="781"/>
    </row>
    <row r="227" ht="15.75" customHeight="1">
      <c r="A227" s="786">
        <v>44186.0</v>
      </c>
      <c r="B227" s="793" t="s">
        <v>3041</v>
      </c>
      <c r="C227" s="788" t="s">
        <v>2547</v>
      </c>
      <c r="D227" s="772" t="s">
        <v>6346</v>
      </c>
      <c r="E227" s="784">
        <v>25000.0</v>
      </c>
      <c r="F227" s="772" t="s">
        <v>3040</v>
      </c>
      <c r="G227" s="782" t="s">
        <v>2550</v>
      </c>
      <c r="H227" s="782" t="s">
        <v>29</v>
      </c>
      <c r="I227" s="782" t="s">
        <v>2551</v>
      </c>
      <c r="J227" s="782">
        <v>43605.0</v>
      </c>
      <c r="K227" s="785" t="s">
        <v>3836</v>
      </c>
      <c r="L227" s="781"/>
      <c r="M227" s="781"/>
      <c r="N227" s="781"/>
      <c r="O227" s="781"/>
      <c r="P227" s="781"/>
      <c r="Q227" s="781"/>
      <c r="R227" s="781"/>
      <c r="S227" s="781"/>
      <c r="T227" s="781"/>
      <c r="U227" s="781"/>
      <c r="V227" s="781"/>
      <c r="W227" s="781"/>
      <c r="X227" s="781"/>
      <c r="Y227" s="781"/>
      <c r="Z227" s="781"/>
      <c r="AA227" s="781"/>
      <c r="AB227" s="781"/>
      <c r="AC227" s="781"/>
      <c r="AD227" s="781"/>
      <c r="AE227" s="781"/>
    </row>
    <row r="228" ht="15.75" customHeight="1">
      <c r="A228" s="786">
        <v>44186.0</v>
      </c>
      <c r="B228" s="787" t="s">
        <v>6360</v>
      </c>
      <c r="C228" s="788" t="s">
        <v>3820</v>
      </c>
      <c r="D228" s="772" t="s">
        <v>6346</v>
      </c>
      <c r="E228" s="784">
        <v>19000.0</v>
      </c>
      <c r="F228" s="772" t="s">
        <v>4870</v>
      </c>
      <c r="G228" s="772" t="s">
        <v>2550</v>
      </c>
      <c r="H228" s="772" t="s">
        <v>29</v>
      </c>
      <c r="I228" s="772" t="s">
        <v>2550</v>
      </c>
      <c r="J228" s="782">
        <v>44068.0</v>
      </c>
      <c r="K228" s="789" t="s">
        <v>3828</v>
      </c>
      <c r="L228" s="781"/>
      <c r="M228" s="781"/>
      <c r="N228" s="781"/>
      <c r="O228" s="781"/>
      <c r="P228" s="781"/>
      <c r="Q228" s="781"/>
      <c r="R228" s="781"/>
      <c r="S228" s="781"/>
      <c r="T228" s="781"/>
      <c r="U228" s="781"/>
      <c r="V228" s="781"/>
      <c r="W228" s="781"/>
      <c r="X228" s="781"/>
      <c r="Y228" s="781"/>
      <c r="Z228" s="781"/>
      <c r="AA228" s="781"/>
      <c r="AB228" s="781"/>
      <c r="AC228" s="781"/>
      <c r="AD228" s="781"/>
      <c r="AE228" s="781"/>
    </row>
    <row r="229" ht="15.75" customHeight="1">
      <c r="A229" s="786">
        <v>44187.0</v>
      </c>
      <c r="B229" s="787" t="s">
        <v>2982</v>
      </c>
      <c r="C229" s="788" t="s">
        <v>2547</v>
      </c>
      <c r="D229" s="772" t="s">
        <v>6346</v>
      </c>
      <c r="E229" s="784">
        <v>6500.0</v>
      </c>
      <c r="F229" s="772" t="s">
        <v>2981</v>
      </c>
      <c r="G229" s="782" t="s">
        <v>2550</v>
      </c>
      <c r="H229" s="782" t="s">
        <v>29</v>
      </c>
      <c r="I229" s="782" t="s">
        <v>2551</v>
      </c>
      <c r="J229" s="782">
        <v>43703.0</v>
      </c>
      <c r="K229" s="785" t="s">
        <v>4206</v>
      </c>
      <c r="L229" s="781"/>
      <c r="M229" s="781"/>
      <c r="N229" s="781"/>
      <c r="O229" s="781"/>
      <c r="P229" s="781"/>
      <c r="Q229" s="781"/>
      <c r="R229" s="781"/>
      <c r="S229" s="781"/>
      <c r="T229" s="781"/>
      <c r="U229" s="781"/>
      <c r="V229" s="781"/>
      <c r="W229" s="781"/>
      <c r="X229" s="781"/>
      <c r="Y229" s="781"/>
      <c r="Z229" s="781"/>
      <c r="AA229" s="781"/>
      <c r="AB229" s="781"/>
      <c r="AC229" s="781"/>
      <c r="AD229" s="781"/>
      <c r="AE229" s="781"/>
    </row>
    <row r="230" ht="15.75" customHeight="1">
      <c r="A230" s="786">
        <v>44193.0</v>
      </c>
      <c r="B230" s="787" t="s">
        <v>3246</v>
      </c>
      <c r="C230" s="788" t="s">
        <v>2547</v>
      </c>
      <c r="D230" s="772" t="s">
        <v>6346</v>
      </c>
      <c r="E230" s="784">
        <v>2000.0</v>
      </c>
      <c r="F230" s="772" t="s">
        <v>3245</v>
      </c>
      <c r="G230" s="782" t="s">
        <v>2550</v>
      </c>
      <c r="H230" s="782" t="s">
        <v>29</v>
      </c>
      <c r="I230" s="782" t="s">
        <v>2551</v>
      </c>
      <c r="J230" s="782">
        <v>43564.0</v>
      </c>
      <c r="K230" s="785" t="s">
        <v>3840</v>
      </c>
      <c r="L230" s="781"/>
      <c r="M230" s="781"/>
      <c r="N230" s="781"/>
      <c r="O230" s="781"/>
      <c r="P230" s="781"/>
      <c r="Q230" s="781"/>
      <c r="R230" s="781"/>
      <c r="S230" s="781"/>
      <c r="T230" s="781"/>
      <c r="U230" s="781"/>
      <c r="V230" s="781"/>
      <c r="W230" s="781"/>
      <c r="X230" s="781"/>
      <c r="Y230" s="781"/>
      <c r="Z230" s="781"/>
      <c r="AA230" s="781"/>
      <c r="AB230" s="781"/>
      <c r="AC230" s="781"/>
      <c r="AD230" s="781"/>
      <c r="AE230" s="781"/>
    </row>
    <row r="231" ht="15.75" customHeight="1">
      <c r="A231" s="786">
        <v>44193.0</v>
      </c>
      <c r="B231" s="787" t="s">
        <v>3041</v>
      </c>
      <c r="C231" s="788" t="s">
        <v>2547</v>
      </c>
      <c r="D231" s="772" t="s">
        <v>6346</v>
      </c>
      <c r="E231" s="784">
        <v>40000.0</v>
      </c>
      <c r="F231" s="772" t="s">
        <v>3040</v>
      </c>
      <c r="G231" s="782" t="s">
        <v>2550</v>
      </c>
      <c r="H231" s="782" t="s">
        <v>29</v>
      </c>
      <c r="I231" s="782" t="s">
        <v>2551</v>
      </c>
      <c r="J231" s="782">
        <v>43605.0</v>
      </c>
      <c r="K231" s="785" t="s">
        <v>3836</v>
      </c>
      <c r="L231" s="781"/>
      <c r="M231" s="781"/>
      <c r="N231" s="781"/>
      <c r="O231" s="781"/>
      <c r="P231" s="781"/>
      <c r="Q231" s="781"/>
      <c r="R231" s="781"/>
      <c r="S231" s="781"/>
      <c r="T231" s="781"/>
      <c r="U231" s="781"/>
      <c r="V231" s="781"/>
      <c r="W231" s="781"/>
      <c r="X231" s="781"/>
      <c r="Y231" s="781"/>
      <c r="Z231" s="781"/>
      <c r="AA231" s="781"/>
      <c r="AB231" s="781"/>
      <c r="AC231" s="781"/>
      <c r="AD231" s="781"/>
      <c r="AE231" s="781"/>
    </row>
    <row r="232" ht="15.75" customHeight="1">
      <c r="A232" s="786">
        <v>44194.0</v>
      </c>
      <c r="B232" s="787" t="s">
        <v>2654</v>
      </c>
      <c r="C232" s="788" t="s">
        <v>2547</v>
      </c>
      <c r="D232" s="772" t="s">
        <v>6346</v>
      </c>
      <c r="E232" s="784">
        <v>271260.25</v>
      </c>
      <c r="F232" s="772" t="s">
        <v>2653</v>
      </c>
      <c r="G232" s="782" t="s">
        <v>2550</v>
      </c>
      <c r="H232" s="782" t="s">
        <v>29</v>
      </c>
      <c r="I232" s="782" t="s">
        <v>2551</v>
      </c>
      <c r="J232" s="782">
        <v>43867.0</v>
      </c>
      <c r="K232" s="785" t="s">
        <v>3828</v>
      </c>
      <c r="L232" s="781"/>
      <c r="M232" s="781"/>
      <c r="N232" s="781"/>
      <c r="O232" s="781"/>
      <c r="P232" s="781"/>
      <c r="Q232" s="781"/>
      <c r="R232" s="781"/>
      <c r="S232" s="781"/>
      <c r="T232" s="781"/>
      <c r="U232" s="781"/>
      <c r="V232" s="781"/>
      <c r="W232" s="781"/>
      <c r="X232" s="781"/>
      <c r="Y232" s="781"/>
      <c r="Z232" s="781"/>
      <c r="AA232" s="781"/>
      <c r="AB232" s="781"/>
      <c r="AC232" s="781"/>
      <c r="AD232" s="781"/>
      <c r="AE232" s="781"/>
    </row>
    <row r="233" ht="15.75" customHeight="1">
      <c r="A233" s="795">
        <v>44199.0</v>
      </c>
      <c r="B233" s="796" t="s">
        <v>2847</v>
      </c>
      <c r="C233" s="797" t="s">
        <v>2547</v>
      </c>
      <c r="D233" s="772" t="s">
        <v>6346</v>
      </c>
      <c r="E233" s="798">
        <v>40000.0</v>
      </c>
      <c r="F233" s="772" t="s">
        <v>767</v>
      </c>
      <c r="G233" s="782" t="s">
        <v>18</v>
      </c>
      <c r="H233" s="782" t="s">
        <v>176</v>
      </c>
      <c r="I233" s="782" t="s">
        <v>177</v>
      </c>
      <c r="J233" s="782">
        <v>44321.0</v>
      </c>
      <c r="K233" s="785" t="s">
        <v>3828</v>
      </c>
      <c r="L233" s="781"/>
      <c r="M233" s="781"/>
      <c r="N233" s="781"/>
      <c r="O233" s="781"/>
      <c r="P233" s="781"/>
      <c r="Q233" s="781"/>
      <c r="R233" s="781"/>
      <c r="S233" s="781"/>
      <c r="T233" s="781"/>
      <c r="U233" s="781"/>
      <c r="V233" s="781"/>
      <c r="W233" s="781"/>
      <c r="X233" s="781"/>
      <c r="Y233" s="781"/>
      <c r="Z233" s="781"/>
      <c r="AA233" s="781"/>
      <c r="AB233" s="781"/>
      <c r="AC233" s="781"/>
      <c r="AD233" s="781"/>
      <c r="AE233" s="781"/>
    </row>
    <row r="234" ht="15.75" customHeight="1">
      <c r="A234" s="795">
        <v>44199.0</v>
      </c>
      <c r="B234" s="796" t="s">
        <v>3091</v>
      </c>
      <c r="C234" s="797" t="s">
        <v>2547</v>
      </c>
      <c r="D234" s="772" t="s">
        <v>6346</v>
      </c>
      <c r="E234" s="798">
        <v>10000.0</v>
      </c>
      <c r="F234" s="772" t="s">
        <v>3090</v>
      </c>
      <c r="G234" s="782" t="s">
        <v>18</v>
      </c>
      <c r="H234" s="782" t="s">
        <v>176</v>
      </c>
      <c r="I234" s="782" t="s">
        <v>177</v>
      </c>
      <c r="J234" s="782">
        <v>44295.0</v>
      </c>
      <c r="K234" s="785" t="s">
        <v>3834</v>
      </c>
      <c r="L234" s="781"/>
      <c r="M234" s="781"/>
      <c r="N234" s="781"/>
      <c r="O234" s="781"/>
      <c r="P234" s="781"/>
      <c r="Q234" s="781"/>
      <c r="R234" s="781"/>
      <c r="S234" s="781"/>
      <c r="T234" s="781"/>
      <c r="U234" s="781"/>
      <c r="V234" s="781"/>
      <c r="W234" s="781"/>
      <c r="X234" s="781"/>
      <c r="Y234" s="781"/>
      <c r="Z234" s="781"/>
      <c r="AA234" s="781"/>
      <c r="AB234" s="781"/>
      <c r="AC234" s="781"/>
      <c r="AD234" s="781"/>
      <c r="AE234" s="781"/>
    </row>
    <row r="235" ht="15.75" customHeight="1">
      <c r="A235" s="795">
        <v>44199.0</v>
      </c>
      <c r="B235" s="796" t="s">
        <v>2944</v>
      </c>
      <c r="C235" s="797" t="s">
        <v>2547</v>
      </c>
      <c r="D235" s="772" t="s">
        <v>1481</v>
      </c>
      <c r="E235" s="799">
        <v>459854.95</v>
      </c>
      <c r="F235" s="772" t="s">
        <v>2943</v>
      </c>
      <c r="G235" s="782" t="s">
        <v>18</v>
      </c>
      <c r="H235" s="782" t="s">
        <v>176</v>
      </c>
      <c r="I235" s="782" t="s">
        <v>177</v>
      </c>
      <c r="J235" s="782">
        <v>44272.0</v>
      </c>
      <c r="K235" s="785" t="s">
        <v>6367</v>
      </c>
      <c r="L235" s="781"/>
      <c r="M235" s="781"/>
      <c r="N235" s="781"/>
      <c r="O235" s="781"/>
      <c r="P235" s="781"/>
      <c r="Q235" s="781"/>
      <c r="R235" s="781"/>
      <c r="S235" s="781"/>
      <c r="T235" s="781"/>
      <c r="U235" s="781"/>
      <c r="V235" s="781"/>
      <c r="W235" s="781"/>
      <c r="X235" s="781"/>
      <c r="Y235" s="781"/>
      <c r="Z235" s="781"/>
      <c r="AA235" s="781"/>
      <c r="AB235" s="781"/>
      <c r="AC235" s="781"/>
      <c r="AD235" s="781"/>
      <c r="AE235" s="781"/>
    </row>
    <row r="236" ht="15.75" customHeight="1">
      <c r="A236" s="795">
        <v>44199.0</v>
      </c>
      <c r="B236" s="800" t="s">
        <v>6368</v>
      </c>
      <c r="C236" s="797" t="s">
        <v>3820</v>
      </c>
      <c r="D236" s="772" t="s">
        <v>6346</v>
      </c>
      <c r="E236" s="798">
        <v>10000.0</v>
      </c>
      <c r="F236" s="772" t="s">
        <v>4388</v>
      </c>
      <c r="G236" s="772" t="s">
        <v>105</v>
      </c>
      <c r="H236" s="772" t="s">
        <v>29</v>
      </c>
      <c r="I236" s="772" t="s">
        <v>3887</v>
      </c>
      <c r="J236" s="782">
        <v>44263.0</v>
      </c>
      <c r="K236" s="789" t="s">
        <v>3828</v>
      </c>
      <c r="L236" s="781"/>
      <c r="M236" s="781"/>
      <c r="N236" s="781"/>
      <c r="O236" s="781"/>
      <c r="P236" s="781"/>
      <c r="Q236" s="781"/>
      <c r="R236" s="781"/>
      <c r="S236" s="781"/>
      <c r="T236" s="781"/>
      <c r="U236" s="781"/>
      <c r="V236" s="781"/>
      <c r="W236" s="781"/>
      <c r="X236" s="781"/>
      <c r="Y236" s="781"/>
      <c r="Z236" s="781"/>
      <c r="AA236" s="781"/>
      <c r="AB236" s="781"/>
      <c r="AC236" s="781"/>
      <c r="AD236" s="781"/>
      <c r="AE236" s="781"/>
    </row>
    <row r="237" ht="15.75" customHeight="1">
      <c r="A237" s="795">
        <v>44200.0</v>
      </c>
      <c r="B237" s="796" t="s">
        <v>3140</v>
      </c>
      <c r="C237" s="797" t="s">
        <v>2547</v>
      </c>
      <c r="D237" s="772" t="s">
        <v>6346</v>
      </c>
      <c r="E237" s="798">
        <v>200000.0</v>
      </c>
      <c r="F237" s="772" t="s">
        <v>3139</v>
      </c>
      <c r="G237" s="782" t="s">
        <v>18</v>
      </c>
      <c r="H237" s="782" t="s">
        <v>176</v>
      </c>
      <c r="I237" s="782" t="s">
        <v>177</v>
      </c>
      <c r="J237" s="782">
        <v>44319.0</v>
      </c>
      <c r="K237" s="785" t="s">
        <v>3828</v>
      </c>
      <c r="L237" s="781"/>
      <c r="M237" s="781"/>
      <c r="N237" s="781"/>
      <c r="O237" s="781"/>
      <c r="P237" s="781"/>
      <c r="Q237" s="781"/>
      <c r="R237" s="781"/>
      <c r="S237" s="781"/>
      <c r="T237" s="781"/>
      <c r="U237" s="781"/>
      <c r="V237" s="781"/>
      <c r="W237" s="781"/>
      <c r="X237" s="781"/>
      <c r="Y237" s="781"/>
      <c r="Z237" s="781"/>
      <c r="AA237" s="781"/>
      <c r="AB237" s="781"/>
      <c r="AC237" s="781"/>
      <c r="AD237" s="781"/>
      <c r="AE237" s="781"/>
    </row>
    <row r="238" ht="15.75" customHeight="1">
      <c r="A238" s="786">
        <v>44200.0</v>
      </c>
      <c r="B238" s="787" t="s">
        <v>3056</v>
      </c>
      <c r="C238" s="788" t="s">
        <v>2547</v>
      </c>
      <c r="D238" s="772" t="s">
        <v>6346</v>
      </c>
      <c r="E238" s="784">
        <v>1500.0</v>
      </c>
      <c r="F238" s="772" t="s">
        <v>3055</v>
      </c>
      <c r="G238" s="782" t="s">
        <v>2550</v>
      </c>
      <c r="H238" s="782" t="s">
        <v>29</v>
      </c>
      <c r="I238" s="782" t="s">
        <v>2562</v>
      </c>
      <c r="J238" s="782">
        <v>43559.0</v>
      </c>
      <c r="K238" s="785" t="s">
        <v>4206</v>
      </c>
      <c r="L238" s="781"/>
      <c r="M238" s="781"/>
      <c r="N238" s="781"/>
      <c r="O238" s="781"/>
      <c r="P238" s="781"/>
      <c r="Q238" s="781"/>
      <c r="R238" s="781"/>
      <c r="S238" s="781"/>
      <c r="T238" s="781"/>
      <c r="U238" s="781"/>
      <c r="V238" s="781"/>
      <c r="W238" s="781"/>
      <c r="X238" s="781"/>
      <c r="Y238" s="781"/>
      <c r="Z238" s="781"/>
      <c r="AA238" s="781"/>
      <c r="AB238" s="781"/>
      <c r="AC238" s="781"/>
      <c r="AD238" s="781"/>
      <c r="AE238" s="781"/>
    </row>
    <row r="239" ht="15.75" customHeight="1">
      <c r="A239" s="786">
        <v>44200.0</v>
      </c>
      <c r="B239" s="787" t="s">
        <v>3446</v>
      </c>
      <c r="C239" s="788" t="s">
        <v>2547</v>
      </c>
      <c r="D239" s="772" t="s">
        <v>6346</v>
      </c>
      <c r="E239" s="784">
        <v>10000.0</v>
      </c>
      <c r="F239" s="772" t="s">
        <v>3445</v>
      </c>
      <c r="G239" s="782" t="s">
        <v>2550</v>
      </c>
      <c r="H239" s="782" t="s">
        <v>29</v>
      </c>
      <c r="I239" s="782" t="s">
        <v>2551</v>
      </c>
      <c r="J239" s="782">
        <v>43675.0</v>
      </c>
      <c r="K239" s="785" t="s">
        <v>4206</v>
      </c>
      <c r="L239" s="801"/>
      <c r="M239" s="781"/>
      <c r="N239" s="781"/>
      <c r="O239" s="781"/>
      <c r="P239" s="781"/>
      <c r="Q239" s="781"/>
      <c r="R239" s="781"/>
      <c r="S239" s="781"/>
      <c r="T239" s="781"/>
      <c r="U239" s="781"/>
      <c r="V239" s="781"/>
      <c r="W239" s="781"/>
      <c r="X239" s="781"/>
      <c r="Y239" s="781"/>
      <c r="Z239" s="781"/>
      <c r="AA239" s="781"/>
      <c r="AB239" s="781"/>
      <c r="AC239" s="781"/>
      <c r="AD239" s="781"/>
      <c r="AE239" s="781"/>
    </row>
    <row r="240" ht="15.75" customHeight="1">
      <c r="A240" s="786">
        <v>44200.0</v>
      </c>
      <c r="B240" s="787" t="s">
        <v>3041</v>
      </c>
      <c r="C240" s="788" t="s">
        <v>2547</v>
      </c>
      <c r="D240" s="772" t="s">
        <v>6346</v>
      </c>
      <c r="E240" s="784">
        <v>15000.0</v>
      </c>
      <c r="F240" s="772" t="s">
        <v>3040</v>
      </c>
      <c r="G240" s="782" t="s">
        <v>2550</v>
      </c>
      <c r="H240" s="782" t="s">
        <v>29</v>
      </c>
      <c r="I240" s="782" t="s">
        <v>2551</v>
      </c>
      <c r="J240" s="782">
        <v>43605.0</v>
      </c>
      <c r="K240" s="785" t="s">
        <v>3836</v>
      </c>
      <c r="L240" s="781"/>
      <c r="M240" s="781"/>
      <c r="N240" s="781"/>
      <c r="O240" s="781"/>
      <c r="P240" s="781"/>
      <c r="Q240" s="781"/>
      <c r="R240" s="781"/>
      <c r="S240" s="781"/>
      <c r="T240" s="781"/>
      <c r="U240" s="781"/>
      <c r="V240" s="781"/>
      <c r="W240" s="781"/>
      <c r="X240" s="781"/>
      <c r="Y240" s="781"/>
      <c r="Z240" s="781"/>
      <c r="AA240" s="781"/>
      <c r="AB240" s="781"/>
      <c r="AC240" s="781"/>
      <c r="AD240" s="781"/>
      <c r="AE240" s="781"/>
    </row>
    <row r="241" ht="15.75" customHeight="1">
      <c r="A241" s="786">
        <v>44201.0</v>
      </c>
      <c r="B241" s="787" t="s">
        <v>2982</v>
      </c>
      <c r="C241" s="788" t="s">
        <v>2547</v>
      </c>
      <c r="D241" s="772" t="s">
        <v>6346</v>
      </c>
      <c r="E241" s="791">
        <v>100638.85</v>
      </c>
      <c r="F241" s="772" t="s">
        <v>2981</v>
      </c>
      <c r="G241" s="782" t="s">
        <v>2550</v>
      </c>
      <c r="H241" s="782" t="s">
        <v>29</v>
      </c>
      <c r="I241" s="782" t="s">
        <v>2551</v>
      </c>
      <c r="J241" s="782">
        <v>43703.0</v>
      </c>
      <c r="K241" s="785" t="s">
        <v>4206</v>
      </c>
      <c r="L241" s="781"/>
      <c r="M241" s="781"/>
      <c r="N241" s="781"/>
      <c r="O241" s="781"/>
      <c r="P241" s="781"/>
      <c r="Q241" s="781"/>
      <c r="R241" s="781"/>
      <c r="S241" s="781"/>
      <c r="T241" s="781"/>
      <c r="U241" s="781"/>
      <c r="V241" s="781"/>
      <c r="W241" s="781"/>
      <c r="X241" s="781"/>
      <c r="Y241" s="781"/>
      <c r="Z241" s="781"/>
      <c r="AA241" s="781"/>
      <c r="AB241" s="781"/>
      <c r="AC241" s="781"/>
      <c r="AD241" s="781"/>
      <c r="AE241" s="781"/>
    </row>
    <row r="242" ht="15.75" customHeight="1">
      <c r="A242" s="786">
        <v>44201.0</v>
      </c>
      <c r="B242" s="787" t="s">
        <v>6364</v>
      </c>
      <c r="C242" s="788" t="s">
        <v>3820</v>
      </c>
      <c r="D242" s="772" t="s">
        <v>6346</v>
      </c>
      <c r="E242" s="784">
        <v>5000.0</v>
      </c>
      <c r="F242" s="772" t="s">
        <v>4490</v>
      </c>
      <c r="G242" s="772" t="s">
        <v>2550</v>
      </c>
      <c r="H242" s="772" t="s">
        <v>29</v>
      </c>
      <c r="I242" s="772" t="s">
        <v>2550</v>
      </c>
      <c r="J242" s="782">
        <v>43901.0</v>
      </c>
      <c r="K242" s="789" t="s">
        <v>3824</v>
      </c>
      <c r="L242" s="781"/>
      <c r="M242" s="781"/>
      <c r="N242" s="781"/>
      <c r="O242" s="781"/>
      <c r="P242" s="781"/>
      <c r="Q242" s="781"/>
      <c r="R242" s="781"/>
      <c r="S242" s="781"/>
      <c r="T242" s="781"/>
      <c r="U242" s="781"/>
      <c r="V242" s="781"/>
      <c r="W242" s="781"/>
      <c r="X242" s="781"/>
      <c r="Y242" s="781"/>
      <c r="Z242" s="781"/>
      <c r="AA242" s="781"/>
      <c r="AB242" s="781"/>
      <c r="AC242" s="781"/>
      <c r="AD242" s="781"/>
      <c r="AE242" s="781"/>
    </row>
    <row r="243" ht="15.75" customHeight="1">
      <c r="A243" s="786">
        <v>44201.0</v>
      </c>
      <c r="B243" s="787" t="s">
        <v>6369</v>
      </c>
      <c r="C243" s="788" t="s">
        <v>3820</v>
      </c>
      <c r="D243" s="772" t="s">
        <v>6346</v>
      </c>
      <c r="E243" s="784">
        <v>13400.0</v>
      </c>
      <c r="F243" s="772" t="s">
        <v>4010</v>
      </c>
      <c r="G243" s="772" t="s">
        <v>2550</v>
      </c>
      <c r="H243" s="772" t="s">
        <v>29</v>
      </c>
      <c r="I243" s="772" t="s">
        <v>2550</v>
      </c>
      <c r="J243" s="782">
        <v>43847.0</v>
      </c>
      <c r="K243" s="789" t="s">
        <v>3828</v>
      </c>
      <c r="L243" s="802"/>
      <c r="M243" s="801"/>
      <c r="N243" s="781"/>
      <c r="O243" s="781"/>
      <c r="P243" s="781"/>
      <c r="Q243" s="781"/>
      <c r="R243" s="781"/>
      <c r="S243" s="781"/>
      <c r="T243" s="781"/>
      <c r="U243" s="781"/>
      <c r="V243" s="781"/>
      <c r="W243" s="781"/>
      <c r="X243" s="781"/>
      <c r="Y243" s="781"/>
      <c r="Z243" s="781"/>
      <c r="AA243" s="781"/>
      <c r="AB243" s="781"/>
      <c r="AC243" s="781"/>
      <c r="AD243" s="781"/>
      <c r="AE243" s="781"/>
    </row>
    <row r="244" ht="15.75" customHeight="1">
      <c r="A244" s="786">
        <v>44202.0</v>
      </c>
      <c r="B244" s="793" t="s">
        <v>3296</v>
      </c>
      <c r="C244" s="788" t="s">
        <v>2547</v>
      </c>
      <c r="D244" s="772" t="s">
        <v>1481</v>
      </c>
      <c r="E244" s="784">
        <v>5000.0</v>
      </c>
      <c r="F244" s="772" t="s">
        <v>3295</v>
      </c>
      <c r="G244" s="782" t="s">
        <v>2550</v>
      </c>
      <c r="H244" s="782" t="s">
        <v>29</v>
      </c>
      <c r="I244" s="782" t="s">
        <v>2562</v>
      </c>
      <c r="J244" s="782">
        <v>43795.0</v>
      </c>
      <c r="K244" s="785" t="s">
        <v>3836</v>
      </c>
      <c r="L244" s="781"/>
      <c r="M244" s="781"/>
      <c r="N244" s="781"/>
      <c r="O244" s="781"/>
      <c r="P244" s="781"/>
      <c r="Q244" s="781"/>
      <c r="R244" s="781"/>
      <c r="S244" s="781"/>
      <c r="T244" s="781"/>
      <c r="U244" s="781"/>
      <c r="V244" s="781"/>
      <c r="W244" s="781"/>
      <c r="X244" s="781"/>
      <c r="Y244" s="781"/>
      <c r="Z244" s="781"/>
      <c r="AA244" s="781"/>
      <c r="AB244" s="781"/>
      <c r="AC244" s="781"/>
      <c r="AD244" s="781"/>
      <c r="AE244" s="781"/>
    </row>
    <row r="245" ht="15.75" customHeight="1">
      <c r="A245" s="786">
        <v>44207.0</v>
      </c>
      <c r="B245" s="787" t="s">
        <v>3409</v>
      </c>
      <c r="C245" s="788" t="s">
        <v>2547</v>
      </c>
      <c r="D245" s="772" t="s">
        <v>6346</v>
      </c>
      <c r="E245" s="784">
        <v>14000.0</v>
      </c>
      <c r="F245" s="772" t="s">
        <v>3408</v>
      </c>
      <c r="G245" s="782" t="s">
        <v>2550</v>
      </c>
      <c r="H245" s="782" t="s">
        <v>29</v>
      </c>
      <c r="I245" s="782" t="s">
        <v>2551</v>
      </c>
      <c r="J245" s="782">
        <v>43894.0</v>
      </c>
      <c r="K245" s="785" t="s">
        <v>3836</v>
      </c>
      <c r="L245" s="801"/>
      <c r="M245" s="802"/>
      <c r="N245" s="801"/>
      <c r="O245" s="781"/>
      <c r="P245" s="781"/>
      <c r="Q245" s="781"/>
      <c r="R245" s="781"/>
      <c r="S245" s="781"/>
      <c r="T245" s="781"/>
      <c r="U245" s="781"/>
      <c r="V245" s="781"/>
      <c r="W245" s="781"/>
      <c r="X245" s="781"/>
      <c r="Y245" s="781"/>
      <c r="Z245" s="781"/>
      <c r="AA245" s="781"/>
      <c r="AB245" s="781"/>
      <c r="AC245" s="781"/>
      <c r="AD245" s="781"/>
      <c r="AE245" s="781"/>
    </row>
    <row r="246" ht="15.75" customHeight="1">
      <c r="A246" s="786">
        <v>44208.0</v>
      </c>
      <c r="B246" s="793" t="s">
        <v>2982</v>
      </c>
      <c r="C246" s="788" t="s">
        <v>2547</v>
      </c>
      <c r="D246" s="772" t="s">
        <v>6346</v>
      </c>
      <c r="E246" s="784">
        <v>10000.0</v>
      </c>
      <c r="F246" s="772" t="s">
        <v>2981</v>
      </c>
      <c r="G246" s="782" t="s">
        <v>2550</v>
      </c>
      <c r="H246" s="782" t="s">
        <v>29</v>
      </c>
      <c r="I246" s="782" t="s">
        <v>2551</v>
      </c>
      <c r="J246" s="782">
        <v>43703.0</v>
      </c>
      <c r="K246" s="785" t="s">
        <v>4206</v>
      </c>
      <c r="L246" s="803"/>
      <c r="M246" s="801"/>
      <c r="N246" s="802"/>
      <c r="O246" s="801"/>
      <c r="P246" s="781"/>
      <c r="Q246" s="781"/>
      <c r="R246" s="781"/>
      <c r="S246" s="781"/>
      <c r="T246" s="781"/>
      <c r="U246" s="781"/>
      <c r="V246" s="781"/>
      <c r="W246" s="781"/>
      <c r="X246" s="781"/>
      <c r="Y246" s="781"/>
      <c r="Z246" s="781"/>
      <c r="AA246" s="781"/>
      <c r="AB246" s="781"/>
      <c r="AC246" s="781"/>
      <c r="AD246" s="781"/>
      <c r="AE246" s="781"/>
    </row>
    <row r="247" ht="15.75" customHeight="1">
      <c r="A247" s="786">
        <v>44209.0</v>
      </c>
      <c r="B247" s="787" t="s">
        <v>3246</v>
      </c>
      <c r="C247" s="788" t="s">
        <v>2547</v>
      </c>
      <c r="D247" s="772" t="s">
        <v>6346</v>
      </c>
      <c r="E247" s="784">
        <v>24000.0</v>
      </c>
      <c r="F247" s="772" t="s">
        <v>3245</v>
      </c>
      <c r="G247" s="782" t="s">
        <v>2550</v>
      </c>
      <c r="H247" s="782" t="s">
        <v>29</v>
      </c>
      <c r="I247" s="782" t="s">
        <v>2551</v>
      </c>
      <c r="J247" s="782">
        <v>43564.0</v>
      </c>
      <c r="K247" s="785" t="s">
        <v>3840</v>
      </c>
      <c r="L247" s="781"/>
      <c r="M247" s="781"/>
      <c r="N247" s="781"/>
      <c r="O247" s="781"/>
      <c r="P247" s="781"/>
      <c r="Q247" s="781"/>
      <c r="R247" s="781"/>
      <c r="S247" s="781"/>
      <c r="T247" s="781"/>
      <c r="U247" s="781"/>
      <c r="V247" s="781"/>
      <c r="W247" s="781"/>
      <c r="X247" s="781"/>
      <c r="Y247" s="781"/>
      <c r="Z247" s="781"/>
      <c r="AA247" s="781"/>
      <c r="AB247" s="781"/>
      <c r="AC247" s="781"/>
      <c r="AD247" s="781"/>
      <c r="AE247" s="781"/>
    </row>
    <row r="248" ht="15.75" customHeight="1">
      <c r="A248" s="786">
        <v>44211.0</v>
      </c>
      <c r="B248" s="787" t="s">
        <v>2697</v>
      </c>
      <c r="C248" s="788" t="s">
        <v>2547</v>
      </c>
      <c r="D248" s="772" t="s">
        <v>1481</v>
      </c>
      <c r="E248" s="799">
        <v>100832.44</v>
      </c>
      <c r="F248" s="772" t="s">
        <v>2696</v>
      </c>
      <c r="G248" s="782" t="s">
        <v>2550</v>
      </c>
      <c r="H248" s="782" t="s">
        <v>29</v>
      </c>
      <c r="I248" s="782" t="s">
        <v>2551</v>
      </c>
      <c r="J248" s="782">
        <v>43725.0</v>
      </c>
      <c r="K248" s="785" t="s">
        <v>4206</v>
      </c>
      <c r="L248" s="801"/>
      <c r="M248" s="803"/>
      <c r="N248" s="801"/>
      <c r="O248" s="802"/>
      <c r="P248" s="801"/>
      <c r="Q248" s="781"/>
      <c r="R248" s="781"/>
      <c r="S248" s="781"/>
      <c r="T248" s="781"/>
      <c r="U248" s="781"/>
      <c r="V248" s="781"/>
      <c r="W248" s="781"/>
      <c r="X248" s="781"/>
      <c r="Y248" s="781"/>
      <c r="Z248" s="781"/>
      <c r="AA248" s="781"/>
      <c r="AB248" s="781"/>
      <c r="AC248" s="781"/>
      <c r="AD248" s="781"/>
      <c r="AE248" s="781"/>
    </row>
    <row r="249" ht="15.75" customHeight="1">
      <c r="A249" s="786">
        <v>44215.0</v>
      </c>
      <c r="B249" s="793" t="s">
        <v>3041</v>
      </c>
      <c r="C249" s="788" t="s">
        <v>2547</v>
      </c>
      <c r="D249" s="772" t="s">
        <v>6346</v>
      </c>
      <c r="E249" s="784">
        <v>50000.0</v>
      </c>
      <c r="F249" s="772" t="s">
        <v>3040</v>
      </c>
      <c r="G249" s="782" t="s">
        <v>2550</v>
      </c>
      <c r="H249" s="782" t="s">
        <v>29</v>
      </c>
      <c r="I249" s="782" t="s">
        <v>2551</v>
      </c>
      <c r="J249" s="782">
        <v>43605.0</v>
      </c>
      <c r="K249" s="785" t="s">
        <v>3836</v>
      </c>
      <c r="L249" s="801"/>
      <c r="M249" s="801"/>
      <c r="N249" s="803"/>
      <c r="O249" s="801"/>
      <c r="P249" s="802"/>
      <c r="Q249" s="801"/>
      <c r="R249" s="781"/>
      <c r="S249" s="781"/>
      <c r="T249" s="781"/>
      <c r="U249" s="781"/>
      <c r="V249" s="781"/>
      <c r="W249" s="781"/>
      <c r="X249" s="781"/>
      <c r="Y249" s="781"/>
      <c r="Z249" s="781"/>
      <c r="AA249" s="781"/>
      <c r="AB249" s="781"/>
      <c r="AC249" s="781"/>
      <c r="AD249" s="781"/>
      <c r="AE249" s="781"/>
    </row>
    <row r="250" ht="15.75" customHeight="1">
      <c r="A250" s="786">
        <v>44217.0</v>
      </c>
      <c r="B250" s="787" t="s">
        <v>3553</v>
      </c>
      <c r="C250" s="788" t="s">
        <v>2547</v>
      </c>
      <c r="D250" s="772" t="s">
        <v>6346</v>
      </c>
      <c r="E250" s="784">
        <v>30000.0</v>
      </c>
      <c r="F250" s="772" t="s">
        <v>3552</v>
      </c>
      <c r="G250" s="782" t="s">
        <v>2550</v>
      </c>
      <c r="H250" s="782" t="s">
        <v>29</v>
      </c>
      <c r="I250" s="782" t="s">
        <v>2562</v>
      </c>
      <c r="J250" s="782">
        <v>43822.0</v>
      </c>
      <c r="K250" s="785" t="s">
        <v>3836</v>
      </c>
      <c r="L250" s="781"/>
      <c r="M250" s="781"/>
      <c r="N250" s="781"/>
      <c r="O250" s="781"/>
      <c r="P250" s="781"/>
      <c r="Q250" s="781"/>
      <c r="R250" s="781"/>
      <c r="S250" s="781"/>
      <c r="T250" s="781"/>
      <c r="U250" s="781"/>
      <c r="V250" s="781"/>
      <c r="W250" s="781"/>
      <c r="X250" s="781"/>
      <c r="Y250" s="781"/>
      <c r="Z250" s="781"/>
      <c r="AA250" s="781"/>
      <c r="AB250" s="781"/>
      <c r="AC250" s="781"/>
      <c r="AD250" s="781"/>
      <c r="AE250" s="781"/>
    </row>
    <row r="251" ht="15.75" customHeight="1">
      <c r="A251" s="786">
        <v>44218.0</v>
      </c>
      <c r="B251" s="787" t="s">
        <v>3246</v>
      </c>
      <c r="C251" s="788" t="s">
        <v>2547</v>
      </c>
      <c r="D251" s="772" t="s">
        <v>6346</v>
      </c>
      <c r="E251" s="784">
        <v>13000.0</v>
      </c>
      <c r="F251" s="772" t="s">
        <v>3245</v>
      </c>
      <c r="G251" s="782" t="s">
        <v>2550</v>
      </c>
      <c r="H251" s="782" t="s">
        <v>29</v>
      </c>
      <c r="I251" s="782" t="s">
        <v>2551</v>
      </c>
      <c r="J251" s="782">
        <v>43564.0</v>
      </c>
      <c r="K251" s="785" t="s">
        <v>3840</v>
      </c>
      <c r="L251" s="781"/>
      <c r="M251" s="781"/>
      <c r="N251" s="781"/>
      <c r="O251" s="781"/>
      <c r="P251" s="781"/>
      <c r="Q251" s="781"/>
      <c r="R251" s="781"/>
      <c r="S251" s="781"/>
      <c r="T251" s="781"/>
      <c r="U251" s="781"/>
      <c r="V251" s="781"/>
      <c r="W251" s="781"/>
      <c r="X251" s="781"/>
      <c r="Y251" s="781"/>
      <c r="Z251" s="781"/>
      <c r="AA251" s="781"/>
      <c r="AB251" s="781"/>
      <c r="AC251" s="781"/>
      <c r="AD251" s="781"/>
      <c r="AE251" s="781"/>
    </row>
    <row r="252" ht="15.75" customHeight="1">
      <c r="A252" s="786">
        <v>44221.0</v>
      </c>
      <c r="B252" s="787" t="s">
        <v>3041</v>
      </c>
      <c r="C252" s="788" t="s">
        <v>2547</v>
      </c>
      <c r="D252" s="772" t="s">
        <v>6346</v>
      </c>
      <c r="E252" s="784">
        <v>5000.0</v>
      </c>
      <c r="F252" s="772" t="s">
        <v>3040</v>
      </c>
      <c r="G252" s="782" t="s">
        <v>2550</v>
      </c>
      <c r="H252" s="782" t="s">
        <v>29</v>
      </c>
      <c r="I252" s="782" t="s">
        <v>2551</v>
      </c>
      <c r="J252" s="782">
        <v>43605.0</v>
      </c>
      <c r="K252" s="785" t="s">
        <v>3836</v>
      </c>
      <c r="L252" s="801"/>
      <c r="M252" s="801"/>
      <c r="N252" s="801"/>
      <c r="O252" s="803"/>
      <c r="P252" s="801"/>
      <c r="Q252" s="802"/>
      <c r="R252" s="801"/>
      <c r="S252" s="781"/>
      <c r="T252" s="781"/>
      <c r="U252" s="781"/>
      <c r="V252" s="781"/>
      <c r="W252" s="781"/>
      <c r="X252" s="781"/>
      <c r="Y252" s="781"/>
      <c r="Z252" s="781"/>
      <c r="AA252" s="781"/>
      <c r="AB252" s="781"/>
      <c r="AC252" s="781"/>
      <c r="AD252" s="781"/>
      <c r="AE252" s="781"/>
    </row>
    <row r="253" ht="15.75" customHeight="1">
      <c r="A253" s="786">
        <v>44223.0</v>
      </c>
      <c r="B253" s="787" t="s">
        <v>2982</v>
      </c>
      <c r="C253" s="788" t="s">
        <v>2547</v>
      </c>
      <c r="D253" s="772" t="s">
        <v>6346</v>
      </c>
      <c r="E253" s="784">
        <v>3000.0</v>
      </c>
      <c r="F253" s="772" t="s">
        <v>2981</v>
      </c>
      <c r="G253" s="782" t="s">
        <v>2550</v>
      </c>
      <c r="H253" s="782" t="s">
        <v>29</v>
      </c>
      <c r="I253" s="782" t="s">
        <v>2551</v>
      </c>
      <c r="J253" s="782">
        <v>43703.0</v>
      </c>
      <c r="K253" s="785" t="s">
        <v>4206</v>
      </c>
      <c r="L253" s="781"/>
      <c r="M253" s="781"/>
      <c r="N253" s="781"/>
      <c r="O253" s="781"/>
      <c r="P253" s="781"/>
      <c r="Q253" s="781"/>
      <c r="R253" s="781"/>
      <c r="S253" s="781"/>
      <c r="T253" s="781"/>
      <c r="U253" s="781"/>
      <c r="V253" s="781"/>
      <c r="W253" s="781"/>
      <c r="X253" s="781"/>
      <c r="Y253" s="781"/>
      <c r="Z253" s="781"/>
      <c r="AA253" s="781"/>
      <c r="AB253" s="781"/>
      <c r="AC253" s="781"/>
      <c r="AD253" s="781"/>
      <c r="AE253" s="781"/>
    </row>
    <row r="254" ht="15.75" customHeight="1">
      <c r="A254" s="786">
        <v>44228.0</v>
      </c>
      <c r="B254" s="787" t="s">
        <v>3446</v>
      </c>
      <c r="C254" s="788" t="s">
        <v>2547</v>
      </c>
      <c r="D254" s="772" t="s">
        <v>6346</v>
      </c>
      <c r="E254" s="784">
        <v>37000.0</v>
      </c>
      <c r="F254" s="772" t="s">
        <v>3445</v>
      </c>
      <c r="G254" s="782" t="s">
        <v>2550</v>
      </c>
      <c r="H254" s="782" t="s">
        <v>29</v>
      </c>
      <c r="I254" s="782" t="s">
        <v>2551</v>
      </c>
      <c r="J254" s="782">
        <v>43675.0</v>
      </c>
      <c r="K254" s="785" t="s">
        <v>4206</v>
      </c>
      <c r="L254" s="781"/>
      <c r="M254" s="781"/>
      <c r="N254" s="781"/>
      <c r="O254" s="781"/>
      <c r="P254" s="781"/>
      <c r="Q254" s="781"/>
      <c r="R254" s="781"/>
      <c r="S254" s="781"/>
      <c r="T254" s="781"/>
      <c r="U254" s="781"/>
      <c r="V254" s="781"/>
      <c r="W254" s="781"/>
      <c r="X254" s="781"/>
      <c r="Y254" s="781"/>
      <c r="Z254" s="781"/>
      <c r="AA254" s="781"/>
      <c r="AB254" s="781"/>
      <c r="AC254" s="781"/>
      <c r="AD254" s="781"/>
      <c r="AE254" s="781"/>
    </row>
    <row r="255" ht="15.75" customHeight="1">
      <c r="A255" s="782">
        <v>44229.0</v>
      </c>
      <c r="B255" s="783" t="s">
        <v>6370</v>
      </c>
      <c r="C255" s="772" t="s">
        <v>3820</v>
      </c>
      <c r="D255" s="772" t="s">
        <v>6345</v>
      </c>
      <c r="E255" s="784">
        <v>0.0</v>
      </c>
      <c r="F255" s="772" t="s">
        <v>4503</v>
      </c>
      <c r="G255" s="772" t="s">
        <v>18</v>
      </c>
      <c r="H255" s="772" t="s">
        <v>29</v>
      </c>
      <c r="I255" s="772" t="s">
        <v>3827</v>
      </c>
      <c r="J255" s="782">
        <v>44167.0</v>
      </c>
      <c r="K255" s="789" t="s">
        <v>3840</v>
      </c>
      <c r="L255" s="781"/>
      <c r="M255" s="781"/>
      <c r="N255" s="781"/>
      <c r="O255" s="781"/>
      <c r="P255" s="781"/>
      <c r="Q255" s="781"/>
      <c r="R255" s="781"/>
      <c r="S255" s="781"/>
      <c r="T255" s="781"/>
      <c r="U255" s="781"/>
      <c r="V255" s="781"/>
      <c r="W255" s="781"/>
      <c r="X255" s="781"/>
      <c r="Y255" s="781"/>
      <c r="Z255" s="781"/>
      <c r="AA255" s="781"/>
      <c r="AB255" s="781"/>
      <c r="AC255" s="781"/>
      <c r="AD255" s="781"/>
      <c r="AE255" s="781"/>
    </row>
    <row r="256" ht="15.75" customHeight="1">
      <c r="A256" s="786">
        <v>44229.0</v>
      </c>
      <c r="B256" s="787" t="s">
        <v>3269</v>
      </c>
      <c r="C256" s="788" t="s">
        <v>2547</v>
      </c>
      <c r="D256" s="772" t="s">
        <v>6346</v>
      </c>
      <c r="E256" s="784">
        <v>49992.45</v>
      </c>
      <c r="F256" s="772" t="s">
        <v>3268</v>
      </c>
      <c r="G256" s="782" t="s">
        <v>2550</v>
      </c>
      <c r="H256" s="782" t="s">
        <v>29</v>
      </c>
      <c r="I256" s="782" t="s">
        <v>2551</v>
      </c>
      <c r="J256" s="782">
        <v>43873.0</v>
      </c>
      <c r="K256" s="785" t="s">
        <v>3828</v>
      </c>
      <c r="L256" s="801"/>
      <c r="M256" s="801"/>
      <c r="N256" s="801"/>
      <c r="O256" s="803"/>
      <c r="P256" s="801"/>
      <c r="Q256" s="802"/>
      <c r="R256" s="801"/>
      <c r="S256" s="781"/>
      <c r="T256" s="781"/>
      <c r="U256" s="781"/>
      <c r="V256" s="781"/>
      <c r="W256" s="781"/>
      <c r="X256" s="781"/>
      <c r="Y256" s="781"/>
      <c r="Z256" s="781"/>
      <c r="AA256" s="781"/>
      <c r="AB256" s="781"/>
      <c r="AC256" s="781"/>
      <c r="AD256" s="781"/>
      <c r="AE256" s="781"/>
      <c r="AF256" s="781"/>
      <c r="AG256" s="781"/>
      <c r="AH256" s="781"/>
      <c r="AI256" s="781"/>
      <c r="AJ256" s="781"/>
      <c r="AK256" s="781"/>
      <c r="AL256" s="781"/>
      <c r="AM256" s="781"/>
      <c r="AN256" s="781"/>
      <c r="AO256" s="781"/>
      <c r="AP256" s="781"/>
      <c r="AQ256" s="781"/>
      <c r="AR256" s="781"/>
      <c r="AS256" s="781"/>
      <c r="AT256" s="781"/>
      <c r="AU256" s="781"/>
    </row>
    <row r="257" ht="15.75" customHeight="1">
      <c r="A257" s="786">
        <v>44230.0</v>
      </c>
      <c r="B257" s="787" t="s">
        <v>6347</v>
      </c>
      <c r="C257" s="788" t="s">
        <v>3820</v>
      </c>
      <c r="D257" s="772" t="s">
        <v>6346</v>
      </c>
      <c r="E257" s="784">
        <v>80000.0</v>
      </c>
      <c r="F257" s="772" t="s">
        <v>5059</v>
      </c>
      <c r="G257" s="772" t="s">
        <v>2550</v>
      </c>
      <c r="H257" s="772" t="s">
        <v>29</v>
      </c>
      <c r="I257" s="772" t="s">
        <v>2550</v>
      </c>
      <c r="J257" s="782">
        <v>43749.0</v>
      </c>
      <c r="K257" s="789" t="s">
        <v>4206</v>
      </c>
      <c r="L257" s="801"/>
      <c r="M257" s="801"/>
      <c r="N257" s="801"/>
      <c r="O257" s="801"/>
      <c r="P257" s="803"/>
      <c r="Q257" s="801"/>
      <c r="R257" s="802"/>
      <c r="S257" s="801"/>
      <c r="T257" s="781"/>
      <c r="U257" s="781"/>
      <c r="V257" s="781"/>
      <c r="W257" s="781"/>
      <c r="X257" s="781"/>
      <c r="Y257" s="781"/>
      <c r="Z257" s="781"/>
      <c r="AA257" s="781"/>
      <c r="AB257" s="781"/>
      <c r="AC257" s="781"/>
      <c r="AD257" s="781"/>
      <c r="AE257" s="781"/>
      <c r="AF257" s="781"/>
      <c r="AG257" s="781"/>
      <c r="AH257" s="781"/>
      <c r="AI257" s="781"/>
      <c r="AJ257" s="781"/>
      <c r="AK257" s="781"/>
      <c r="AL257" s="781"/>
      <c r="AM257" s="781"/>
      <c r="AN257" s="781"/>
      <c r="AO257" s="781"/>
      <c r="AP257" s="781"/>
      <c r="AQ257" s="781"/>
      <c r="AR257" s="781"/>
      <c r="AS257" s="781"/>
      <c r="AT257" s="781"/>
      <c r="AU257" s="781"/>
    </row>
    <row r="258" ht="15.75" customHeight="1">
      <c r="A258" s="786">
        <v>44230.0</v>
      </c>
      <c r="B258" s="787" t="s">
        <v>6362</v>
      </c>
      <c r="C258" s="788" t="s">
        <v>3820</v>
      </c>
      <c r="D258" s="772" t="s">
        <v>6346</v>
      </c>
      <c r="E258" s="784">
        <v>5000.0</v>
      </c>
      <c r="F258" s="772" t="s">
        <v>5021</v>
      </c>
      <c r="G258" s="772" t="s">
        <v>2550</v>
      </c>
      <c r="H258" s="772" t="s">
        <v>29</v>
      </c>
      <c r="I258" s="772" t="s">
        <v>2550</v>
      </c>
      <c r="J258" s="782">
        <v>44043.0</v>
      </c>
      <c r="K258" s="789" t="s">
        <v>3828</v>
      </c>
      <c r="L258" s="801"/>
      <c r="M258" s="801"/>
      <c r="N258" s="801"/>
      <c r="O258" s="801"/>
      <c r="P258" s="801"/>
      <c r="Q258" s="803"/>
      <c r="R258" s="801"/>
      <c r="S258" s="802"/>
      <c r="T258" s="801"/>
      <c r="U258" s="781"/>
      <c r="V258" s="781"/>
      <c r="W258" s="781"/>
      <c r="X258" s="781"/>
      <c r="Y258" s="781"/>
      <c r="Z258" s="781"/>
      <c r="AA258" s="781"/>
      <c r="AB258" s="781"/>
      <c r="AC258" s="781"/>
      <c r="AD258" s="781"/>
      <c r="AE258" s="781"/>
      <c r="AF258" s="781"/>
      <c r="AG258" s="781"/>
      <c r="AH258" s="781"/>
      <c r="AI258" s="781"/>
      <c r="AJ258" s="781"/>
      <c r="AK258" s="781"/>
      <c r="AL258" s="781"/>
      <c r="AM258" s="781"/>
      <c r="AN258" s="781"/>
      <c r="AO258" s="781"/>
      <c r="AP258" s="781"/>
      <c r="AQ258" s="781"/>
      <c r="AR258" s="781"/>
      <c r="AS258" s="781"/>
      <c r="AT258" s="781"/>
      <c r="AU258" s="781"/>
    </row>
    <row r="259" ht="15.75" customHeight="1">
      <c r="A259" s="786">
        <v>44230.0</v>
      </c>
      <c r="B259" s="787" t="s">
        <v>2941</v>
      </c>
      <c r="C259" s="788" t="s">
        <v>2547</v>
      </c>
      <c r="D259" s="772" t="s">
        <v>6346</v>
      </c>
      <c r="E259" s="784">
        <v>100000.0</v>
      </c>
      <c r="F259" s="772" t="s">
        <v>2940</v>
      </c>
      <c r="G259" s="782" t="s">
        <v>2550</v>
      </c>
      <c r="H259" s="782" t="s">
        <v>29</v>
      </c>
      <c r="I259" s="782" t="s">
        <v>2551</v>
      </c>
      <c r="J259" s="782">
        <v>43888.0</v>
      </c>
      <c r="K259" s="785" t="s">
        <v>3828</v>
      </c>
      <c r="L259" s="801"/>
      <c r="M259" s="801"/>
      <c r="N259" s="801"/>
      <c r="O259" s="801"/>
      <c r="P259" s="801"/>
      <c r="Q259" s="803"/>
      <c r="R259" s="801"/>
      <c r="S259" s="802"/>
      <c r="T259" s="801"/>
      <c r="U259" s="781"/>
      <c r="V259" s="781"/>
      <c r="W259" s="781"/>
      <c r="X259" s="781"/>
      <c r="Y259" s="781"/>
      <c r="Z259" s="781"/>
      <c r="AA259" s="781"/>
      <c r="AB259" s="781"/>
      <c r="AC259" s="781"/>
      <c r="AD259" s="781"/>
      <c r="AE259" s="781"/>
      <c r="AF259" s="781"/>
      <c r="AG259" s="781"/>
      <c r="AH259" s="781"/>
      <c r="AI259" s="781"/>
      <c r="AJ259" s="781"/>
      <c r="AK259" s="781"/>
      <c r="AL259" s="781"/>
      <c r="AM259" s="781"/>
      <c r="AN259" s="781"/>
      <c r="AO259" s="781"/>
      <c r="AP259" s="781"/>
      <c r="AQ259" s="781"/>
      <c r="AR259" s="781"/>
      <c r="AS259" s="781"/>
      <c r="AT259" s="781"/>
      <c r="AU259" s="781"/>
    </row>
    <row r="260" ht="15.75" customHeight="1">
      <c r="A260" s="786">
        <v>44235.0</v>
      </c>
      <c r="B260" s="787" t="s">
        <v>3721</v>
      </c>
      <c r="C260" s="788" t="s">
        <v>3632</v>
      </c>
      <c r="D260" s="772" t="s">
        <v>6346</v>
      </c>
      <c r="E260" s="784">
        <v>75000.0</v>
      </c>
      <c r="F260" s="772" t="s">
        <v>3720</v>
      </c>
      <c r="G260" s="782" t="s">
        <v>18</v>
      </c>
      <c r="H260" s="782" t="s">
        <v>29</v>
      </c>
      <c r="I260" s="782" t="s">
        <v>2213</v>
      </c>
      <c r="J260" s="782">
        <v>43797.0</v>
      </c>
      <c r="K260" s="785" t="s">
        <v>3836</v>
      </c>
      <c r="L260" s="781"/>
      <c r="M260" s="781"/>
      <c r="N260" s="781"/>
      <c r="O260" s="781"/>
      <c r="P260" s="781"/>
      <c r="Q260" s="781"/>
      <c r="R260" s="781"/>
      <c r="S260" s="781"/>
      <c r="T260" s="781"/>
      <c r="U260" s="781"/>
      <c r="V260" s="781"/>
      <c r="W260" s="781"/>
      <c r="X260" s="781"/>
      <c r="Y260" s="781"/>
      <c r="Z260" s="781"/>
      <c r="AA260" s="781"/>
      <c r="AB260" s="781"/>
      <c r="AC260" s="781"/>
      <c r="AD260" s="781"/>
      <c r="AE260" s="781"/>
      <c r="AF260" s="781"/>
      <c r="AG260" s="781"/>
      <c r="AH260" s="781"/>
      <c r="AI260" s="781"/>
      <c r="AJ260" s="781"/>
      <c r="AK260" s="781"/>
      <c r="AL260" s="781"/>
      <c r="AM260" s="781"/>
      <c r="AN260" s="781"/>
      <c r="AO260" s="781"/>
      <c r="AP260" s="781"/>
      <c r="AQ260" s="781"/>
      <c r="AR260" s="781"/>
      <c r="AS260" s="781"/>
      <c r="AT260" s="781"/>
      <c r="AU260" s="781"/>
    </row>
    <row r="261" ht="15.75" customHeight="1">
      <c r="A261" s="786">
        <v>44236.0</v>
      </c>
      <c r="B261" s="787" t="s">
        <v>6371</v>
      </c>
      <c r="C261" s="788" t="s">
        <v>3820</v>
      </c>
      <c r="D261" s="772" t="s">
        <v>6346</v>
      </c>
      <c r="E261" s="784">
        <v>40000.0</v>
      </c>
      <c r="F261" s="772" t="s">
        <v>4159</v>
      </c>
      <c r="G261" s="772" t="s">
        <v>18</v>
      </c>
      <c r="H261" s="772" t="s">
        <v>29</v>
      </c>
      <c r="I261" s="772" t="s">
        <v>4160</v>
      </c>
      <c r="J261" s="782">
        <v>44089.0</v>
      </c>
      <c r="K261" s="789" t="s">
        <v>3834</v>
      </c>
      <c r="L261" s="781"/>
      <c r="M261" s="781"/>
      <c r="N261" s="781"/>
      <c r="O261" s="781"/>
      <c r="P261" s="781"/>
      <c r="Q261" s="781"/>
      <c r="R261" s="781"/>
      <c r="S261" s="781"/>
      <c r="T261" s="781"/>
      <c r="U261" s="781"/>
      <c r="V261" s="781"/>
      <c r="W261" s="781"/>
      <c r="X261" s="781"/>
      <c r="Y261" s="781"/>
      <c r="Z261" s="781"/>
      <c r="AA261" s="781" t="s">
        <v>6345</v>
      </c>
      <c r="AB261" s="781"/>
      <c r="AC261" s="781"/>
      <c r="AD261" s="781"/>
      <c r="AE261" s="781"/>
      <c r="AF261" s="781"/>
      <c r="AG261" s="781"/>
      <c r="AH261" s="781"/>
      <c r="AI261" s="781"/>
      <c r="AJ261" s="781"/>
      <c r="AK261" s="781"/>
      <c r="AL261" s="781"/>
      <c r="AM261" s="781"/>
      <c r="AN261" s="781"/>
      <c r="AO261" s="781"/>
      <c r="AP261" s="781"/>
      <c r="AQ261" s="781"/>
      <c r="AR261" s="781"/>
      <c r="AS261" s="781"/>
      <c r="AT261" s="781"/>
      <c r="AU261" s="781"/>
    </row>
    <row r="262" ht="15.75" customHeight="1">
      <c r="A262" s="786">
        <v>44237.0</v>
      </c>
      <c r="B262" s="787" t="s">
        <v>6364</v>
      </c>
      <c r="C262" s="788" t="s">
        <v>3820</v>
      </c>
      <c r="D262" s="772" t="s">
        <v>6346</v>
      </c>
      <c r="E262" s="784">
        <v>60000.0</v>
      </c>
      <c r="F262" s="772" t="s">
        <v>4490</v>
      </c>
      <c r="G262" s="772" t="s">
        <v>2550</v>
      </c>
      <c r="H262" s="772" t="s">
        <v>29</v>
      </c>
      <c r="I262" s="772" t="s">
        <v>2550</v>
      </c>
      <c r="J262" s="782">
        <v>43901.0</v>
      </c>
      <c r="K262" s="789" t="s">
        <v>3824</v>
      </c>
      <c r="L262" s="781"/>
      <c r="M262" s="781"/>
      <c r="N262" s="781"/>
      <c r="O262" s="781"/>
      <c r="P262" s="781"/>
      <c r="Q262" s="781"/>
      <c r="R262" s="781"/>
      <c r="S262" s="781"/>
      <c r="T262" s="781"/>
      <c r="U262" s="781"/>
      <c r="V262" s="781"/>
      <c r="W262" s="781"/>
      <c r="X262" s="781"/>
      <c r="Y262" s="781"/>
      <c r="Z262" s="781"/>
      <c r="AA262" s="781" t="s">
        <v>1481</v>
      </c>
      <c r="AB262" s="781"/>
      <c r="AC262" s="781"/>
      <c r="AD262" s="781"/>
      <c r="AE262" s="781"/>
      <c r="AF262" s="781"/>
      <c r="AG262" s="781"/>
      <c r="AH262" s="781"/>
      <c r="AI262" s="781"/>
      <c r="AJ262" s="781"/>
      <c r="AK262" s="781"/>
      <c r="AL262" s="781"/>
      <c r="AM262" s="781"/>
      <c r="AN262" s="781"/>
      <c r="AO262" s="781"/>
      <c r="AP262" s="781"/>
      <c r="AQ262" s="781"/>
      <c r="AR262" s="781"/>
      <c r="AS262" s="781"/>
      <c r="AT262" s="781"/>
      <c r="AU262" s="781"/>
    </row>
    <row r="263" ht="15.75" customHeight="1">
      <c r="A263" s="786">
        <v>44239.0</v>
      </c>
      <c r="B263" s="787" t="s">
        <v>2859</v>
      </c>
      <c r="C263" s="788" t="s">
        <v>2547</v>
      </c>
      <c r="D263" s="772" t="s">
        <v>6346</v>
      </c>
      <c r="E263" s="784">
        <v>0.0</v>
      </c>
      <c r="F263" s="772" t="s">
        <v>2858</v>
      </c>
      <c r="G263" s="782" t="s">
        <v>2550</v>
      </c>
      <c r="H263" s="782" t="s">
        <v>29</v>
      </c>
      <c r="I263" s="782" t="s">
        <v>2551</v>
      </c>
      <c r="J263" s="782">
        <v>43888.0</v>
      </c>
      <c r="K263" s="785" t="s">
        <v>3836</v>
      </c>
      <c r="L263" s="781"/>
      <c r="M263" s="781"/>
      <c r="N263" s="781"/>
      <c r="O263" s="781"/>
      <c r="P263" s="781"/>
      <c r="Q263" s="781"/>
      <c r="R263" s="781"/>
      <c r="S263" s="781"/>
      <c r="T263" s="781"/>
      <c r="U263" s="781"/>
      <c r="V263" s="781"/>
      <c r="W263" s="781"/>
      <c r="X263" s="781"/>
      <c r="Y263" s="781"/>
      <c r="Z263" s="781"/>
      <c r="AA263" s="781" t="s">
        <v>6346</v>
      </c>
      <c r="AB263" s="781"/>
      <c r="AC263" s="781"/>
      <c r="AD263" s="781"/>
      <c r="AE263" s="781"/>
      <c r="AF263" s="781"/>
      <c r="AG263" s="781"/>
      <c r="AH263" s="781"/>
      <c r="AI263" s="781"/>
      <c r="AJ263" s="781"/>
      <c r="AK263" s="781"/>
      <c r="AL263" s="781"/>
      <c r="AM263" s="781"/>
      <c r="AN263" s="781"/>
      <c r="AO263" s="781"/>
      <c r="AP263" s="781"/>
      <c r="AQ263" s="781"/>
      <c r="AR263" s="781"/>
      <c r="AS263" s="781"/>
      <c r="AT263" s="781"/>
      <c r="AU263" s="781"/>
    </row>
    <row r="264" ht="15.75" customHeight="1">
      <c r="A264" s="786">
        <v>44246.0</v>
      </c>
      <c r="B264" s="787" t="s">
        <v>6372</v>
      </c>
      <c r="C264" s="788" t="s">
        <v>3820</v>
      </c>
      <c r="D264" s="772" t="s">
        <v>6346</v>
      </c>
      <c r="E264" s="784">
        <v>147535.36</v>
      </c>
      <c r="F264" s="772" t="s">
        <v>3882</v>
      </c>
      <c r="G264" s="772" t="s">
        <v>2550</v>
      </c>
      <c r="H264" s="772" t="s">
        <v>29</v>
      </c>
      <c r="I264" s="772" t="s">
        <v>2550</v>
      </c>
      <c r="J264" s="782">
        <v>44180.0</v>
      </c>
      <c r="K264" s="789" t="s">
        <v>3828</v>
      </c>
      <c r="L264" s="781"/>
      <c r="M264" s="781"/>
      <c r="N264" s="781"/>
      <c r="O264" s="781"/>
      <c r="P264" s="781"/>
      <c r="Q264" s="781"/>
      <c r="R264" s="781"/>
      <c r="S264" s="781"/>
      <c r="T264" s="781"/>
      <c r="U264" s="781"/>
      <c r="V264" s="781"/>
      <c r="W264" s="781"/>
      <c r="X264" s="781"/>
      <c r="Y264" s="781"/>
      <c r="Z264" s="781"/>
      <c r="AA264" s="781"/>
      <c r="AB264" s="781"/>
      <c r="AC264" s="781"/>
      <c r="AD264" s="781"/>
      <c r="AE264" s="781"/>
      <c r="AF264" s="781"/>
      <c r="AG264" s="781"/>
      <c r="AH264" s="781"/>
      <c r="AI264" s="781"/>
      <c r="AJ264" s="781"/>
      <c r="AK264" s="781"/>
      <c r="AL264" s="781"/>
      <c r="AM264" s="781"/>
      <c r="AN264" s="781"/>
      <c r="AO264" s="781"/>
      <c r="AP264" s="781"/>
      <c r="AQ264" s="781"/>
      <c r="AR264" s="781"/>
      <c r="AS264" s="781"/>
      <c r="AT264" s="781"/>
      <c r="AU264" s="781"/>
    </row>
    <row r="265" ht="15.75" customHeight="1">
      <c r="A265" s="786">
        <v>44246.0</v>
      </c>
      <c r="B265" s="787" t="s">
        <v>3516</v>
      </c>
      <c r="C265" s="788" t="s">
        <v>2547</v>
      </c>
      <c r="D265" s="772" t="s">
        <v>6346</v>
      </c>
      <c r="E265" s="784">
        <v>10000.0</v>
      </c>
      <c r="F265" s="772" t="s">
        <v>3515</v>
      </c>
      <c r="G265" s="782" t="s">
        <v>2550</v>
      </c>
      <c r="H265" s="782" t="s">
        <v>29</v>
      </c>
      <c r="I265" s="782" t="s">
        <v>2551</v>
      </c>
      <c r="J265" s="782">
        <v>43717.0</v>
      </c>
      <c r="K265" s="785" t="s">
        <v>4206</v>
      </c>
      <c r="L265" s="781"/>
      <c r="M265" s="781"/>
      <c r="N265" s="781"/>
      <c r="O265" s="781"/>
      <c r="P265" s="781"/>
      <c r="Q265" s="781"/>
      <c r="R265" s="781"/>
      <c r="S265" s="781"/>
      <c r="T265" s="781"/>
      <c r="U265" s="781"/>
      <c r="V265" s="781"/>
      <c r="W265" s="781"/>
      <c r="X265" s="781"/>
      <c r="Y265" s="781"/>
      <c r="Z265" s="781"/>
      <c r="AA265" s="781"/>
      <c r="AB265" s="781"/>
      <c r="AC265" s="781"/>
      <c r="AD265" s="781"/>
      <c r="AE265" s="781"/>
      <c r="AF265" s="781"/>
      <c r="AG265" s="781"/>
      <c r="AH265" s="781"/>
      <c r="AI265" s="781"/>
      <c r="AJ265" s="781"/>
      <c r="AK265" s="781"/>
      <c r="AL265" s="781"/>
      <c r="AM265" s="781"/>
      <c r="AN265" s="781"/>
      <c r="AO265" s="781"/>
      <c r="AP265" s="781"/>
      <c r="AQ265" s="781"/>
      <c r="AR265" s="781"/>
      <c r="AS265" s="781"/>
      <c r="AT265" s="781"/>
      <c r="AU265" s="781"/>
    </row>
    <row r="266" ht="15.75" customHeight="1">
      <c r="A266" s="786">
        <v>44251.0</v>
      </c>
      <c r="B266" s="787" t="s">
        <v>3387</v>
      </c>
      <c r="C266" s="788" t="s">
        <v>2547</v>
      </c>
      <c r="D266" s="772" t="s">
        <v>6346</v>
      </c>
      <c r="E266" s="784">
        <v>7000.0</v>
      </c>
      <c r="F266" s="772" t="s">
        <v>3384</v>
      </c>
      <c r="G266" s="782" t="s">
        <v>18</v>
      </c>
      <c r="H266" s="782" t="s">
        <v>29</v>
      </c>
      <c r="I266" s="782" t="s">
        <v>2803</v>
      </c>
      <c r="J266" s="782">
        <v>43417.0</v>
      </c>
      <c r="K266" s="785" t="s">
        <v>5228</v>
      </c>
      <c r="L266" s="781"/>
      <c r="M266" s="781"/>
      <c r="N266" s="781"/>
      <c r="O266" s="781"/>
      <c r="P266" s="781"/>
      <c r="Q266" s="781"/>
      <c r="R266" s="781"/>
      <c r="S266" s="781"/>
      <c r="T266" s="781"/>
      <c r="U266" s="781"/>
      <c r="V266" s="781"/>
      <c r="W266" s="781"/>
      <c r="X266" s="781"/>
      <c r="Y266" s="781"/>
      <c r="Z266" s="781"/>
      <c r="AA266" s="781"/>
      <c r="AB266" s="781"/>
      <c r="AC266" s="781"/>
      <c r="AD266" s="781"/>
      <c r="AE266" s="781"/>
      <c r="AF266" s="781"/>
      <c r="AG266" s="781"/>
      <c r="AH266" s="781"/>
      <c r="AI266" s="781"/>
      <c r="AJ266" s="781"/>
      <c r="AK266" s="781"/>
      <c r="AL266" s="781"/>
      <c r="AM266" s="781"/>
      <c r="AN266" s="781"/>
      <c r="AO266" s="781"/>
      <c r="AP266" s="781"/>
      <c r="AQ266" s="781"/>
      <c r="AR266" s="781"/>
      <c r="AS266" s="781"/>
      <c r="AT266" s="781"/>
      <c r="AU266" s="781"/>
    </row>
    <row r="267" ht="15.75" customHeight="1">
      <c r="A267" s="782">
        <v>44252.0</v>
      </c>
      <c r="B267" s="783" t="s">
        <v>6350</v>
      </c>
      <c r="C267" s="772" t="s">
        <v>3820</v>
      </c>
      <c r="D267" s="772" t="s">
        <v>6345</v>
      </c>
      <c r="E267" s="784">
        <v>0.0</v>
      </c>
      <c r="F267" s="772" t="s">
        <v>4677</v>
      </c>
      <c r="G267" s="772" t="s">
        <v>2550</v>
      </c>
      <c r="H267" s="772" t="s">
        <v>29</v>
      </c>
      <c r="I267" s="772" t="s">
        <v>2550</v>
      </c>
      <c r="J267" s="782">
        <v>44252.0</v>
      </c>
      <c r="K267" s="789" t="s">
        <v>3836</v>
      </c>
      <c r="L267" s="781"/>
      <c r="M267" s="781"/>
      <c r="N267" s="781"/>
      <c r="O267" s="781"/>
      <c r="P267" s="781"/>
      <c r="Q267" s="781"/>
      <c r="R267" s="781"/>
      <c r="S267" s="781"/>
      <c r="T267" s="781"/>
      <c r="U267" s="781"/>
      <c r="V267" s="781"/>
      <c r="W267" s="781"/>
      <c r="X267" s="781"/>
      <c r="Y267" s="781"/>
      <c r="Z267" s="781"/>
      <c r="AA267" s="781"/>
      <c r="AB267" s="781"/>
      <c r="AC267" s="781"/>
      <c r="AD267" s="781"/>
      <c r="AE267" s="781"/>
      <c r="AF267" s="781"/>
      <c r="AG267" s="781"/>
      <c r="AH267" s="781"/>
      <c r="AI267" s="781"/>
      <c r="AJ267" s="781"/>
      <c r="AK267" s="781"/>
      <c r="AL267" s="781"/>
      <c r="AM267" s="781"/>
      <c r="AN267" s="781"/>
      <c r="AO267" s="781"/>
      <c r="AP267" s="781"/>
      <c r="AQ267" s="781"/>
      <c r="AR267" s="781"/>
      <c r="AS267" s="781"/>
      <c r="AT267" s="781"/>
      <c r="AU267" s="781"/>
    </row>
    <row r="268" ht="15.75" customHeight="1">
      <c r="A268" s="786">
        <v>44252.0</v>
      </c>
      <c r="B268" s="787" t="s">
        <v>6352</v>
      </c>
      <c r="C268" s="788" t="s">
        <v>3820</v>
      </c>
      <c r="D268" s="772" t="s">
        <v>6346</v>
      </c>
      <c r="E268" s="784">
        <v>359512.5</v>
      </c>
      <c r="F268" s="772" t="s">
        <v>5122</v>
      </c>
      <c r="G268" s="772" t="s">
        <v>2550</v>
      </c>
      <c r="H268" s="772" t="s">
        <v>29</v>
      </c>
      <c r="I268" s="772" t="s">
        <v>2550</v>
      </c>
      <c r="J268" s="782">
        <v>44225.0</v>
      </c>
      <c r="K268" s="789" t="s">
        <v>3828</v>
      </c>
      <c r="L268" s="781"/>
      <c r="M268" s="781"/>
      <c r="N268" s="781"/>
      <c r="O268" s="781"/>
      <c r="P268" s="781"/>
      <c r="Q268" s="781"/>
      <c r="R268" s="781"/>
      <c r="S268" s="781"/>
      <c r="T268" s="781"/>
      <c r="U268" s="781"/>
      <c r="V268" s="781"/>
      <c r="W268" s="781"/>
      <c r="X268" s="781"/>
      <c r="Y268" s="781"/>
      <c r="Z268" s="781"/>
      <c r="AA268" s="781"/>
      <c r="AB268" s="781"/>
      <c r="AC268" s="781"/>
      <c r="AD268" s="781"/>
      <c r="AE268" s="781"/>
      <c r="AF268" s="781"/>
      <c r="AG268" s="781"/>
      <c r="AH268" s="781"/>
      <c r="AI268" s="781"/>
      <c r="AJ268" s="781"/>
      <c r="AK268" s="781"/>
      <c r="AL268" s="781"/>
      <c r="AM268" s="781"/>
      <c r="AN268" s="781"/>
      <c r="AO268" s="781"/>
      <c r="AP268" s="781"/>
      <c r="AQ268" s="781"/>
      <c r="AR268" s="781"/>
      <c r="AS268" s="781"/>
      <c r="AT268" s="781"/>
      <c r="AU268" s="781"/>
    </row>
    <row r="269" ht="15.75" customHeight="1">
      <c r="A269" s="786">
        <v>44252.0</v>
      </c>
      <c r="B269" s="787" t="s">
        <v>6347</v>
      </c>
      <c r="C269" s="788" t="s">
        <v>3820</v>
      </c>
      <c r="D269" s="772" t="s">
        <v>6346</v>
      </c>
      <c r="E269" s="784">
        <v>0.0</v>
      </c>
      <c r="F269" s="772" t="s">
        <v>5059</v>
      </c>
      <c r="G269" s="772" t="s">
        <v>2550</v>
      </c>
      <c r="H269" s="772" t="s">
        <v>29</v>
      </c>
      <c r="I269" s="772" t="s">
        <v>2550</v>
      </c>
      <c r="J269" s="782">
        <v>43749.0</v>
      </c>
      <c r="K269" s="789" t="s">
        <v>4206</v>
      </c>
      <c r="L269" s="781"/>
      <c r="M269" s="781"/>
      <c r="N269" s="781"/>
      <c r="O269" s="781"/>
      <c r="P269" s="781"/>
      <c r="Q269" s="781"/>
      <c r="R269" s="781"/>
      <c r="S269" s="781"/>
      <c r="T269" s="781"/>
      <c r="U269" s="781"/>
      <c r="V269" s="781"/>
      <c r="W269" s="781"/>
      <c r="X269" s="781"/>
      <c r="Y269" s="781"/>
      <c r="Z269" s="781"/>
      <c r="AA269" s="781"/>
      <c r="AB269" s="781"/>
      <c r="AC269" s="781"/>
      <c r="AD269" s="781"/>
      <c r="AE269" s="781"/>
      <c r="AF269" s="781"/>
      <c r="AG269" s="781"/>
      <c r="AH269" s="781"/>
      <c r="AI269" s="781"/>
      <c r="AJ269" s="781"/>
      <c r="AK269" s="781"/>
      <c r="AL269" s="781"/>
      <c r="AM269" s="781"/>
      <c r="AN269" s="781"/>
      <c r="AO269" s="781"/>
      <c r="AP269" s="781"/>
      <c r="AQ269" s="781"/>
      <c r="AR269" s="781"/>
      <c r="AS269" s="781"/>
      <c r="AT269" s="781"/>
      <c r="AU269" s="781"/>
    </row>
    <row r="270" ht="15.75" customHeight="1">
      <c r="A270" s="786">
        <v>44252.0</v>
      </c>
      <c r="B270" s="787" t="s">
        <v>6362</v>
      </c>
      <c r="C270" s="788" t="s">
        <v>3820</v>
      </c>
      <c r="D270" s="772" t="s">
        <v>6346</v>
      </c>
      <c r="E270" s="784">
        <v>30000.0</v>
      </c>
      <c r="F270" s="772" t="s">
        <v>5021</v>
      </c>
      <c r="G270" s="772" t="s">
        <v>2550</v>
      </c>
      <c r="H270" s="772" t="s">
        <v>29</v>
      </c>
      <c r="I270" s="772" t="s">
        <v>2550</v>
      </c>
      <c r="J270" s="782">
        <v>44043.0</v>
      </c>
      <c r="K270" s="789" t="s">
        <v>3828</v>
      </c>
      <c r="L270" s="781"/>
      <c r="M270" s="781"/>
      <c r="N270" s="781"/>
      <c r="O270" s="781"/>
      <c r="P270" s="781"/>
      <c r="Q270" s="781"/>
      <c r="R270" s="781"/>
      <c r="S270" s="781"/>
      <c r="T270" s="781"/>
      <c r="U270" s="781"/>
      <c r="V270" s="781"/>
      <c r="W270" s="781"/>
      <c r="X270" s="781"/>
      <c r="Y270" s="781"/>
      <c r="Z270" s="781"/>
      <c r="AA270" s="781"/>
      <c r="AB270" s="781"/>
      <c r="AC270" s="781"/>
      <c r="AD270" s="781"/>
      <c r="AE270" s="781"/>
      <c r="AF270" s="781"/>
      <c r="AG270" s="781"/>
      <c r="AH270" s="781"/>
      <c r="AI270" s="781"/>
      <c r="AJ270" s="781"/>
      <c r="AK270" s="781"/>
      <c r="AL270" s="781"/>
      <c r="AM270" s="781"/>
      <c r="AN270" s="781"/>
      <c r="AO270" s="781"/>
      <c r="AP270" s="781"/>
      <c r="AQ270" s="781"/>
      <c r="AR270" s="781"/>
      <c r="AS270" s="781"/>
      <c r="AT270" s="781"/>
      <c r="AU270" s="781"/>
    </row>
    <row r="271" ht="15.75" customHeight="1">
      <c r="A271" s="782">
        <v>44253.0</v>
      </c>
      <c r="B271" s="783" t="s">
        <v>6373</v>
      </c>
      <c r="C271" s="772" t="s">
        <v>3820</v>
      </c>
      <c r="D271" s="772" t="s">
        <v>6345</v>
      </c>
      <c r="E271" s="784">
        <v>0.0</v>
      </c>
      <c r="F271" s="772" t="s">
        <v>4156</v>
      </c>
      <c r="G271" s="772" t="s">
        <v>105</v>
      </c>
      <c r="H271" s="772" t="s">
        <v>29</v>
      </c>
      <c r="I271" s="772" t="s">
        <v>637</v>
      </c>
      <c r="J271" s="782">
        <v>44183.0</v>
      </c>
      <c r="K271" s="789" t="s">
        <v>3828</v>
      </c>
      <c r="L271" s="781"/>
      <c r="M271" s="781"/>
      <c r="N271" s="781"/>
      <c r="O271" s="781"/>
      <c r="P271" s="781"/>
      <c r="Q271" s="781"/>
      <c r="R271" s="781"/>
      <c r="S271" s="781"/>
      <c r="T271" s="781"/>
      <c r="U271" s="781"/>
      <c r="V271" s="781"/>
      <c r="W271" s="781"/>
      <c r="X271" s="781"/>
      <c r="Y271" s="781"/>
      <c r="Z271" s="781"/>
      <c r="AA271" s="781"/>
      <c r="AB271" s="781"/>
      <c r="AC271" s="781"/>
      <c r="AD271" s="781"/>
      <c r="AE271" s="781"/>
      <c r="AF271" s="781"/>
      <c r="AG271" s="781"/>
      <c r="AH271" s="781"/>
      <c r="AI271" s="781"/>
      <c r="AJ271" s="781"/>
      <c r="AK271" s="781"/>
      <c r="AL271" s="781"/>
      <c r="AM271" s="781"/>
      <c r="AN271" s="781"/>
      <c r="AO271" s="781"/>
      <c r="AP271" s="781"/>
      <c r="AQ271" s="781"/>
      <c r="AR271" s="781"/>
      <c r="AS271" s="781"/>
      <c r="AT271" s="781"/>
      <c r="AU271" s="781"/>
    </row>
    <row r="272" ht="15.75" customHeight="1">
      <c r="A272" s="786">
        <v>44253.0</v>
      </c>
      <c r="B272" s="787" t="s">
        <v>6374</v>
      </c>
      <c r="C272" s="788" t="s">
        <v>3820</v>
      </c>
      <c r="D272" s="772" t="s">
        <v>6346</v>
      </c>
      <c r="E272" s="784">
        <v>600000.0</v>
      </c>
      <c r="F272" s="772" t="s">
        <v>4665</v>
      </c>
      <c r="G272" s="772" t="s">
        <v>105</v>
      </c>
      <c r="H272" s="772" t="s">
        <v>29</v>
      </c>
      <c r="I272" s="772" t="s">
        <v>4087</v>
      </c>
      <c r="J272" s="782">
        <v>44067.0</v>
      </c>
      <c r="K272" s="789" t="s">
        <v>3840</v>
      </c>
      <c r="L272" s="781"/>
      <c r="M272" s="781"/>
      <c r="N272" s="781"/>
      <c r="O272" s="781"/>
      <c r="P272" s="781"/>
      <c r="Q272" s="781"/>
      <c r="R272" s="781"/>
      <c r="S272" s="781"/>
      <c r="T272" s="781"/>
      <c r="U272" s="781"/>
      <c r="V272" s="781"/>
      <c r="W272" s="781"/>
      <c r="X272" s="781"/>
      <c r="Y272" s="781"/>
      <c r="Z272" s="781"/>
      <c r="AA272" s="781"/>
      <c r="AB272" s="781"/>
      <c r="AC272" s="781"/>
      <c r="AD272" s="781"/>
      <c r="AE272" s="781"/>
      <c r="AF272" s="781"/>
      <c r="AG272" s="781"/>
      <c r="AH272" s="781"/>
      <c r="AI272" s="781"/>
      <c r="AJ272" s="781"/>
      <c r="AK272" s="781"/>
      <c r="AL272" s="781"/>
      <c r="AM272" s="781"/>
      <c r="AN272" s="781"/>
      <c r="AO272" s="781"/>
      <c r="AP272" s="781"/>
      <c r="AQ272" s="781"/>
      <c r="AR272" s="781"/>
      <c r="AS272" s="781"/>
      <c r="AT272" s="781"/>
      <c r="AU272" s="781"/>
    </row>
    <row r="273" ht="15.75" customHeight="1">
      <c r="A273" s="786">
        <v>44253.0</v>
      </c>
      <c r="B273" s="787" t="s">
        <v>6373</v>
      </c>
      <c r="C273" s="788" t="s">
        <v>3820</v>
      </c>
      <c r="D273" s="772" t="s">
        <v>6346</v>
      </c>
      <c r="E273" s="784">
        <v>33961.75</v>
      </c>
      <c r="F273" s="772" t="s">
        <v>4156</v>
      </c>
      <c r="G273" s="772" t="s">
        <v>105</v>
      </c>
      <c r="H273" s="772" t="s">
        <v>29</v>
      </c>
      <c r="I273" s="772" t="s">
        <v>637</v>
      </c>
      <c r="J273" s="782">
        <v>44183.0</v>
      </c>
      <c r="K273" s="789" t="s">
        <v>3828</v>
      </c>
      <c r="L273" s="781"/>
      <c r="M273" s="781"/>
      <c r="N273" s="781"/>
      <c r="O273" s="781"/>
      <c r="P273" s="781"/>
      <c r="Q273" s="781"/>
      <c r="R273" s="781"/>
      <c r="S273" s="781"/>
      <c r="T273" s="781"/>
      <c r="U273" s="781"/>
      <c r="V273" s="781"/>
      <c r="W273" s="781"/>
      <c r="X273" s="781"/>
      <c r="Y273" s="781"/>
      <c r="Z273" s="781"/>
      <c r="AA273" s="781"/>
      <c r="AB273" s="781"/>
      <c r="AC273" s="781"/>
      <c r="AD273" s="781"/>
      <c r="AE273" s="781"/>
      <c r="AF273" s="781"/>
      <c r="AG273" s="781"/>
      <c r="AH273" s="781"/>
      <c r="AI273" s="781"/>
      <c r="AJ273" s="781"/>
      <c r="AK273" s="781"/>
      <c r="AL273" s="781"/>
      <c r="AM273" s="781"/>
      <c r="AN273" s="781"/>
      <c r="AO273" s="781"/>
      <c r="AP273" s="781"/>
      <c r="AQ273" s="781"/>
      <c r="AR273" s="781"/>
      <c r="AS273" s="781"/>
      <c r="AT273" s="781"/>
      <c r="AU273" s="781"/>
    </row>
    <row r="274" ht="15.75" customHeight="1">
      <c r="A274" s="786">
        <v>44258.0</v>
      </c>
      <c r="B274" s="787" t="s">
        <v>3056</v>
      </c>
      <c r="C274" s="788" t="s">
        <v>2547</v>
      </c>
      <c r="D274" s="772" t="s">
        <v>6346</v>
      </c>
      <c r="E274" s="784">
        <v>47591.43</v>
      </c>
      <c r="F274" s="772" t="s">
        <v>3055</v>
      </c>
      <c r="G274" s="782" t="s">
        <v>2550</v>
      </c>
      <c r="H274" s="782" t="s">
        <v>29</v>
      </c>
      <c r="I274" s="782" t="s">
        <v>2562</v>
      </c>
      <c r="J274" s="782">
        <v>43559.0</v>
      </c>
      <c r="K274" s="785" t="s">
        <v>4206</v>
      </c>
      <c r="L274" s="781"/>
      <c r="M274" s="781"/>
      <c r="N274" s="781"/>
      <c r="O274" s="781"/>
      <c r="P274" s="781"/>
      <c r="Q274" s="781"/>
      <c r="R274" s="781"/>
      <c r="S274" s="781"/>
      <c r="T274" s="781"/>
      <c r="U274" s="781"/>
      <c r="V274" s="781"/>
      <c r="W274" s="781"/>
      <c r="X274" s="781"/>
      <c r="Y274" s="781"/>
      <c r="Z274" s="781"/>
      <c r="AA274" s="781"/>
      <c r="AB274" s="781"/>
      <c r="AC274" s="781"/>
      <c r="AD274" s="781"/>
      <c r="AE274" s="781"/>
      <c r="AF274" s="781"/>
      <c r="AG274" s="781"/>
      <c r="AH274" s="781"/>
      <c r="AI274" s="781"/>
      <c r="AJ274" s="781"/>
      <c r="AK274" s="781"/>
      <c r="AL274" s="781"/>
      <c r="AM274" s="781"/>
      <c r="AN274" s="781"/>
      <c r="AO274" s="781"/>
      <c r="AP274" s="781"/>
      <c r="AQ274" s="781"/>
      <c r="AR274" s="781"/>
      <c r="AS274" s="781"/>
      <c r="AT274" s="781"/>
      <c r="AU274" s="781"/>
    </row>
    <row r="275" ht="15.75" customHeight="1">
      <c r="A275" s="786">
        <v>44258.0</v>
      </c>
      <c r="B275" s="787" t="s">
        <v>2802</v>
      </c>
      <c r="C275" s="788" t="s">
        <v>2547</v>
      </c>
      <c r="D275" s="772" t="s">
        <v>1481</v>
      </c>
      <c r="E275" s="784">
        <v>5000.0</v>
      </c>
      <c r="F275" s="772" t="s">
        <v>2801</v>
      </c>
      <c r="G275" s="782" t="s">
        <v>18</v>
      </c>
      <c r="H275" s="782" t="s">
        <v>29</v>
      </c>
      <c r="I275" s="782" t="s">
        <v>2803</v>
      </c>
      <c r="J275" s="782">
        <v>43416.0</v>
      </c>
      <c r="K275" s="785" t="s">
        <v>3840</v>
      </c>
      <c r="L275" s="781"/>
      <c r="M275" s="781"/>
      <c r="N275" s="781"/>
      <c r="O275" s="781"/>
      <c r="P275" s="781"/>
      <c r="Q275" s="781"/>
      <c r="R275" s="781"/>
      <c r="S275" s="781"/>
      <c r="T275" s="781"/>
      <c r="U275" s="781"/>
      <c r="V275" s="781"/>
      <c r="W275" s="781"/>
      <c r="X275" s="781"/>
      <c r="Y275" s="781"/>
      <c r="Z275" s="781"/>
      <c r="AA275" s="781"/>
      <c r="AB275" s="781"/>
      <c r="AC275" s="781"/>
      <c r="AD275" s="781"/>
      <c r="AE275" s="781"/>
      <c r="AF275" s="781"/>
      <c r="AG275" s="781"/>
      <c r="AH275" s="781"/>
      <c r="AI275" s="781"/>
      <c r="AJ275" s="781"/>
      <c r="AK275" s="781"/>
      <c r="AL275" s="781"/>
      <c r="AM275" s="781"/>
      <c r="AN275" s="781"/>
      <c r="AO275" s="781"/>
      <c r="AP275" s="781"/>
      <c r="AQ275" s="781"/>
      <c r="AR275" s="781"/>
      <c r="AS275" s="781"/>
      <c r="AT275" s="781"/>
      <c r="AU275" s="781"/>
    </row>
    <row r="276" ht="15.75" customHeight="1">
      <c r="A276" s="786">
        <v>44258.0</v>
      </c>
      <c r="B276" s="787" t="s">
        <v>3721</v>
      </c>
      <c r="C276" s="788" t="s">
        <v>3632</v>
      </c>
      <c r="D276" s="772" t="s">
        <v>1481</v>
      </c>
      <c r="E276" s="784">
        <v>721960.02</v>
      </c>
      <c r="F276" s="772" t="s">
        <v>3720</v>
      </c>
      <c r="G276" s="782" t="s">
        <v>18</v>
      </c>
      <c r="H276" s="782" t="s">
        <v>29</v>
      </c>
      <c r="I276" s="782" t="s">
        <v>2213</v>
      </c>
      <c r="J276" s="782">
        <v>43797.0</v>
      </c>
      <c r="K276" s="785" t="s">
        <v>3836</v>
      </c>
      <c r="L276" s="781"/>
      <c r="M276" s="781"/>
      <c r="N276" s="781"/>
      <c r="O276" s="781"/>
      <c r="P276" s="781"/>
      <c r="Q276" s="781"/>
      <c r="R276" s="781"/>
      <c r="S276" s="781"/>
      <c r="T276" s="781"/>
      <c r="U276" s="781"/>
      <c r="V276" s="781"/>
      <c r="W276" s="781"/>
      <c r="X276" s="781"/>
      <c r="Y276" s="781"/>
      <c r="Z276" s="781"/>
      <c r="AA276" s="781"/>
      <c r="AB276" s="781"/>
      <c r="AC276" s="781"/>
      <c r="AD276" s="781"/>
      <c r="AE276" s="781"/>
      <c r="AF276" s="781"/>
      <c r="AG276" s="781"/>
      <c r="AH276" s="781"/>
      <c r="AI276" s="781"/>
      <c r="AJ276" s="781"/>
      <c r="AK276" s="781"/>
      <c r="AL276" s="781"/>
      <c r="AM276" s="781"/>
      <c r="AN276" s="781"/>
      <c r="AO276" s="781"/>
      <c r="AP276" s="781"/>
      <c r="AQ276" s="781"/>
      <c r="AR276" s="781"/>
      <c r="AS276" s="781"/>
      <c r="AT276" s="781"/>
      <c r="AU276" s="781"/>
    </row>
    <row r="277" ht="15.75" customHeight="1">
      <c r="A277" s="786">
        <v>44260.0</v>
      </c>
      <c r="B277" s="787" t="s">
        <v>2941</v>
      </c>
      <c r="C277" s="788" t="s">
        <v>2547</v>
      </c>
      <c r="D277" s="772" t="s">
        <v>6346</v>
      </c>
      <c r="E277" s="784">
        <v>50844.88</v>
      </c>
      <c r="F277" s="772" t="s">
        <v>2940</v>
      </c>
      <c r="G277" s="782" t="s">
        <v>2550</v>
      </c>
      <c r="H277" s="782" t="s">
        <v>29</v>
      </c>
      <c r="I277" s="782" t="s">
        <v>2551</v>
      </c>
      <c r="J277" s="782">
        <v>43888.0</v>
      </c>
      <c r="K277" s="785" t="s">
        <v>3828</v>
      </c>
      <c r="L277" s="781"/>
      <c r="M277" s="781"/>
      <c r="N277" s="781"/>
      <c r="O277" s="781"/>
      <c r="P277" s="781"/>
      <c r="Q277" s="781"/>
      <c r="R277" s="781"/>
      <c r="S277" s="781"/>
      <c r="T277" s="781"/>
      <c r="U277" s="781"/>
      <c r="V277" s="781"/>
      <c r="W277" s="781"/>
      <c r="X277" s="781"/>
      <c r="Y277" s="781"/>
      <c r="Z277" s="781"/>
      <c r="AA277" s="781"/>
      <c r="AB277" s="781"/>
      <c r="AC277" s="781"/>
      <c r="AD277" s="781"/>
      <c r="AE277" s="781"/>
      <c r="AF277" s="781"/>
      <c r="AG277" s="781"/>
      <c r="AH277" s="781"/>
      <c r="AI277" s="781"/>
      <c r="AJ277" s="781"/>
      <c r="AK277" s="781"/>
      <c r="AL277" s="781"/>
      <c r="AM277" s="781"/>
      <c r="AN277" s="781"/>
      <c r="AO277" s="781"/>
      <c r="AP277" s="781"/>
      <c r="AQ277" s="781"/>
      <c r="AR277" s="781"/>
      <c r="AS277" s="781"/>
      <c r="AT277" s="781"/>
      <c r="AU277" s="781"/>
    </row>
    <row r="278" ht="15.75" customHeight="1">
      <c r="A278" s="786">
        <v>44263.0</v>
      </c>
      <c r="B278" s="787" t="s">
        <v>3074</v>
      </c>
      <c r="C278" s="788" t="s">
        <v>2547</v>
      </c>
      <c r="D278" s="772" t="s">
        <v>6346</v>
      </c>
      <c r="E278" s="784">
        <v>20000.0</v>
      </c>
      <c r="F278" s="772" t="s">
        <v>3073</v>
      </c>
      <c r="G278" s="782" t="s">
        <v>18</v>
      </c>
      <c r="H278" s="782" t="s">
        <v>29</v>
      </c>
      <c r="I278" s="782" t="s">
        <v>2803</v>
      </c>
      <c r="J278" s="782">
        <v>43515.0</v>
      </c>
      <c r="K278" s="785" t="s">
        <v>3840</v>
      </c>
      <c r="L278" s="781"/>
      <c r="M278" s="781"/>
      <c r="N278" s="781"/>
      <c r="O278" s="781"/>
      <c r="P278" s="781"/>
      <c r="Q278" s="781"/>
      <c r="R278" s="781"/>
      <c r="S278" s="781"/>
      <c r="T278" s="781"/>
      <c r="U278" s="781"/>
      <c r="V278" s="781"/>
      <c r="W278" s="781"/>
      <c r="X278" s="781"/>
      <c r="Y278" s="781"/>
      <c r="Z278" s="781"/>
      <c r="AA278" s="781"/>
      <c r="AB278" s="781"/>
      <c r="AC278" s="781"/>
      <c r="AD278" s="781"/>
      <c r="AE278" s="781"/>
      <c r="AF278" s="781"/>
      <c r="AG278" s="781"/>
      <c r="AH278" s="781"/>
      <c r="AI278" s="781"/>
      <c r="AJ278" s="781"/>
      <c r="AK278" s="781"/>
      <c r="AL278" s="781"/>
      <c r="AM278" s="781"/>
      <c r="AN278" s="781"/>
      <c r="AO278" s="781"/>
      <c r="AP278" s="781"/>
      <c r="AQ278" s="781"/>
      <c r="AR278" s="781"/>
      <c r="AS278" s="781"/>
      <c r="AT278" s="781"/>
      <c r="AU278" s="781"/>
    </row>
    <row r="279" ht="15.75" customHeight="1">
      <c r="A279" s="782">
        <v>44264.0</v>
      </c>
      <c r="B279" s="783" t="s">
        <v>2941</v>
      </c>
      <c r="C279" s="772" t="s">
        <v>2547</v>
      </c>
      <c r="D279" s="772" t="s">
        <v>6345</v>
      </c>
      <c r="E279" s="784">
        <v>111979.59</v>
      </c>
      <c r="F279" s="772" t="s">
        <v>2940</v>
      </c>
      <c r="G279" s="782" t="s">
        <v>2550</v>
      </c>
      <c r="H279" s="782" t="s">
        <v>29</v>
      </c>
      <c r="I279" s="782" t="s">
        <v>2551</v>
      </c>
      <c r="J279" s="782">
        <v>43888.0</v>
      </c>
      <c r="K279" s="785" t="s">
        <v>3828</v>
      </c>
      <c r="L279" s="781"/>
      <c r="M279" s="781"/>
      <c r="N279" s="781"/>
      <c r="O279" s="781"/>
      <c r="P279" s="781"/>
      <c r="Q279" s="781"/>
      <c r="R279" s="781"/>
      <c r="S279" s="781"/>
      <c r="T279" s="781"/>
      <c r="U279" s="781"/>
      <c r="V279" s="781"/>
      <c r="W279" s="781"/>
      <c r="X279" s="781"/>
      <c r="Y279" s="781"/>
      <c r="Z279" s="781"/>
      <c r="AA279" s="781"/>
      <c r="AB279" s="781"/>
      <c r="AC279" s="781"/>
      <c r="AD279" s="781"/>
      <c r="AE279" s="781"/>
      <c r="AF279" s="781"/>
      <c r="AG279" s="781"/>
      <c r="AH279" s="781"/>
      <c r="AI279" s="781"/>
      <c r="AJ279" s="781"/>
      <c r="AK279" s="781"/>
      <c r="AL279" s="781"/>
      <c r="AM279" s="781"/>
      <c r="AN279" s="781"/>
      <c r="AO279" s="781"/>
      <c r="AP279" s="781"/>
      <c r="AQ279" s="781"/>
      <c r="AR279" s="781"/>
      <c r="AS279" s="781"/>
      <c r="AT279" s="781"/>
      <c r="AU279" s="781"/>
    </row>
    <row r="280" ht="15.75" customHeight="1">
      <c r="A280" s="786">
        <v>44264.0</v>
      </c>
      <c r="B280" s="787" t="s">
        <v>6369</v>
      </c>
      <c r="C280" s="788" t="s">
        <v>3820</v>
      </c>
      <c r="D280" s="772" t="s">
        <v>1481</v>
      </c>
      <c r="E280" s="784">
        <v>100000.0</v>
      </c>
      <c r="F280" s="772" t="s">
        <v>4010</v>
      </c>
      <c r="G280" s="772" t="s">
        <v>2550</v>
      </c>
      <c r="H280" s="772" t="s">
        <v>29</v>
      </c>
      <c r="I280" s="772" t="s">
        <v>2550</v>
      </c>
      <c r="J280" s="782">
        <v>43847.0</v>
      </c>
      <c r="K280" s="789" t="s">
        <v>3828</v>
      </c>
      <c r="L280" s="781"/>
      <c r="M280" s="781"/>
      <c r="N280" s="781"/>
      <c r="O280" s="781"/>
      <c r="P280" s="781"/>
      <c r="Q280" s="781"/>
      <c r="R280" s="781"/>
      <c r="S280" s="781"/>
      <c r="T280" s="781"/>
      <c r="U280" s="781"/>
      <c r="V280" s="781"/>
      <c r="W280" s="781"/>
      <c r="X280" s="781"/>
      <c r="Y280" s="781"/>
      <c r="Z280" s="781"/>
      <c r="AA280" s="781"/>
      <c r="AB280" s="781"/>
      <c r="AC280" s="781"/>
      <c r="AD280" s="781"/>
      <c r="AE280" s="781"/>
      <c r="AF280" s="781"/>
      <c r="AG280" s="781"/>
      <c r="AH280" s="781"/>
      <c r="AI280" s="781"/>
      <c r="AJ280" s="781"/>
      <c r="AK280" s="781"/>
      <c r="AL280" s="781"/>
      <c r="AM280" s="781"/>
      <c r="AN280" s="781"/>
      <c r="AO280" s="781"/>
      <c r="AP280" s="781"/>
      <c r="AQ280" s="781"/>
      <c r="AR280" s="781"/>
      <c r="AS280" s="781"/>
      <c r="AT280" s="781"/>
      <c r="AU280" s="781"/>
    </row>
    <row r="281" ht="15.75" customHeight="1">
      <c r="A281" s="786">
        <v>44264.0</v>
      </c>
      <c r="B281" s="787" t="s">
        <v>6362</v>
      </c>
      <c r="C281" s="788" t="s">
        <v>3820</v>
      </c>
      <c r="D281" s="772" t="s">
        <v>1481</v>
      </c>
      <c r="E281" s="784">
        <v>900000.0</v>
      </c>
      <c r="F281" s="772" t="s">
        <v>5021</v>
      </c>
      <c r="G281" s="772" t="s">
        <v>2550</v>
      </c>
      <c r="H281" s="772" t="s">
        <v>29</v>
      </c>
      <c r="I281" s="772" t="s">
        <v>2550</v>
      </c>
      <c r="J281" s="782">
        <v>44043.0</v>
      </c>
      <c r="K281" s="789" t="s">
        <v>3828</v>
      </c>
      <c r="L281" s="781"/>
      <c r="M281" s="781"/>
      <c r="N281" s="781"/>
      <c r="O281" s="781"/>
      <c r="P281" s="781"/>
      <c r="Q281" s="781"/>
      <c r="R281" s="781"/>
      <c r="S281" s="781"/>
      <c r="T281" s="781"/>
      <c r="U281" s="781"/>
      <c r="V281" s="781"/>
      <c r="W281" s="781"/>
      <c r="X281" s="781"/>
      <c r="Y281" s="781"/>
      <c r="Z281" s="781"/>
      <c r="AA281" s="781"/>
      <c r="AB281" s="781"/>
      <c r="AC281" s="781"/>
      <c r="AD281" s="781"/>
      <c r="AE281" s="781"/>
      <c r="AF281" s="781"/>
      <c r="AG281" s="781"/>
      <c r="AH281" s="781"/>
      <c r="AI281" s="781"/>
      <c r="AJ281" s="781"/>
      <c r="AK281" s="781"/>
      <c r="AL281" s="781"/>
      <c r="AM281" s="781"/>
      <c r="AN281" s="781"/>
      <c r="AO281" s="781"/>
      <c r="AP281" s="781"/>
      <c r="AQ281" s="781"/>
      <c r="AR281" s="781"/>
      <c r="AS281" s="781"/>
      <c r="AT281" s="781"/>
      <c r="AU281" s="781"/>
    </row>
    <row r="282" ht="15.75" customHeight="1">
      <c r="A282" s="786">
        <v>44264.0</v>
      </c>
      <c r="B282" s="787" t="s">
        <v>6375</v>
      </c>
      <c r="C282" s="788" t="s">
        <v>3820</v>
      </c>
      <c r="D282" s="772" t="s">
        <v>1481</v>
      </c>
      <c r="E282" s="784">
        <v>13000.0</v>
      </c>
      <c r="F282" s="772" t="s">
        <v>4656</v>
      </c>
      <c r="G282" s="772" t="s">
        <v>2550</v>
      </c>
      <c r="H282" s="772" t="s">
        <v>29</v>
      </c>
      <c r="I282" s="772" t="s">
        <v>2550</v>
      </c>
      <c r="J282" s="782">
        <v>44070.0</v>
      </c>
      <c r="K282" s="789" t="s">
        <v>3824</v>
      </c>
      <c r="L282" s="781"/>
      <c r="M282" s="781"/>
      <c r="N282" s="781"/>
      <c r="O282" s="781"/>
      <c r="P282" s="781"/>
      <c r="Q282" s="781"/>
      <c r="R282" s="781"/>
      <c r="S282" s="781"/>
      <c r="T282" s="781"/>
      <c r="U282" s="781"/>
      <c r="V282" s="781"/>
      <c r="W282" s="781"/>
      <c r="X282" s="781"/>
      <c r="Y282" s="781"/>
      <c r="Z282" s="781"/>
      <c r="AA282" s="781"/>
      <c r="AB282" s="781"/>
      <c r="AC282" s="781"/>
      <c r="AD282" s="781"/>
      <c r="AE282" s="781"/>
      <c r="AF282" s="781"/>
      <c r="AG282" s="781"/>
      <c r="AH282" s="781"/>
      <c r="AI282" s="781"/>
      <c r="AJ282" s="781"/>
      <c r="AK282" s="781"/>
      <c r="AL282" s="781"/>
      <c r="AM282" s="781"/>
      <c r="AN282" s="781"/>
      <c r="AO282" s="781"/>
      <c r="AP282" s="781"/>
      <c r="AQ282" s="781"/>
      <c r="AR282" s="781"/>
      <c r="AS282" s="781"/>
      <c r="AT282" s="781"/>
      <c r="AU282" s="781"/>
    </row>
    <row r="283" ht="15.75" customHeight="1">
      <c r="A283" s="782">
        <v>44270.0</v>
      </c>
      <c r="B283" s="783" t="s">
        <v>6376</v>
      </c>
      <c r="C283" s="772" t="s">
        <v>3820</v>
      </c>
      <c r="D283" s="772" t="s">
        <v>6345</v>
      </c>
      <c r="E283" s="784">
        <v>0.0</v>
      </c>
      <c r="F283" s="772" t="s">
        <v>4485</v>
      </c>
      <c r="G283" s="772" t="s">
        <v>105</v>
      </c>
      <c r="H283" s="772" t="s">
        <v>29</v>
      </c>
      <c r="I283" s="772" t="s">
        <v>6377</v>
      </c>
      <c r="J283" s="782">
        <v>44160.0</v>
      </c>
      <c r="K283" s="789" t="s">
        <v>3824</v>
      </c>
      <c r="L283" s="781"/>
      <c r="M283" s="781"/>
      <c r="N283" s="781"/>
      <c r="O283" s="781"/>
      <c r="P283" s="781"/>
      <c r="Q283" s="781"/>
      <c r="R283" s="781"/>
      <c r="S283" s="781"/>
      <c r="T283" s="781"/>
      <c r="U283" s="781"/>
      <c r="V283" s="781"/>
      <c r="W283" s="781"/>
      <c r="X283" s="781"/>
      <c r="Y283" s="781"/>
      <c r="Z283" s="781"/>
      <c r="AA283" s="781"/>
      <c r="AB283" s="781"/>
      <c r="AC283" s="781"/>
      <c r="AD283" s="781"/>
      <c r="AE283" s="781"/>
      <c r="AF283" s="781"/>
      <c r="AG283" s="781"/>
      <c r="AH283" s="781"/>
      <c r="AI283" s="781"/>
      <c r="AJ283" s="781"/>
      <c r="AK283" s="781"/>
      <c r="AL283" s="781"/>
      <c r="AM283" s="781"/>
      <c r="AN283" s="781"/>
      <c r="AO283" s="781"/>
      <c r="AP283" s="781"/>
      <c r="AQ283" s="781"/>
      <c r="AR283" s="781"/>
      <c r="AS283" s="781"/>
      <c r="AT283" s="781"/>
      <c r="AU283" s="781"/>
    </row>
    <row r="284" ht="15.75" customHeight="1">
      <c r="A284" s="782">
        <v>44270.0</v>
      </c>
      <c r="B284" s="783" t="s">
        <v>6378</v>
      </c>
      <c r="C284" s="772" t="s">
        <v>3820</v>
      </c>
      <c r="D284" s="772" t="s">
        <v>6345</v>
      </c>
      <c r="E284" s="784">
        <v>0.0</v>
      </c>
      <c r="F284" s="772" t="s">
        <v>5090</v>
      </c>
      <c r="G284" s="772" t="s">
        <v>2550</v>
      </c>
      <c r="H284" s="772" t="s">
        <v>29</v>
      </c>
      <c r="I284" s="772" t="s">
        <v>2550</v>
      </c>
      <c r="J284" s="782">
        <v>44244.0</v>
      </c>
      <c r="K284" s="789" t="s">
        <v>3828</v>
      </c>
      <c r="L284" s="781"/>
      <c r="M284" s="781"/>
      <c r="N284" s="781"/>
      <c r="O284" s="781"/>
      <c r="P284" s="781"/>
      <c r="Q284" s="781"/>
      <c r="R284" s="781"/>
      <c r="S284" s="781"/>
      <c r="T284" s="781"/>
      <c r="U284" s="781"/>
      <c r="V284" s="781"/>
      <c r="W284" s="781"/>
      <c r="X284" s="781"/>
      <c r="Y284" s="781"/>
      <c r="Z284" s="781"/>
      <c r="AA284" s="781"/>
      <c r="AB284" s="781"/>
      <c r="AC284" s="781"/>
      <c r="AD284" s="781"/>
      <c r="AE284" s="781"/>
      <c r="AF284" s="781"/>
      <c r="AG284" s="781"/>
      <c r="AH284" s="781"/>
      <c r="AI284" s="781"/>
      <c r="AJ284" s="781"/>
      <c r="AK284" s="781"/>
      <c r="AL284" s="781"/>
      <c r="AM284" s="781"/>
      <c r="AN284" s="781"/>
      <c r="AO284" s="781"/>
      <c r="AP284" s="781"/>
      <c r="AQ284" s="781"/>
      <c r="AR284" s="781"/>
      <c r="AS284" s="781"/>
      <c r="AT284" s="781"/>
      <c r="AU284" s="781"/>
    </row>
    <row r="285" ht="15.75" customHeight="1">
      <c r="A285" s="786">
        <v>44270.0</v>
      </c>
      <c r="B285" s="787" t="s">
        <v>3056</v>
      </c>
      <c r="C285" s="788" t="s">
        <v>2547</v>
      </c>
      <c r="D285" s="772" t="s">
        <v>6346</v>
      </c>
      <c r="E285" s="784">
        <v>100000.0</v>
      </c>
      <c r="F285" s="772" t="s">
        <v>3055</v>
      </c>
      <c r="G285" s="782" t="s">
        <v>2550</v>
      </c>
      <c r="H285" s="782" t="s">
        <v>29</v>
      </c>
      <c r="I285" s="782" t="s">
        <v>2562</v>
      </c>
      <c r="J285" s="782">
        <v>43559.0</v>
      </c>
      <c r="K285" s="785" t="s">
        <v>4206</v>
      </c>
      <c r="L285" s="781"/>
      <c r="M285" s="781"/>
      <c r="N285" s="781"/>
      <c r="O285" s="781"/>
      <c r="P285" s="781"/>
      <c r="Q285" s="781"/>
      <c r="R285" s="781"/>
      <c r="S285" s="781"/>
      <c r="T285" s="781"/>
      <c r="U285" s="781"/>
      <c r="V285" s="781"/>
      <c r="W285" s="781"/>
      <c r="X285" s="781"/>
      <c r="Y285" s="781"/>
      <c r="Z285" s="781"/>
      <c r="AA285" s="781"/>
      <c r="AB285" s="781"/>
      <c r="AC285" s="781"/>
      <c r="AD285" s="781"/>
      <c r="AE285" s="781"/>
      <c r="AF285" s="781"/>
      <c r="AG285" s="781"/>
      <c r="AH285" s="781"/>
      <c r="AI285" s="781"/>
      <c r="AJ285" s="781"/>
      <c r="AK285" s="781"/>
      <c r="AL285" s="781"/>
      <c r="AM285" s="781"/>
      <c r="AN285" s="781"/>
      <c r="AO285" s="781"/>
      <c r="AP285" s="781"/>
      <c r="AQ285" s="781"/>
      <c r="AR285" s="781"/>
      <c r="AS285" s="781"/>
      <c r="AT285" s="781"/>
      <c r="AU285" s="781"/>
    </row>
    <row r="286" ht="15.75" customHeight="1">
      <c r="A286" s="786">
        <v>44274.0</v>
      </c>
      <c r="B286" s="787" t="s">
        <v>6352</v>
      </c>
      <c r="C286" s="788" t="s">
        <v>3820</v>
      </c>
      <c r="D286" s="772" t="s">
        <v>1481</v>
      </c>
      <c r="E286" s="784">
        <v>12500.0</v>
      </c>
      <c r="F286" s="772" t="s">
        <v>5122</v>
      </c>
      <c r="G286" s="772" t="s">
        <v>2550</v>
      </c>
      <c r="H286" s="772" t="s">
        <v>29</v>
      </c>
      <c r="I286" s="772" t="s">
        <v>2550</v>
      </c>
      <c r="J286" s="782">
        <v>44225.0</v>
      </c>
      <c r="K286" s="789" t="s">
        <v>3828</v>
      </c>
      <c r="L286" s="781"/>
      <c r="M286" s="781"/>
      <c r="N286" s="781"/>
      <c r="O286" s="781"/>
      <c r="P286" s="781"/>
      <c r="Q286" s="781"/>
      <c r="R286" s="781"/>
      <c r="S286" s="781"/>
      <c r="T286" s="781"/>
      <c r="U286" s="781"/>
      <c r="V286" s="781"/>
      <c r="W286" s="781"/>
      <c r="X286" s="781"/>
      <c r="Y286" s="781"/>
      <c r="Z286" s="781"/>
      <c r="AA286" s="781"/>
      <c r="AB286" s="781"/>
      <c r="AC286" s="781"/>
      <c r="AD286" s="781"/>
      <c r="AE286" s="781"/>
      <c r="AF286" s="781"/>
      <c r="AG286" s="781"/>
      <c r="AH286" s="781"/>
      <c r="AI286" s="781"/>
      <c r="AJ286" s="781"/>
      <c r="AK286" s="781"/>
      <c r="AL286" s="781"/>
      <c r="AM286" s="781"/>
      <c r="AN286" s="781"/>
      <c r="AO286" s="781"/>
      <c r="AP286" s="781"/>
      <c r="AQ286" s="781"/>
      <c r="AR286" s="781"/>
      <c r="AS286" s="781"/>
      <c r="AT286" s="781"/>
      <c r="AU286" s="781"/>
    </row>
    <row r="287" ht="15.75" customHeight="1">
      <c r="A287" s="786">
        <v>44277.0</v>
      </c>
      <c r="B287" s="787" t="s">
        <v>6379</v>
      </c>
      <c r="C287" s="788" t="s">
        <v>3820</v>
      </c>
      <c r="D287" s="772" t="s">
        <v>1481</v>
      </c>
      <c r="E287" s="784">
        <v>10000.0</v>
      </c>
      <c r="F287" s="772" t="s">
        <v>5255</v>
      </c>
      <c r="G287" s="772" t="s">
        <v>2550</v>
      </c>
      <c r="H287" s="772" t="s">
        <v>29</v>
      </c>
      <c r="I287" s="772" t="s">
        <v>2550</v>
      </c>
      <c r="J287" s="782">
        <v>44075.0</v>
      </c>
      <c r="K287" s="804" t="s">
        <v>3828</v>
      </c>
      <c r="L287" s="781"/>
      <c r="M287" s="781"/>
      <c r="N287" s="781"/>
      <c r="O287" s="781"/>
      <c r="P287" s="781"/>
      <c r="Q287" s="781"/>
      <c r="R287" s="781"/>
      <c r="S287" s="781"/>
      <c r="T287" s="781"/>
      <c r="U287" s="781"/>
      <c r="V287" s="781"/>
      <c r="W287" s="781"/>
      <c r="X287" s="781"/>
      <c r="Y287" s="781"/>
      <c r="Z287" s="781"/>
      <c r="AA287" s="781"/>
      <c r="AB287" s="781"/>
      <c r="AC287" s="781"/>
      <c r="AD287" s="781"/>
      <c r="AE287" s="781"/>
      <c r="AF287" s="781"/>
      <c r="AG287" s="781"/>
      <c r="AH287" s="781"/>
      <c r="AI287" s="781"/>
      <c r="AJ287" s="781"/>
      <c r="AK287" s="781"/>
      <c r="AL287" s="781"/>
      <c r="AM287" s="781"/>
      <c r="AN287" s="781"/>
      <c r="AO287" s="781"/>
      <c r="AP287" s="781"/>
      <c r="AQ287" s="781"/>
      <c r="AR287" s="781"/>
      <c r="AS287" s="781"/>
      <c r="AT287" s="781"/>
      <c r="AU287" s="781"/>
    </row>
    <row r="288" ht="15.75" customHeight="1">
      <c r="A288" s="786">
        <v>44277.0</v>
      </c>
      <c r="B288" s="787" t="s">
        <v>2793</v>
      </c>
      <c r="C288" s="788" t="s">
        <v>2547</v>
      </c>
      <c r="D288" s="772" t="s">
        <v>6346</v>
      </c>
      <c r="E288" s="784">
        <v>96557.66</v>
      </c>
      <c r="F288" s="772" t="s">
        <v>2792</v>
      </c>
      <c r="G288" s="782" t="s">
        <v>2550</v>
      </c>
      <c r="H288" s="782" t="s">
        <v>29</v>
      </c>
      <c r="I288" s="782" t="s">
        <v>2551</v>
      </c>
      <c r="J288" s="782">
        <v>43822.0</v>
      </c>
      <c r="K288" s="782" t="s">
        <v>3836</v>
      </c>
      <c r="L288" s="781"/>
      <c r="M288" s="781"/>
      <c r="N288" s="781"/>
      <c r="O288" s="781"/>
      <c r="P288" s="781"/>
      <c r="Q288" s="781"/>
      <c r="R288" s="781"/>
      <c r="S288" s="781"/>
      <c r="T288" s="781"/>
      <c r="U288" s="781"/>
      <c r="V288" s="781"/>
      <c r="W288" s="781"/>
      <c r="X288" s="781"/>
      <c r="Y288" s="781"/>
      <c r="Z288" s="781"/>
      <c r="AA288" s="781"/>
      <c r="AB288" s="781"/>
      <c r="AC288" s="781"/>
      <c r="AD288" s="781"/>
      <c r="AE288" s="781"/>
      <c r="AF288" s="781"/>
      <c r="AG288" s="781"/>
      <c r="AH288" s="781"/>
      <c r="AI288" s="781"/>
      <c r="AJ288" s="781"/>
      <c r="AK288" s="781"/>
      <c r="AL288" s="781"/>
      <c r="AM288" s="781"/>
      <c r="AN288" s="781"/>
      <c r="AO288" s="781"/>
      <c r="AP288" s="781"/>
      <c r="AQ288" s="781"/>
      <c r="AR288" s="781"/>
      <c r="AS288" s="781"/>
      <c r="AT288" s="781"/>
      <c r="AU288" s="781"/>
    </row>
    <row r="289" ht="15.75" customHeight="1">
      <c r="A289" s="786">
        <v>44278.0</v>
      </c>
      <c r="B289" s="787" t="s">
        <v>3340</v>
      </c>
      <c r="C289" s="788" t="s">
        <v>2547</v>
      </c>
      <c r="D289" s="772" t="s">
        <v>6346</v>
      </c>
      <c r="E289" s="784">
        <v>120000.0</v>
      </c>
      <c r="F289" s="772" t="s">
        <v>3339</v>
      </c>
      <c r="G289" s="782" t="s">
        <v>2550</v>
      </c>
      <c r="H289" s="782" t="s">
        <v>29</v>
      </c>
      <c r="I289" s="782" t="s">
        <v>2562</v>
      </c>
      <c r="J289" s="782">
        <v>43531.0</v>
      </c>
      <c r="K289" s="785" t="s">
        <v>4206</v>
      </c>
      <c r="L289" s="781"/>
      <c r="M289" s="781"/>
      <c r="N289" s="781"/>
      <c r="O289" s="781"/>
      <c r="P289" s="781"/>
      <c r="Q289" s="781"/>
      <c r="R289" s="781"/>
      <c r="S289" s="781"/>
      <c r="T289" s="781"/>
      <c r="U289" s="781"/>
      <c r="V289" s="781"/>
      <c r="W289" s="781"/>
      <c r="X289" s="781"/>
      <c r="Y289" s="781"/>
      <c r="Z289" s="781"/>
      <c r="AA289" s="781"/>
      <c r="AB289" s="781"/>
      <c r="AC289" s="781"/>
      <c r="AD289" s="781"/>
      <c r="AE289" s="781"/>
      <c r="AF289" s="781"/>
      <c r="AG289" s="781"/>
      <c r="AH289" s="781"/>
      <c r="AI289" s="781"/>
      <c r="AJ289" s="781"/>
      <c r="AK289" s="781"/>
      <c r="AL289" s="781"/>
      <c r="AM289" s="781"/>
      <c r="AN289" s="781"/>
      <c r="AO289" s="781"/>
      <c r="AP289" s="781"/>
      <c r="AQ289" s="781"/>
      <c r="AR289" s="781"/>
      <c r="AS289" s="781"/>
      <c r="AT289" s="781"/>
      <c r="AU289" s="781"/>
    </row>
    <row r="290" ht="15.75" customHeight="1">
      <c r="A290" s="786">
        <v>44279.0</v>
      </c>
      <c r="B290" s="787" t="s">
        <v>3453</v>
      </c>
      <c r="C290" s="788" t="s">
        <v>2547</v>
      </c>
      <c r="D290" s="772" t="s">
        <v>6346</v>
      </c>
      <c r="E290" s="784">
        <v>5000.0</v>
      </c>
      <c r="F290" s="772" t="s">
        <v>6380</v>
      </c>
      <c r="G290" s="782" t="s">
        <v>18</v>
      </c>
      <c r="H290" s="782" t="s">
        <v>176</v>
      </c>
      <c r="I290" s="782" t="s">
        <v>177</v>
      </c>
      <c r="J290" s="782">
        <v>44278.0</v>
      </c>
      <c r="K290" s="785" t="s">
        <v>3828</v>
      </c>
      <c r="L290" s="781"/>
      <c r="M290" s="781"/>
      <c r="N290" s="781"/>
      <c r="O290" s="781"/>
      <c r="P290" s="781"/>
      <c r="Q290" s="781"/>
      <c r="R290" s="781"/>
      <c r="S290" s="781"/>
      <c r="T290" s="781"/>
      <c r="U290" s="781"/>
      <c r="V290" s="781"/>
      <c r="W290" s="781"/>
      <c r="X290" s="781"/>
      <c r="Y290" s="781"/>
      <c r="Z290" s="781"/>
      <c r="AA290" s="781"/>
      <c r="AB290" s="781"/>
      <c r="AC290" s="781"/>
      <c r="AD290" s="781"/>
      <c r="AE290" s="781"/>
      <c r="AF290" s="781"/>
      <c r="AG290" s="781"/>
      <c r="AH290" s="781"/>
      <c r="AI290" s="781"/>
      <c r="AJ290" s="781"/>
      <c r="AK290" s="781"/>
      <c r="AL290" s="781"/>
      <c r="AM290" s="781"/>
      <c r="AN290" s="781"/>
      <c r="AO290" s="781"/>
      <c r="AP290" s="781"/>
      <c r="AQ290" s="781"/>
      <c r="AR290" s="781"/>
      <c r="AS290" s="781"/>
      <c r="AT290" s="781"/>
      <c r="AU290" s="781"/>
    </row>
    <row r="291" ht="15.75" customHeight="1">
      <c r="A291" s="786">
        <v>44279.0</v>
      </c>
      <c r="B291" s="787" t="s">
        <v>6381</v>
      </c>
      <c r="C291" s="788" t="s">
        <v>3820</v>
      </c>
      <c r="D291" s="772" t="s">
        <v>6346</v>
      </c>
      <c r="E291" s="784">
        <v>7000.0</v>
      </c>
      <c r="F291" s="772" t="s">
        <v>5246</v>
      </c>
      <c r="G291" s="772" t="s">
        <v>105</v>
      </c>
      <c r="H291" s="772" t="s">
        <v>29</v>
      </c>
      <c r="I291" s="772" t="s">
        <v>5247</v>
      </c>
      <c r="J291" s="782">
        <v>44105.0</v>
      </c>
      <c r="K291" s="789" t="s">
        <v>3840</v>
      </c>
      <c r="L291" s="781"/>
      <c r="M291" s="781"/>
      <c r="N291" s="781"/>
      <c r="O291" s="781"/>
      <c r="P291" s="781"/>
      <c r="Q291" s="781"/>
      <c r="R291" s="781"/>
      <c r="S291" s="781"/>
      <c r="T291" s="781"/>
      <c r="U291" s="781"/>
      <c r="V291" s="781"/>
      <c r="W291" s="781"/>
      <c r="X291" s="781"/>
      <c r="Y291" s="781"/>
      <c r="Z291" s="781"/>
      <c r="AA291" s="781"/>
      <c r="AB291" s="781"/>
      <c r="AC291" s="781"/>
      <c r="AD291" s="781"/>
      <c r="AE291" s="781"/>
      <c r="AF291" s="781"/>
      <c r="AG291" s="781"/>
      <c r="AH291" s="781"/>
      <c r="AI291" s="781"/>
      <c r="AJ291" s="781"/>
      <c r="AK291" s="781"/>
      <c r="AL291" s="781"/>
      <c r="AM291" s="781"/>
      <c r="AN291" s="781"/>
      <c r="AO291" s="781"/>
      <c r="AP291" s="781"/>
      <c r="AQ291" s="781"/>
      <c r="AR291" s="781"/>
      <c r="AS291" s="781"/>
      <c r="AT291" s="781"/>
      <c r="AU291" s="781"/>
    </row>
    <row r="292" ht="15.75" customHeight="1">
      <c r="A292" s="786">
        <v>44280.0</v>
      </c>
      <c r="B292" s="787" t="s">
        <v>2741</v>
      </c>
      <c r="C292" s="788" t="s">
        <v>2547</v>
      </c>
      <c r="D292" s="772" t="s">
        <v>6346</v>
      </c>
      <c r="E292" s="784">
        <v>153417.37</v>
      </c>
      <c r="F292" s="772" t="s">
        <v>2740</v>
      </c>
      <c r="G292" s="782" t="s">
        <v>18</v>
      </c>
      <c r="H292" s="782" t="s">
        <v>176</v>
      </c>
      <c r="I292" s="782" t="s">
        <v>2634</v>
      </c>
      <c r="J292" s="782">
        <v>44273.0</v>
      </c>
      <c r="K292" s="785" t="s">
        <v>3828</v>
      </c>
      <c r="L292" s="781"/>
      <c r="M292" s="781"/>
      <c r="N292" s="781"/>
      <c r="O292" s="781"/>
      <c r="P292" s="781"/>
      <c r="Q292" s="781"/>
      <c r="R292" s="781"/>
      <c r="S292" s="781"/>
      <c r="T292" s="781"/>
      <c r="U292" s="781"/>
      <c r="V292" s="781"/>
      <c r="W292" s="781"/>
      <c r="X292" s="781"/>
      <c r="Y292" s="781"/>
      <c r="Z292" s="781"/>
      <c r="AA292" s="781"/>
      <c r="AB292" s="781"/>
      <c r="AC292" s="781"/>
      <c r="AD292" s="781"/>
      <c r="AE292" s="781"/>
      <c r="AF292" s="781"/>
      <c r="AG292" s="781"/>
      <c r="AH292" s="781"/>
      <c r="AI292" s="781"/>
      <c r="AJ292" s="781"/>
      <c r="AK292" s="781"/>
      <c r="AL292" s="781"/>
      <c r="AM292" s="781"/>
      <c r="AN292" s="781"/>
      <c r="AO292" s="781"/>
      <c r="AP292" s="781"/>
      <c r="AQ292" s="781"/>
      <c r="AR292" s="781"/>
      <c r="AS292" s="781"/>
      <c r="AT292" s="781"/>
      <c r="AU292" s="781"/>
    </row>
    <row r="293" ht="15.75" customHeight="1">
      <c r="A293" s="786">
        <v>44280.0</v>
      </c>
      <c r="B293" s="787" t="s">
        <v>3041</v>
      </c>
      <c r="C293" s="788" t="s">
        <v>2547</v>
      </c>
      <c r="D293" s="772" t="s">
        <v>6346</v>
      </c>
      <c r="E293" s="784">
        <v>15000.0</v>
      </c>
      <c r="F293" s="772" t="s">
        <v>3040</v>
      </c>
      <c r="G293" s="782" t="s">
        <v>2550</v>
      </c>
      <c r="H293" s="782" t="s">
        <v>29</v>
      </c>
      <c r="I293" s="782" t="s">
        <v>2551</v>
      </c>
      <c r="J293" s="782">
        <v>43605.0</v>
      </c>
      <c r="K293" s="785" t="s">
        <v>3836</v>
      </c>
      <c r="L293" s="781"/>
      <c r="M293" s="781"/>
      <c r="N293" s="781"/>
      <c r="O293" s="781"/>
      <c r="P293" s="781"/>
      <c r="Q293" s="781"/>
      <c r="R293" s="781"/>
      <c r="S293" s="781"/>
      <c r="T293" s="781"/>
      <c r="U293" s="781"/>
      <c r="V293" s="781"/>
      <c r="W293" s="781"/>
      <c r="X293" s="781"/>
      <c r="Y293" s="781"/>
      <c r="Z293" s="781"/>
      <c r="AA293" s="781"/>
      <c r="AB293" s="781"/>
      <c r="AC293" s="781"/>
      <c r="AD293" s="781"/>
      <c r="AE293" s="781"/>
      <c r="AF293" s="781"/>
      <c r="AG293" s="781"/>
      <c r="AH293" s="781"/>
      <c r="AI293" s="781"/>
      <c r="AJ293" s="781"/>
      <c r="AK293" s="781"/>
      <c r="AL293" s="781"/>
      <c r="AM293" s="781"/>
      <c r="AN293" s="781"/>
      <c r="AO293" s="781"/>
      <c r="AP293" s="781"/>
      <c r="AQ293" s="781"/>
      <c r="AR293" s="781"/>
      <c r="AS293" s="781"/>
      <c r="AT293" s="781"/>
      <c r="AU293" s="781"/>
    </row>
    <row r="294" ht="15.75" customHeight="1">
      <c r="A294" s="786">
        <v>44280.0</v>
      </c>
      <c r="B294" s="787" t="s">
        <v>2982</v>
      </c>
      <c r="C294" s="788" t="s">
        <v>2547</v>
      </c>
      <c r="D294" s="772" t="s">
        <v>6346</v>
      </c>
      <c r="E294" s="784">
        <v>20000.0</v>
      </c>
      <c r="F294" s="772" t="s">
        <v>2981</v>
      </c>
      <c r="G294" s="782" t="s">
        <v>2550</v>
      </c>
      <c r="H294" s="782" t="s">
        <v>29</v>
      </c>
      <c r="I294" s="782" t="s">
        <v>2551</v>
      </c>
      <c r="J294" s="782">
        <v>43703.0</v>
      </c>
      <c r="K294" s="785" t="s">
        <v>4206</v>
      </c>
      <c r="L294" s="781"/>
      <c r="M294" s="781"/>
      <c r="N294" s="781"/>
      <c r="O294" s="781"/>
      <c r="P294" s="781"/>
      <c r="Q294" s="781"/>
      <c r="R294" s="781"/>
      <c r="S294" s="781"/>
      <c r="T294" s="781"/>
      <c r="U294" s="781"/>
      <c r="V294" s="781"/>
      <c r="W294" s="781"/>
      <c r="X294" s="781"/>
      <c r="Y294" s="781"/>
      <c r="Z294" s="781"/>
      <c r="AA294" s="781"/>
      <c r="AB294" s="781"/>
      <c r="AC294" s="781"/>
      <c r="AD294" s="781"/>
      <c r="AE294" s="781"/>
      <c r="AF294" s="781"/>
      <c r="AG294" s="781"/>
      <c r="AH294" s="781"/>
      <c r="AI294" s="781"/>
      <c r="AJ294" s="781"/>
      <c r="AK294" s="781"/>
      <c r="AL294" s="781"/>
      <c r="AM294" s="781"/>
      <c r="AN294" s="781"/>
      <c r="AO294" s="781"/>
      <c r="AP294" s="781"/>
      <c r="AQ294" s="781"/>
      <c r="AR294" s="781"/>
      <c r="AS294" s="781"/>
      <c r="AT294" s="781"/>
      <c r="AU294" s="781"/>
    </row>
    <row r="295" ht="15.75" customHeight="1">
      <c r="A295" s="782">
        <v>44281.0</v>
      </c>
      <c r="B295" s="783" t="s">
        <v>6382</v>
      </c>
      <c r="C295" s="772" t="s">
        <v>3820</v>
      </c>
      <c r="D295" s="772" t="s">
        <v>6345</v>
      </c>
      <c r="E295" s="784">
        <v>0.0</v>
      </c>
      <c r="F295" s="772" t="s">
        <v>4343</v>
      </c>
      <c r="G295" s="772" t="s">
        <v>105</v>
      </c>
      <c r="H295" s="772" t="s">
        <v>29</v>
      </c>
      <c r="I295" s="772" t="s">
        <v>3660</v>
      </c>
      <c r="J295" s="782">
        <v>44126.0</v>
      </c>
      <c r="K295" s="789" t="s">
        <v>3828</v>
      </c>
      <c r="L295" s="781"/>
      <c r="M295" s="781"/>
      <c r="N295" s="781"/>
      <c r="O295" s="781"/>
      <c r="P295" s="781"/>
      <c r="Q295" s="781"/>
      <c r="R295" s="781"/>
      <c r="S295" s="781"/>
      <c r="T295" s="781"/>
      <c r="U295" s="781"/>
      <c r="V295" s="781"/>
      <c r="W295" s="781"/>
      <c r="X295" s="781"/>
      <c r="Y295" s="781"/>
      <c r="Z295" s="781"/>
      <c r="AA295" s="781"/>
      <c r="AB295" s="781"/>
      <c r="AC295" s="781"/>
      <c r="AD295" s="781"/>
      <c r="AE295" s="781"/>
      <c r="AF295" s="781"/>
      <c r="AG295" s="781"/>
      <c r="AH295" s="781"/>
      <c r="AI295" s="781"/>
      <c r="AJ295" s="781"/>
      <c r="AK295" s="781"/>
      <c r="AL295" s="781"/>
      <c r="AM295" s="781"/>
      <c r="AN295" s="781"/>
      <c r="AO295" s="781"/>
      <c r="AP295" s="781"/>
      <c r="AQ295" s="781"/>
      <c r="AR295" s="781"/>
      <c r="AS295" s="781"/>
      <c r="AT295" s="781"/>
      <c r="AU295" s="781"/>
    </row>
    <row r="296" ht="15.75" customHeight="1">
      <c r="A296" s="782">
        <v>44281.0</v>
      </c>
      <c r="B296" s="783" t="s">
        <v>3292</v>
      </c>
      <c r="C296" s="772" t="s">
        <v>2547</v>
      </c>
      <c r="D296" s="772" t="s">
        <v>6345</v>
      </c>
      <c r="E296" s="784"/>
      <c r="F296" s="772" t="s">
        <v>3291</v>
      </c>
      <c r="G296" s="782" t="s">
        <v>18</v>
      </c>
      <c r="H296" s="782" t="s">
        <v>176</v>
      </c>
      <c r="I296" s="782" t="s">
        <v>2634</v>
      </c>
      <c r="J296" s="782">
        <v>44280.0</v>
      </c>
      <c r="K296" s="785" t="s">
        <v>3836</v>
      </c>
      <c r="L296" s="781"/>
      <c r="M296" s="781"/>
      <c r="N296" s="781"/>
      <c r="O296" s="781"/>
      <c r="P296" s="781"/>
      <c r="Q296" s="781"/>
      <c r="R296" s="781"/>
      <c r="S296" s="781"/>
      <c r="T296" s="781"/>
      <c r="U296" s="781"/>
      <c r="V296" s="781"/>
      <c r="W296" s="781"/>
      <c r="X296" s="781"/>
      <c r="Y296" s="781"/>
      <c r="Z296" s="781"/>
      <c r="AA296" s="781"/>
      <c r="AB296" s="781"/>
      <c r="AC296" s="781"/>
      <c r="AD296" s="781"/>
      <c r="AE296" s="781"/>
      <c r="AF296" s="781"/>
      <c r="AG296" s="781"/>
      <c r="AH296" s="781"/>
      <c r="AI296" s="781"/>
      <c r="AJ296" s="781"/>
      <c r="AK296" s="781"/>
      <c r="AL296" s="781"/>
      <c r="AM296" s="781"/>
      <c r="AN296" s="781"/>
      <c r="AO296" s="781"/>
      <c r="AP296" s="781"/>
      <c r="AQ296" s="781"/>
      <c r="AR296" s="781"/>
      <c r="AS296" s="781"/>
      <c r="AT296" s="781"/>
      <c r="AU296" s="781"/>
    </row>
    <row r="297" ht="15.75" customHeight="1">
      <c r="A297" s="786">
        <v>44285.0</v>
      </c>
      <c r="B297" s="787" t="s">
        <v>3434</v>
      </c>
      <c r="C297" s="788" t="s">
        <v>2547</v>
      </c>
      <c r="D297" s="772" t="s">
        <v>1481</v>
      </c>
      <c r="E297" s="784">
        <v>200000.0</v>
      </c>
      <c r="F297" s="772" t="s">
        <v>3433</v>
      </c>
      <c r="G297" s="782" t="s">
        <v>2550</v>
      </c>
      <c r="H297" s="782" t="s">
        <v>29</v>
      </c>
      <c r="I297" s="782" t="s">
        <v>2562</v>
      </c>
      <c r="J297" s="782">
        <v>43861.0</v>
      </c>
      <c r="K297" s="785" t="s">
        <v>3836</v>
      </c>
      <c r="L297" s="781"/>
      <c r="M297" s="781"/>
      <c r="N297" s="781"/>
      <c r="O297" s="781"/>
      <c r="P297" s="781"/>
      <c r="Q297" s="781"/>
      <c r="R297" s="781"/>
      <c r="S297" s="781"/>
      <c r="T297" s="781"/>
      <c r="U297" s="781"/>
      <c r="V297" s="781"/>
      <c r="W297" s="781"/>
      <c r="X297" s="781"/>
      <c r="Y297" s="781"/>
      <c r="Z297" s="781"/>
      <c r="AA297" s="781"/>
      <c r="AB297" s="781"/>
      <c r="AC297" s="781"/>
      <c r="AD297" s="781"/>
      <c r="AE297" s="781"/>
      <c r="AF297" s="781"/>
      <c r="AG297" s="781"/>
      <c r="AH297" s="781"/>
      <c r="AI297" s="781"/>
      <c r="AJ297" s="781"/>
      <c r="AK297" s="781"/>
      <c r="AL297" s="781"/>
      <c r="AM297" s="781"/>
      <c r="AN297" s="781"/>
      <c r="AO297" s="781"/>
      <c r="AP297" s="781"/>
      <c r="AQ297" s="781"/>
      <c r="AR297" s="781"/>
      <c r="AS297" s="781"/>
      <c r="AT297" s="781"/>
      <c r="AU297" s="781"/>
    </row>
    <row r="298" ht="15.75" customHeight="1">
      <c r="A298" s="786">
        <v>44286.0</v>
      </c>
      <c r="B298" s="787" t="s">
        <v>6383</v>
      </c>
      <c r="C298" s="788" t="s">
        <v>3820</v>
      </c>
      <c r="D298" s="772" t="s">
        <v>6346</v>
      </c>
      <c r="E298" s="784">
        <v>328583.39</v>
      </c>
      <c r="F298" s="772" t="s">
        <v>5398</v>
      </c>
      <c r="G298" s="772" t="s">
        <v>105</v>
      </c>
      <c r="H298" s="772" t="s">
        <v>29</v>
      </c>
      <c r="I298" s="772" t="s">
        <v>4087</v>
      </c>
      <c r="J298" s="805">
        <v>44134.0</v>
      </c>
      <c r="K298" s="789" t="s">
        <v>3824</v>
      </c>
      <c r="L298" s="781"/>
      <c r="M298" s="781"/>
      <c r="N298" s="781"/>
      <c r="O298" s="781"/>
      <c r="P298" s="781"/>
      <c r="Q298" s="781"/>
      <c r="R298" s="781"/>
      <c r="S298" s="781"/>
      <c r="T298" s="781"/>
      <c r="U298" s="781"/>
      <c r="V298" s="781"/>
      <c r="W298" s="781"/>
      <c r="X298" s="781"/>
      <c r="Y298" s="781"/>
      <c r="Z298" s="781"/>
      <c r="AA298" s="781"/>
      <c r="AB298" s="781"/>
      <c r="AC298" s="781"/>
      <c r="AD298" s="781"/>
      <c r="AE298" s="781"/>
      <c r="AF298" s="781"/>
      <c r="AG298" s="781"/>
      <c r="AH298" s="781"/>
      <c r="AI298" s="781"/>
      <c r="AJ298" s="781"/>
      <c r="AK298" s="781"/>
      <c r="AL298" s="781"/>
      <c r="AM298" s="781"/>
      <c r="AN298" s="781"/>
      <c r="AO298" s="781"/>
      <c r="AP298" s="781"/>
      <c r="AQ298" s="781"/>
      <c r="AR298" s="781"/>
      <c r="AS298" s="781"/>
      <c r="AT298" s="781"/>
      <c r="AU298" s="781"/>
    </row>
    <row r="299" ht="15.75" customHeight="1">
      <c r="A299" s="782">
        <v>44287.0</v>
      </c>
      <c r="B299" s="783" t="s">
        <v>3340</v>
      </c>
      <c r="C299" s="772" t="s">
        <v>2547</v>
      </c>
      <c r="D299" s="772" t="s">
        <v>6345</v>
      </c>
      <c r="E299" s="784">
        <v>222801.29</v>
      </c>
      <c r="F299" s="772" t="s">
        <v>3339</v>
      </c>
      <c r="G299" s="782" t="s">
        <v>2550</v>
      </c>
      <c r="H299" s="782" t="s">
        <v>29</v>
      </c>
      <c r="I299" s="782" t="s">
        <v>2562</v>
      </c>
      <c r="J299" s="782">
        <v>43531.0</v>
      </c>
      <c r="K299" s="785" t="s">
        <v>4206</v>
      </c>
      <c r="L299" s="781"/>
      <c r="M299" s="781"/>
      <c r="N299" s="781"/>
      <c r="O299" s="781"/>
      <c r="P299" s="781"/>
      <c r="Q299" s="781"/>
      <c r="R299" s="781"/>
      <c r="S299" s="781"/>
      <c r="T299" s="781"/>
      <c r="U299" s="781"/>
      <c r="V299" s="781"/>
      <c r="W299" s="781"/>
      <c r="X299" s="781"/>
      <c r="Y299" s="781"/>
      <c r="Z299" s="781"/>
      <c r="AA299" s="781"/>
      <c r="AB299" s="781"/>
      <c r="AC299" s="781"/>
      <c r="AD299" s="781"/>
      <c r="AE299" s="781"/>
      <c r="AF299" s="781"/>
      <c r="AG299" s="781"/>
      <c r="AH299" s="781"/>
      <c r="AI299" s="781"/>
      <c r="AJ299" s="781"/>
      <c r="AK299" s="781"/>
      <c r="AL299" s="781"/>
      <c r="AM299" s="781"/>
      <c r="AN299" s="781"/>
      <c r="AO299" s="781"/>
      <c r="AP299" s="781"/>
      <c r="AQ299" s="781"/>
      <c r="AR299" s="781"/>
      <c r="AS299" s="781"/>
      <c r="AT299" s="781"/>
      <c r="AU299" s="781"/>
    </row>
    <row r="300" ht="15.75" customHeight="1">
      <c r="A300" s="782">
        <v>44287.0</v>
      </c>
      <c r="B300" s="783" t="s">
        <v>3342</v>
      </c>
      <c r="C300" s="772" t="s">
        <v>2547</v>
      </c>
      <c r="D300" s="772" t="s">
        <v>6345</v>
      </c>
      <c r="E300" s="784"/>
      <c r="F300" s="772" t="s">
        <v>3339</v>
      </c>
      <c r="G300" s="782" t="s">
        <v>2550</v>
      </c>
      <c r="H300" s="782" t="s">
        <v>29</v>
      </c>
      <c r="I300" s="782" t="s">
        <v>2562</v>
      </c>
      <c r="J300" s="782">
        <v>43566.0</v>
      </c>
      <c r="K300" s="785" t="s">
        <v>3836</v>
      </c>
      <c r="L300" s="781"/>
      <c r="M300" s="781"/>
      <c r="N300" s="781"/>
      <c r="O300" s="781"/>
      <c r="P300" s="781"/>
      <c r="Q300" s="781"/>
      <c r="R300" s="781"/>
      <c r="S300" s="781"/>
      <c r="T300" s="781"/>
      <c r="U300" s="781"/>
      <c r="V300" s="781"/>
      <c r="W300" s="781"/>
      <c r="X300" s="781"/>
      <c r="Y300" s="781"/>
      <c r="Z300" s="781"/>
      <c r="AA300" s="781"/>
      <c r="AB300" s="781"/>
      <c r="AC300" s="781"/>
      <c r="AD300" s="781"/>
      <c r="AE300" s="781"/>
      <c r="AF300" s="781"/>
      <c r="AG300" s="781"/>
      <c r="AH300" s="781"/>
      <c r="AI300" s="781"/>
      <c r="AJ300" s="781"/>
      <c r="AK300" s="781"/>
      <c r="AL300" s="781"/>
      <c r="AM300" s="781"/>
      <c r="AN300" s="781"/>
      <c r="AO300" s="781"/>
      <c r="AP300" s="781"/>
      <c r="AQ300" s="781"/>
      <c r="AR300" s="781"/>
      <c r="AS300" s="781"/>
      <c r="AT300" s="781"/>
      <c r="AU300" s="781"/>
    </row>
    <row r="301" ht="15.75" customHeight="1">
      <c r="A301" s="786">
        <v>44287.0</v>
      </c>
      <c r="B301" s="787" t="s">
        <v>6384</v>
      </c>
      <c r="C301" s="788" t="s">
        <v>3820</v>
      </c>
      <c r="D301" s="772" t="s">
        <v>6346</v>
      </c>
      <c r="E301" s="784">
        <v>95592.52</v>
      </c>
      <c r="F301" s="772" t="s">
        <v>5098</v>
      </c>
      <c r="G301" s="772" t="s">
        <v>105</v>
      </c>
      <c r="H301" s="772" t="s">
        <v>29</v>
      </c>
      <c r="I301" s="772" t="s">
        <v>6377</v>
      </c>
      <c r="J301" s="805">
        <v>44180.0</v>
      </c>
      <c r="K301" s="789" t="s">
        <v>3828</v>
      </c>
      <c r="L301" s="781"/>
      <c r="M301" s="781"/>
      <c r="N301" s="781"/>
      <c r="O301" s="781"/>
      <c r="P301" s="781"/>
      <c r="Q301" s="781"/>
      <c r="R301" s="781"/>
      <c r="S301" s="781"/>
      <c r="T301" s="781"/>
      <c r="U301" s="781"/>
      <c r="V301" s="781"/>
      <c r="W301" s="781"/>
      <c r="X301" s="781"/>
      <c r="Y301" s="781"/>
      <c r="Z301" s="781"/>
      <c r="AA301" s="781"/>
      <c r="AB301" s="781"/>
      <c r="AC301" s="781"/>
      <c r="AD301" s="781"/>
      <c r="AE301" s="781"/>
      <c r="AF301" s="781"/>
      <c r="AG301" s="781"/>
      <c r="AH301" s="781"/>
      <c r="AI301" s="781"/>
      <c r="AJ301" s="781"/>
      <c r="AK301" s="781"/>
      <c r="AL301" s="781"/>
      <c r="AM301" s="781"/>
      <c r="AN301" s="781"/>
      <c r="AO301" s="781"/>
      <c r="AP301" s="781"/>
      <c r="AQ301" s="781"/>
      <c r="AR301" s="781"/>
      <c r="AS301" s="781"/>
      <c r="AT301" s="781"/>
      <c r="AU301" s="781"/>
    </row>
    <row r="302" ht="15.75" customHeight="1">
      <c r="A302" s="782">
        <v>44291.0</v>
      </c>
      <c r="B302" s="783" t="s">
        <v>6385</v>
      </c>
      <c r="C302" s="772" t="s">
        <v>3820</v>
      </c>
      <c r="D302" s="772" t="s">
        <v>6345</v>
      </c>
      <c r="E302" s="784">
        <v>0.0</v>
      </c>
      <c r="F302" s="772" t="s">
        <v>5332</v>
      </c>
      <c r="G302" s="772" t="s">
        <v>105</v>
      </c>
      <c r="H302" s="772" t="s">
        <v>29</v>
      </c>
      <c r="I302" s="772" t="s">
        <v>3878</v>
      </c>
      <c r="J302" s="782">
        <v>44215.0</v>
      </c>
      <c r="K302" s="789" t="s">
        <v>3824</v>
      </c>
      <c r="L302" s="781"/>
      <c r="M302" s="781"/>
      <c r="N302" s="781"/>
      <c r="O302" s="781"/>
      <c r="P302" s="781"/>
      <c r="Q302" s="781"/>
      <c r="R302" s="781"/>
      <c r="S302" s="781"/>
      <c r="T302" s="781"/>
      <c r="U302" s="781"/>
      <c r="V302" s="781"/>
      <c r="W302" s="781"/>
      <c r="X302" s="781"/>
      <c r="Y302" s="781"/>
      <c r="Z302" s="781"/>
      <c r="AA302" s="781"/>
      <c r="AB302" s="781"/>
      <c r="AC302" s="781"/>
      <c r="AD302" s="781"/>
      <c r="AE302" s="781"/>
      <c r="AF302" s="781"/>
      <c r="AG302" s="781"/>
      <c r="AH302" s="781"/>
      <c r="AI302" s="781"/>
      <c r="AJ302" s="781"/>
      <c r="AK302" s="781"/>
      <c r="AL302" s="781"/>
      <c r="AM302" s="781"/>
      <c r="AN302" s="781"/>
      <c r="AO302" s="781"/>
      <c r="AP302" s="781"/>
      <c r="AQ302" s="781"/>
      <c r="AR302" s="781"/>
      <c r="AS302" s="781"/>
      <c r="AT302" s="781"/>
      <c r="AU302" s="781"/>
    </row>
    <row r="303" ht="15.75" customHeight="1">
      <c r="A303" s="786">
        <v>44291.0</v>
      </c>
      <c r="B303" s="787" t="s">
        <v>3056</v>
      </c>
      <c r="C303" s="788" t="s">
        <v>2547</v>
      </c>
      <c r="D303" s="772" t="s">
        <v>6346</v>
      </c>
      <c r="E303" s="784">
        <v>3500.0</v>
      </c>
      <c r="F303" s="772" t="s">
        <v>3055</v>
      </c>
      <c r="G303" s="782" t="s">
        <v>2550</v>
      </c>
      <c r="H303" s="782" t="s">
        <v>29</v>
      </c>
      <c r="I303" s="782" t="s">
        <v>2562</v>
      </c>
      <c r="J303" s="782">
        <v>43559.0</v>
      </c>
      <c r="K303" s="785" t="s">
        <v>4206</v>
      </c>
      <c r="L303" s="781"/>
      <c r="M303" s="781"/>
      <c r="N303" s="781"/>
      <c r="O303" s="781"/>
      <c r="P303" s="781"/>
      <c r="Q303" s="781"/>
      <c r="R303" s="781"/>
      <c r="S303" s="781"/>
      <c r="T303" s="781"/>
      <c r="U303" s="781"/>
      <c r="V303" s="781"/>
      <c r="W303" s="781"/>
      <c r="X303" s="781"/>
      <c r="Y303" s="781"/>
      <c r="Z303" s="781"/>
      <c r="AA303" s="781"/>
      <c r="AB303" s="781"/>
      <c r="AC303" s="781"/>
      <c r="AD303" s="781"/>
      <c r="AE303" s="781"/>
      <c r="AF303" s="781"/>
      <c r="AG303" s="781"/>
      <c r="AH303" s="781"/>
      <c r="AI303" s="781"/>
      <c r="AJ303" s="781"/>
      <c r="AK303" s="781"/>
      <c r="AL303" s="781"/>
      <c r="AM303" s="781"/>
      <c r="AN303" s="781"/>
      <c r="AO303" s="781"/>
      <c r="AP303" s="781"/>
      <c r="AQ303" s="781"/>
      <c r="AR303" s="781"/>
      <c r="AS303" s="781"/>
      <c r="AT303" s="781"/>
      <c r="AU303" s="781"/>
    </row>
    <row r="304" ht="15.75" customHeight="1">
      <c r="A304" s="786">
        <v>44291.0</v>
      </c>
      <c r="B304" s="787" t="s">
        <v>6385</v>
      </c>
      <c r="C304" s="788" t="s">
        <v>3820</v>
      </c>
      <c r="D304" s="772" t="s">
        <v>1481</v>
      </c>
      <c r="E304" s="784">
        <v>6000.0</v>
      </c>
      <c r="F304" s="772" t="s">
        <v>5332</v>
      </c>
      <c r="G304" s="772" t="s">
        <v>105</v>
      </c>
      <c r="H304" s="772" t="s">
        <v>29</v>
      </c>
      <c r="I304" s="772" t="s">
        <v>3878</v>
      </c>
      <c r="J304" s="782">
        <v>44215.0</v>
      </c>
      <c r="K304" s="789" t="s">
        <v>3824</v>
      </c>
      <c r="L304" s="781"/>
      <c r="M304" s="781"/>
      <c r="N304" s="781"/>
      <c r="O304" s="781"/>
      <c r="P304" s="781"/>
      <c r="Q304" s="781"/>
      <c r="R304" s="781"/>
      <c r="S304" s="781"/>
      <c r="T304" s="781"/>
      <c r="U304" s="781"/>
      <c r="V304" s="781"/>
      <c r="W304" s="781"/>
      <c r="X304" s="781"/>
      <c r="Y304" s="781"/>
      <c r="Z304" s="781"/>
      <c r="AA304" s="781"/>
      <c r="AB304" s="781"/>
      <c r="AC304" s="781"/>
      <c r="AD304" s="781"/>
      <c r="AE304" s="781"/>
      <c r="AF304" s="781"/>
      <c r="AG304" s="781"/>
      <c r="AH304" s="781"/>
      <c r="AI304" s="781"/>
      <c r="AJ304" s="781"/>
      <c r="AK304" s="781"/>
      <c r="AL304" s="781"/>
      <c r="AM304" s="781"/>
      <c r="AN304" s="781"/>
      <c r="AO304" s="781"/>
      <c r="AP304" s="781"/>
      <c r="AQ304" s="781"/>
      <c r="AR304" s="781"/>
      <c r="AS304" s="781"/>
      <c r="AT304" s="781"/>
      <c r="AU304" s="781"/>
    </row>
    <row r="305" ht="15.75" customHeight="1">
      <c r="A305" s="786">
        <v>44292.0</v>
      </c>
      <c r="B305" s="787" t="s">
        <v>2982</v>
      </c>
      <c r="C305" s="788" t="s">
        <v>2547</v>
      </c>
      <c r="D305" s="772" t="s">
        <v>6346</v>
      </c>
      <c r="E305" s="784">
        <v>50000.0</v>
      </c>
      <c r="F305" s="772" t="s">
        <v>2981</v>
      </c>
      <c r="G305" s="782" t="s">
        <v>2550</v>
      </c>
      <c r="H305" s="782" t="s">
        <v>29</v>
      </c>
      <c r="I305" s="782" t="s">
        <v>2551</v>
      </c>
      <c r="J305" s="782">
        <v>43703.0</v>
      </c>
      <c r="K305" s="785" t="s">
        <v>4206</v>
      </c>
      <c r="L305" s="781"/>
      <c r="M305" s="781"/>
      <c r="N305" s="781"/>
      <c r="O305" s="781"/>
      <c r="P305" s="781"/>
      <c r="Q305" s="781"/>
      <c r="R305" s="781"/>
      <c r="S305" s="781"/>
      <c r="T305" s="781"/>
      <c r="U305" s="781"/>
      <c r="V305" s="781"/>
      <c r="W305" s="781"/>
      <c r="X305" s="781"/>
      <c r="Y305" s="781"/>
      <c r="Z305" s="781"/>
      <c r="AA305" s="781"/>
      <c r="AB305" s="781"/>
      <c r="AC305" s="781"/>
      <c r="AD305" s="781"/>
      <c r="AE305" s="781"/>
      <c r="AF305" s="781"/>
      <c r="AG305" s="781"/>
      <c r="AH305" s="781"/>
      <c r="AI305" s="781"/>
      <c r="AJ305" s="781"/>
      <c r="AK305" s="781"/>
      <c r="AL305" s="781"/>
      <c r="AM305" s="781"/>
      <c r="AN305" s="781"/>
      <c r="AO305" s="781"/>
      <c r="AP305" s="781"/>
      <c r="AQ305" s="781"/>
      <c r="AR305" s="781"/>
      <c r="AS305" s="781"/>
      <c r="AT305" s="781"/>
      <c r="AU305" s="781"/>
    </row>
    <row r="306" ht="15.75" customHeight="1">
      <c r="A306" s="786">
        <v>44293.0</v>
      </c>
      <c r="B306" s="787" t="s">
        <v>6386</v>
      </c>
      <c r="C306" s="788" t="s">
        <v>3820</v>
      </c>
      <c r="D306" s="772" t="s">
        <v>6346</v>
      </c>
      <c r="E306" s="784">
        <v>200000.0</v>
      </c>
      <c r="F306" s="772" t="s">
        <v>5341</v>
      </c>
      <c r="G306" s="772" t="s">
        <v>105</v>
      </c>
      <c r="H306" s="772" t="s">
        <v>29</v>
      </c>
      <c r="I306" s="761" t="s">
        <v>4075</v>
      </c>
      <c r="J306" s="782">
        <v>44203.0</v>
      </c>
      <c r="K306" s="789" t="s">
        <v>3828</v>
      </c>
      <c r="L306" s="781"/>
      <c r="M306" s="781"/>
      <c r="N306" s="781"/>
      <c r="O306" s="781"/>
      <c r="P306" s="781"/>
      <c r="Q306" s="781"/>
      <c r="R306" s="781"/>
      <c r="S306" s="781"/>
      <c r="T306" s="781"/>
      <c r="U306" s="781"/>
      <c r="V306" s="781"/>
      <c r="W306" s="781"/>
      <c r="X306" s="781"/>
      <c r="Y306" s="781"/>
      <c r="Z306" s="781"/>
      <c r="AA306" s="781"/>
      <c r="AB306" s="781"/>
      <c r="AC306" s="781"/>
      <c r="AD306" s="781"/>
      <c r="AE306" s="781"/>
      <c r="AF306" s="781"/>
      <c r="AG306" s="781"/>
      <c r="AH306" s="781"/>
      <c r="AI306" s="781"/>
      <c r="AJ306" s="781"/>
      <c r="AK306" s="781"/>
      <c r="AL306" s="781"/>
      <c r="AM306" s="781"/>
      <c r="AN306" s="781"/>
      <c r="AO306" s="781"/>
      <c r="AP306" s="781"/>
      <c r="AQ306" s="781"/>
      <c r="AR306" s="781"/>
      <c r="AS306" s="781"/>
      <c r="AT306" s="781"/>
      <c r="AU306" s="781"/>
    </row>
    <row r="307" ht="15.75" customHeight="1">
      <c r="A307" s="786">
        <v>44293.0</v>
      </c>
      <c r="B307" s="787" t="s">
        <v>6387</v>
      </c>
      <c r="C307" s="788" t="s">
        <v>3820</v>
      </c>
      <c r="D307" s="772" t="s">
        <v>6346</v>
      </c>
      <c r="E307" s="784">
        <v>7000.0</v>
      </c>
      <c r="F307" s="772" t="s">
        <v>1212</v>
      </c>
      <c r="G307" s="772" t="s">
        <v>18</v>
      </c>
      <c r="H307" s="772" t="s">
        <v>29</v>
      </c>
      <c r="I307" s="772" t="s">
        <v>168</v>
      </c>
      <c r="J307" s="782">
        <v>44218.0</v>
      </c>
      <c r="K307" s="789" t="s">
        <v>3828</v>
      </c>
      <c r="L307" s="781"/>
      <c r="M307" s="781"/>
      <c r="N307" s="781"/>
      <c r="O307" s="781"/>
      <c r="P307" s="781"/>
      <c r="Q307" s="781"/>
      <c r="R307" s="781"/>
      <c r="S307" s="781"/>
      <c r="T307" s="781"/>
      <c r="U307" s="781"/>
      <c r="V307" s="781"/>
      <c r="W307" s="781"/>
      <c r="X307" s="781"/>
      <c r="Y307" s="781"/>
      <c r="Z307" s="781"/>
      <c r="AA307" s="781"/>
      <c r="AB307" s="781"/>
      <c r="AC307" s="781"/>
      <c r="AD307" s="781"/>
      <c r="AE307" s="781"/>
      <c r="AF307" s="781"/>
      <c r="AG307" s="781"/>
      <c r="AH307" s="781"/>
      <c r="AI307" s="781"/>
      <c r="AJ307" s="781"/>
      <c r="AK307" s="781"/>
      <c r="AL307" s="781"/>
      <c r="AM307" s="781"/>
      <c r="AN307" s="781"/>
      <c r="AO307" s="781"/>
      <c r="AP307" s="781"/>
      <c r="AQ307" s="781"/>
      <c r="AR307" s="781"/>
      <c r="AS307" s="781"/>
      <c r="AT307" s="781"/>
      <c r="AU307" s="781"/>
    </row>
    <row r="308" ht="15.75" customHeight="1">
      <c r="A308" s="782">
        <v>44295.0</v>
      </c>
      <c r="B308" s="783" t="s">
        <v>6388</v>
      </c>
      <c r="C308" s="772" t="s">
        <v>3820</v>
      </c>
      <c r="D308" s="772" t="s">
        <v>6345</v>
      </c>
      <c r="E308" s="784">
        <v>0.0</v>
      </c>
      <c r="F308" s="772" t="s">
        <v>4062</v>
      </c>
      <c r="G308" s="772" t="s">
        <v>105</v>
      </c>
      <c r="H308" s="772" t="s">
        <v>29</v>
      </c>
      <c r="I308" s="772" t="s">
        <v>3660</v>
      </c>
      <c r="J308" s="782">
        <v>44165.0</v>
      </c>
      <c r="K308" s="789" t="s">
        <v>3828</v>
      </c>
      <c r="L308" s="781"/>
      <c r="M308" s="781"/>
      <c r="N308" s="781"/>
      <c r="O308" s="781"/>
      <c r="P308" s="781"/>
      <c r="Q308" s="781"/>
      <c r="R308" s="781"/>
      <c r="S308" s="781"/>
      <c r="T308" s="781"/>
      <c r="U308" s="781"/>
      <c r="V308" s="781"/>
      <c r="W308" s="781"/>
      <c r="X308" s="781"/>
      <c r="Y308" s="781"/>
      <c r="Z308" s="781"/>
      <c r="AA308" s="781"/>
      <c r="AB308" s="781"/>
      <c r="AC308" s="781"/>
      <c r="AD308" s="781"/>
      <c r="AE308" s="781"/>
      <c r="AF308" s="781"/>
      <c r="AG308" s="781"/>
      <c r="AH308" s="781"/>
      <c r="AI308" s="781"/>
      <c r="AJ308" s="781"/>
      <c r="AK308" s="781"/>
      <c r="AL308" s="781"/>
      <c r="AM308" s="781"/>
      <c r="AN308" s="781"/>
      <c r="AO308" s="781"/>
      <c r="AP308" s="781"/>
      <c r="AQ308" s="781"/>
      <c r="AR308" s="781"/>
      <c r="AS308" s="781"/>
      <c r="AT308" s="781"/>
      <c r="AU308" s="781"/>
    </row>
    <row r="309" ht="15.75" customHeight="1">
      <c r="A309" s="786">
        <v>44299.0</v>
      </c>
      <c r="B309" s="787" t="s">
        <v>6389</v>
      </c>
      <c r="C309" s="788" t="s">
        <v>3820</v>
      </c>
      <c r="D309" s="772" t="s">
        <v>1481</v>
      </c>
      <c r="E309" s="784">
        <v>299695.62</v>
      </c>
      <c r="F309" s="772" t="s">
        <v>4372</v>
      </c>
      <c r="G309" s="772" t="s">
        <v>105</v>
      </c>
      <c r="H309" s="772" t="s">
        <v>29</v>
      </c>
      <c r="I309" s="772" t="s">
        <v>4087</v>
      </c>
      <c r="J309" s="782">
        <v>44195.0</v>
      </c>
      <c r="K309" s="789" t="s">
        <v>3836</v>
      </c>
      <c r="L309" s="781"/>
      <c r="M309" s="781"/>
      <c r="N309" s="781"/>
      <c r="O309" s="781"/>
      <c r="P309" s="781"/>
      <c r="Q309" s="781"/>
      <c r="R309" s="781"/>
      <c r="S309" s="781"/>
      <c r="T309" s="781"/>
      <c r="U309" s="781"/>
      <c r="V309" s="781"/>
      <c r="W309" s="781"/>
      <c r="X309" s="781"/>
      <c r="Y309" s="781"/>
      <c r="Z309" s="781"/>
      <c r="AA309" s="781"/>
      <c r="AB309" s="781"/>
      <c r="AC309" s="781"/>
      <c r="AD309" s="781"/>
      <c r="AE309" s="781"/>
      <c r="AF309" s="781"/>
      <c r="AG309" s="781"/>
      <c r="AH309" s="781"/>
      <c r="AI309" s="781"/>
      <c r="AJ309" s="781"/>
      <c r="AK309" s="781"/>
      <c r="AL309" s="781"/>
      <c r="AM309" s="781"/>
      <c r="AN309" s="781"/>
      <c r="AO309" s="781"/>
      <c r="AP309" s="781"/>
      <c r="AQ309" s="781"/>
      <c r="AR309" s="781"/>
      <c r="AS309" s="781"/>
      <c r="AT309" s="781"/>
      <c r="AU309" s="781"/>
    </row>
    <row r="310" ht="15.75" customHeight="1">
      <c r="A310" s="786">
        <v>44299.0</v>
      </c>
      <c r="B310" s="787" t="s">
        <v>6347</v>
      </c>
      <c r="C310" s="788" t="s">
        <v>3820</v>
      </c>
      <c r="D310" s="772" t="s">
        <v>1481</v>
      </c>
      <c r="E310" s="784">
        <v>203869.45</v>
      </c>
      <c r="F310" s="772" t="s">
        <v>5059</v>
      </c>
      <c r="G310" s="772" t="s">
        <v>2550</v>
      </c>
      <c r="H310" s="772" t="s">
        <v>29</v>
      </c>
      <c r="I310" s="772" t="s">
        <v>2550</v>
      </c>
      <c r="J310" s="782">
        <v>43749.0</v>
      </c>
      <c r="K310" s="789" t="s">
        <v>4206</v>
      </c>
      <c r="L310" s="781"/>
      <c r="M310" s="781"/>
      <c r="N310" s="781"/>
      <c r="O310" s="781"/>
      <c r="P310" s="781"/>
      <c r="Q310" s="781"/>
      <c r="R310" s="781"/>
      <c r="S310" s="781"/>
      <c r="T310" s="781"/>
      <c r="U310" s="781"/>
      <c r="V310" s="781"/>
      <c r="W310" s="781"/>
      <c r="X310" s="781"/>
      <c r="Y310" s="781"/>
      <c r="Z310" s="781"/>
      <c r="AA310" s="781"/>
      <c r="AB310" s="781"/>
      <c r="AC310" s="781"/>
      <c r="AD310" s="781"/>
      <c r="AE310" s="781"/>
      <c r="AF310" s="781"/>
      <c r="AG310" s="781"/>
      <c r="AH310" s="781"/>
      <c r="AI310" s="781"/>
      <c r="AJ310" s="781"/>
      <c r="AK310" s="781"/>
      <c r="AL310" s="781"/>
      <c r="AM310" s="781"/>
      <c r="AN310" s="781"/>
      <c r="AO310" s="781"/>
      <c r="AP310" s="781"/>
      <c r="AQ310" s="781"/>
      <c r="AR310" s="781"/>
      <c r="AS310" s="781"/>
      <c r="AT310" s="781"/>
      <c r="AU310" s="781"/>
    </row>
    <row r="311" ht="15.75" customHeight="1">
      <c r="A311" s="786">
        <v>44302.0</v>
      </c>
      <c r="B311" s="787" t="s">
        <v>2982</v>
      </c>
      <c r="C311" s="788" t="s">
        <v>2547</v>
      </c>
      <c r="D311" s="772" t="s">
        <v>6346</v>
      </c>
      <c r="E311" s="784">
        <v>1000.0</v>
      </c>
      <c r="F311" s="772" t="s">
        <v>2981</v>
      </c>
      <c r="G311" s="782" t="s">
        <v>2550</v>
      </c>
      <c r="H311" s="782" t="s">
        <v>29</v>
      </c>
      <c r="I311" s="782" t="s">
        <v>2551</v>
      </c>
      <c r="J311" s="782">
        <v>43703.0</v>
      </c>
      <c r="K311" s="785" t="s">
        <v>4206</v>
      </c>
      <c r="L311" s="781"/>
      <c r="M311" s="781"/>
      <c r="N311" s="781"/>
      <c r="O311" s="781"/>
      <c r="P311" s="781"/>
      <c r="Q311" s="781"/>
      <c r="R311" s="781"/>
      <c r="S311" s="781"/>
      <c r="T311" s="781"/>
      <c r="U311" s="781"/>
      <c r="V311" s="781"/>
      <c r="W311" s="781"/>
      <c r="X311" s="781"/>
      <c r="Y311" s="781"/>
      <c r="Z311" s="781"/>
      <c r="AA311" s="781"/>
      <c r="AB311" s="781"/>
      <c r="AC311" s="781"/>
      <c r="AD311" s="781"/>
      <c r="AE311" s="781"/>
      <c r="AF311" s="781"/>
      <c r="AG311" s="781"/>
      <c r="AH311" s="781"/>
      <c r="AI311" s="781"/>
      <c r="AJ311" s="781"/>
      <c r="AK311" s="781"/>
      <c r="AL311" s="781"/>
      <c r="AM311" s="781"/>
      <c r="AN311" s="781"/>
      <c r="AO311" s="781"/>
      <c r="AP311" s="781"/>
      <c r="AQ311" s="781"/>
      <c r="AR311" s="781"/>
      <c r="AS311" s="781"/>
      <c r="AT311" s="781"/>
      <c r="AU311" s="781"/>
    </row>
    <row r="312" ht="15.75" customHeight="1">
      <c r="A312" s="786">
        <v>44302.0</v>
      </c>
      <c r="B312" s="787" t="s">
        <v>3516</v>
      </c>
      <c r="C312" s="788" t="s">
        <v>2547</v>
      </c>
      <c r="D312" s="772" t="s">
        <v>6346</v>
      </c>
      <c r="E312" s="784">
        <v>10000.0</v>
      </c>
      <c r="F312" s="772" t="s">
        <v>3515</v>
      </c>
      <c r="G312" s="782" t="s">
        <v>2550</v>
      </c>
      <c r="H312" s="782" t="s">
        <v>29</v>
      </c>
      <c r="I312" s="782" t="s">
        <v>2551</v>
      </c>
      <c r="J312" s="782">
        <v>43717.0</v>
      </c>
      <c r="K312" s="785" t="s">
        <v>4206</v>
      </c>
      <c r="L312" s="781"/>
      <c r="M312" s="781"/>
      <c r="N312" s="781"/>
      <c r="O312" s="781"/>
      <c r="P312" s="781"/>
      <c r="Q312" s="781"/>
      <c r="R312" s="781"/>
      <c r="S312" s="781"/>
      <c r="T312" s="781"/>
      <c r="U312" s="781"/>
      <c r="V312" s="781"/>
      <c r="W312" s="781"/>
      <c r="X312" s="781"/>
      <c r="Y312" s="781"/>
      <c r="Z312" s="781"/>
      <c r="AA312" s="781"/>
      <c r="AB312" s="781"/>
      <c r="AC312" s="781"/>
      <c r="AD312" s="781"/>
      <c r="AE312" s="781"/>
      <c r="AF312" s="781"/>
      <c r="AG312" s="781"/>
      <c r="AH312" s="781"/>
      <c r="AI312" s="781"/>
      <c r="AJ312" s="781"/>
      <c r="AK312" s="781"/>
      <c r="AL312" s="781"/>
      <c r="AM312" s="781"/>
      <c r="AN312" s="781"/>
      <c r="AO312" s="781"/>
      <c r="AP312" s="781"/>
      <c r="AQ312" s="781"/>
      <c r="AR312" s="781"/>
      <c r="AS312" s="781"/>
      <c r="AT312" s="781"/>
      <c r="AU312" s="781"/>
    </row>
    <row r="313" ht="15.75" customHeight="1">
      <c r="A313" s="782">
        <v>44305.0</v>
      </c>
      <c r="B313" s="783" t="s">
        <v>6347</v>
      </c>
      <c r="C313" s="772" t="s">
        <v>3820</v>
      </c>
      <c r="D313" s="772" t="s">
        <v>6345</v>
      </c>
      <c r="E313" s="784">
        <v>0.0</v>
      </c>
      <c r="F313" s="772" t="s">
        <v>5059</v>
      </c>
      <c r="G313" s="772" t="s">
        <v>2550</v>
      </c>
      <c r="H313" s="772" t="s">
        <v>29</v>
      </c>
      <c r="I313" s="772" t="s">
        <v>2550</v>
      </c>
      <c r="J313" s="782">
        <v>43749.0</v>
      </c>
      <c r="K313" s="789" t="s">
        <v>4206</v>
      </c>
      <c r="L313" s="781"/>
      <c r="M313" s="781"/>
      <c r="N313" s="781"/>
      <c r="O313" s="781"/>
      <c r="P313" s="781"/>
      <c r="Q313" s="781"/>
      <c r="R313" s="781"/>
      <c r="S313" s="781"/>
      <c r="T313" s="781"/>
      <c r="U313" s="781"/>
      <c r="V313" s="781"/>
      <c r="W313" s="781"/>
      <c r="X313" s="781"/>
      <c r="Y313" s="781"/>
      <c r="Z313" s="781"/>
      <c r="AA313" s="781"/>
      <c r="AB313" s="781"/>
      <c r="AC313" s="781"/>
      <c r="AD313" s="781"/>
      <c r="AE313" s="781"/>
      <c r="AF313" s="781"/>
      <c r="AG313" s="781"/>
      <c r="AH313" s="781"/>
      <c r="AI313" s="781"/>
      <c r="AJ313" s="781"/>
      <c r="AK313" s="781"/>
      <c r="AL313" s="781"/>
      <c r="AM313" s="781"/>
      <c r="AN313" s="781"/>
      <c r="AO313" s="781"/>
      <c r="AP313" s="781"/>
      <c r="AQ313" s="781"/>
      <c r="AR313" s="781"/>
      <c r="AS313" s="781"/>
      <c r="AT313" s="781"/>
      <c r="AU313" s="781"/>
    </row>
    <row r="314" ht="15.75" customHeight="1">
      <c r="A314" s="782">
        <v>44305.0</v>
      </c>
      <c r="B314" s="783" t="s">
        <v>6352</v>
      </c>
      <c r="C314" s="772" t="s">
        <v>3820</v>
      </c>
      <c r="D314" s="772" t="s">
        <v>6345</v>
      </c>
      <c r="E314" s="784">
        <v>0.0</v>
      </c>
      <c r="F314" s="772" t="s">
        <v>5122</v>
      </c>
      <c r="G314" s="772" t="s">
        <v>2550</v>
      </c>
      <c r="H314" s="772" t="s">
        <v>29</v>
      </c>
      <c r="I314" s="772" t="s">
        <v>2550</v>
      </c>
      <c r="J314" s="782">
        <v>44225.0</v>
      </c>
      <c r="K314" s="789" t="s">
        <v>3828</v>
      </c>
      <c r="L314" s="781"/>
      <c r="M314" s="781"/>
      <c r="N314" s="781"/>
      <c r="O314" s="781"/>
      <c r="P314" s="781"/>
      <c r="Q314" s="781"/>
      <c r="R314" s="781"/>
      <c r="S314" s="781"/>
      <c r="T314" s="781"/>
      <c r="U314" s="781"/>
      <c r="V314" s="781"/>
      <c r="W314" s="781"/>
      <c r="X314" s="781"/>
      <c r="Y314" s="781"/>
      <c r="Z314" s="781"/>
      <c r="AA314" s="781"/>
      <c r="AB314" s="781"/>
      <c r="AC314" s="781"/>
      <c r="AD314" s="781"/>
      <c r="AE314" s="781"/>
      <c r="AF314" s="781"/>
      <c r="AG314" s="781"/>
      <c r="AH314" s="781"/>
      <c r="AI314" s="781"/>
      <c r="AJ314" s="781"/>
      <c r="AK314" s="781"/>
      <c r="AL314" s="781"/>
      <c r="AM314" s="781"/>
      <c r="AN314" s="781"/>
      <c r="AO314" s="781"/>
      <c r="AP314" s="781"/>
      <c r="AQ314" s="781"/>
      <c r="AR314" s="781"/>
      <c r="AS314" s="781"/>
      <c r="AT314" s="781"/>
      <c r="AU314" s="781"/>
    </row>
    <row r="315" ht="15.75" customHeight="1">
      <c r="A315" s="786">
        <v>44305.0</v>
      </c>
      <c r="B315" s="787" t="s">
        <v>3553</v>
      </c>
      <c r="C315" s="788" t="s">
        <v>2547</v>
      </c>
      <c r="D315" s="772" t="s">
        <v>6346</v>
      </c>
      <c r="E315" s="784">
        <v>29853.44</v>
      </c>
      <c r="F315" s="772" t="s">
        <v>3552</v>
      </c>
      <c r="G315" s="782" t="s">
        <v>2550</v>
      </c>
      <c r="H315" s="782" t="s">
        <v>29</v>
      </c>
      <c r="I315" s="782" t="s">
        <v>2562</v>
      </c>
      <c r="J315" s="782">
        <v>43822.0</v>
      </c>
      <c r="K315" s="785" t="s">
        <v>3836</v>
      </c>
      <c r="L315" s="781"/>
      <c r="M315" s="781"/>
      <c r="N315" s="781"/>
      <c r="O315" s="781"/>
      <c r="P315" s="781"/>
      <c r="Q315" s="781"/>
      <c r="R315" s="781"/>
      <c r="S315" s="781"/>
      <c r="T315" s="781"/>
      <c r="U315" s="781"/>
      <c r="V315" s="781"/>
      <c r="W315" s="781"/>
      <c r="X315" s="781"/>
      <c r="Y315" s="781"/>
      <c r="Z315" s="781"/>
      <c r="AA315" s="781"/>
      <c r="AB315" s="781"/>
      <c r="AC315" s="781"/>
      <c r="AD315" s="781"/>
      <c r="AE315" s="781"/>
      <c r="AF315" s="781"/>
      <c r="AG315" s="781"/>
      <c r="AH315" s="781"/>
      <c r="AI315" s="781"/>
      <c r="AJ315" s="781"/>
      <c r="AK315" s="781"/>
      <c r="AL315" s="781"/>
      <c r="AM315" s="781"/>
      <c r="AN315" s="781"/>
      <c r="AO315" s="781"/>
      <c r="AP315" s="781"/>
      <c r="AQ315" s="781"/>
      <c r="AR315" s="781"/>
      <c r="AS315" s="781"/>
      <c r="AT315" s="781"/>
      <c r="AU315" s="781"/>
    </row>
    <row r="316" ht="15.75" customHeight="1">
      <c r="A316" s="786">
        <v>44305.0</v>
      </c>
      <c r="B316" s="787" t="s">
        <v>3582</v>
      </c>
      <c r="C316" s="788" t="s">
        <v>2547</v>
      </c>
      <c r="D316" s="772" t="s">
        <v>6346</v>
      </c>
      <c r="E316" s="784">
        <v>3500.0</v>
      </c>
      <c r="F316" s="772" t="s">
        <v>3581</v>
      </c>
      <c r="G316" s="782" t="s">
        <v>18</v>
      </c>
      <c r="H316" s="782" t="s">
        <v>176</v>
      </c>
      <c r="I316" s="782" t="s">
        <v>197</v>
      </c>
      <c r="J316" s="782">
        <v>44273.0</v>
      </c>
      <c r="K316" s="785" t="s">
        <v>3828</v>
      </c>
      <c r="L316" s="781"/>
      <c r="M316" s="781"/>
      <c r="N316" s="781"/>
      <c r="O316" s="781"/>
      <c r="P316" s="781"/>
      <c r="Q316" s="781"/>
      <c r="R316" s="781"/>
      <c r="S316" s="781"/>
      <c r="T316" s="781"/>
      <c r="U316" s="781"/>
      <c r="V316" s="781"/>
      <c r="W316" s="781"/>
      <c r="X316" s="781"/>
      <c r="Y316" s="781"/>
      <c r="Z316" s="781"/>
      <c r="AA316" s="781"/>
      <c r="AB316" s="781"/>
      <c r="AC316" s="781"/>
      <c r="AD316" s="781"/>
      <c r="AE316" s="781"/>
      <c r="AF316" s="781"/>
      <c r="AG316" s="781"/>
      <c r="AH316" s="781"/>
      <c r="AI316" s="781"/>
      <c r="AJ316" s="781"/>
      <c r="AK316" s="781"/>
      <c r="AL316" s="781"/>
      <c r="AM316" s="781"/>
      <c r="AN316" s="781"/>
      <c r="AO316" s="781"/>
      <c r="AP316" s="781"/>
      <c r="AQ316" s="781"/>
      <c r="AR316" s="781"/>
      <c r="AS316" s="781"/>
      <c r="AT316" s="781"/>
      <c r="AU316" s="781"/>
    </row>
    <row r="317" ht="15.75" customHeight="1">
      <c r="A317" s="786">
        <v>44308.0</v>
      </c>
      <c r="B317" s="787" t="s">
        <v>3056</v>
      </c>
      <c r="C317" s="788" t="s">
        <v>2547</v>
      </c>
      <c r="D317" s="772" t="s">
        <v>6346</v>
      </c>
      <c r="E317" s="784">
        <v>193917.59</v>
      </c>
      <c r="F317" s="772" t="s">
        <v>3055</v>
      </c>
      <c r="G317" s="782" t="s">
        <v>2550</v>
      </c>
      <c r="H317" s="782" t="s">
        <v>29</v>
      </c>
      <c r="I317" s="782" t="s">
        <v>2562</v>
      </c>
      <c r="J317" s="782">
        <v>43559.0</v>
      </c>
      <c r="K317" s="785" t="s">
        <v>4206</v>
      </c>
      <c r="L317" s="781"/>
      <c r="M317" s="781"/>
      <c r="N317" s="781"/>
      <c r="O317" s="781"/>
      <c r="P317" s="781"/>
      <c r="Q317" s="781"/>
      <c r="R317" s="781"/>
      <c r="S317" s="781"/>
      <c r="T317" s="781"/>
      <c r="U317" s="781"/>
      <c r="V317" s="781"/>
      <c r="W317" s="781"/>
      <c r="X317" s="781"/>
      <c r="Y317" s="781"/>
      <c r="Z317" s="781"/>
      <c r="AA317" s="781"/>
      <c r="AB317" s="781"/>
      <c r="AC317" s="781"/>
      <c r="AD317" s="781"/>
      <c r="AE317" s="781"/>
      <c r="AF317" s="781"/>
      <c r="AG317" s="781"/>
      <c r="AH317" s="781"/>
      <c r="AI317" s="781"/>
      <c r="AJ317" s="781"/>
      <c r="AK317" s="781"/>
      <c r="AL317" s="781"/>
      <c r="AM317" s="781"/>
      <c r="AN317" s="781"/>
      <c r="AO317" s="781"/>
      <c r="AP317" s="781"/>
      <c r="AQ317" s="781"/>
      <c r="AR317" s="781"/>
      <c r="AS317" s="781"/>
      <c r="AT317" s="781"/>
      <c r="AU317" s="781"/>
    </row>
    <row r="318" ht="15.75" customHeight="1">
      <c r="A318" s="786">
        <v>44308.0</v>
      </c>
      <c r="B318" s="787" t="s">
        <v>2561</v>
      </c>
      <c r="C318" s="788" t="s">
        <v>2547</v>
      </c>
      <c r="D318" s="772" t="s">
        <v>6346</v>
      </c>
      <c r="E318" s="784">
        <v>10000.0</v>
      </c>
      <c r="F318" s="772" t="s">
        <v>2560</v>
      </c>
      <c r="G318" s="782" t="s">
        <v>2550</v>
      </c>
      <c r="H318" s="782" t="s">
        <v>29</v>
      </c>
      <c r="I318" s="782" t="s">
        <v>2562</v>
      </c>
      <c r="J318" s="782">
        <v>43874.0</v>
      </c>
      <c r="K318" s="785" t="s">
        <v>3828</v>
      </c>
      <c r="L318" s="781"/>
      <c r="M318" s="781"/>
      <c r="N318" s="781"/>
      <c r="O318" s="781"/>
      <c r="P318" s="781"/>
      <c r="Q318" s="781"/>
      <c r="R318" s="781"/>
      <c r="S318" s="781"/>
      <c r="T318" s="781"/>
      <c r="U318" s="781"/>
      <c r="V318" s="781"/>
      <c r="W318" s="781"/>
      <c r="X318" s="781"/>
      <c r="Y318" s="781"/>
      <c r="Z318" s="781"/>
      <c r="AA318" s="781"/>
      <c r="AB318" s="781"/>
      <c r="AC318" s="781"/>
      <c r="AD318" s="781"/>
      <c r="AE318" s="781"/>
      <c r="AF318" s="781"/>
      <c r="AG318" s="781"/>
      <c r="AH318" s="781"/>
      <c r="AI318" s="781"/>
      <c r="AJ318" s="781"/>
      <c r="AK318" s="781"/>
      <c r="AL318" s="781"/>
      <c r="AM318" s="781"/>
      <c r="AN318" s="781"/>
      <c r="AO318" s="781"/>
      <c r="AP318" s="781"/>
      <c r="AQ318" s="781"/>
      <c r="AR318" s="781"/>
      <c r="AS318" s="781"/>
      <c r="AT318" s="781"/>
      <c r="AU318" s="781"/>
    </row>
    <row r="319" ht="15.75" customHeight="1">
      <c r="A319" s="782">
        <v>44309.0</v>
      </c>
      <c r="B319" s="783" t="s">
        <v>2647</v>
      </c>
      <c r="C319" s="772" t="s">
        <v>2547</v>
      </c>
      <c r="D319" s="772" t="s">
        <v>6345</v>
      </c>
      <c r="E319" s="784">
        <v>72.06</v>
      </c>
      <c r="F319" s="772" t="s">
        <v>2646</v>
      </c>
      <c r="G319" s="782" t="s">
        <v>2550</v>
      </c>
      <c r="H319" s="782" t="s">
        <v>29</v>
      </c>
      <c r="I319" s="782" t="s">
        <v>2562</v>
      </c>
      <c r="J319" s="782">
        <v>43685.0</v>
      </c>
      <c r="K319" s="785" t="s">
        <v>4206</v>
      </c>
      <c r="L319" s="781"/>
      <c r="M319" s="781"/>
      <c r="N319" s="781"/>
      <c r="O319" s="781"/>
      <c r="P319" s="781"/>
      <c r="Q319" s="781"/>
      <c r="R319" s="781"/>
      <c r="S319" s="781"/>
      <c r="T319" s="781"/>
      <c r="U319" s="781"/>
      <c r="V319" s="781"/>
      <c r="W319" s="781"/>
      <c r="X319" s="781"/>
      <c r="Y319" s="781"/>
      <c r="Z319" s="781"/>
      <c r="AA319" s="781"/>
      <c r="AB319" s="781"/>
      <c r="AC319" s="781"/>
      <c r="AD319" s="781"/>
      <c r="AE319" s="781"/>
      <c r="AF319" s="781"/>
      <c r="AG319" s="781"/>
      <c r="AH319" s="781"/>
      <c r="AI319" s="781"/>
      <c r="AJ319" s="781"/>
      <c r="AK319" s="781"/>
      <c r="AL319" s="781"/>
      <c r="AM319" s="781"/>
      <c r="AN319" s="781"/>
      <c r="AO319" s="781"/>
      <c r="AP319" s="781"/>
      <c r="AQ319" s="781"/>
      <c r="AR319" s="781"/>
      <c r="AS319" s="781"/>
      <c r="AT319" s="781"/>
      <c r="AU319" s="781"/>
    </row>
    <row r="320" ht="15.75" customHeight="1">
      <c r="A320" s="782">
        <v>44309.0</v>
      </c>
      <c r="B320" s="783" t="s">
        <v>2662</v>
      </c>
      <c r="C320" s="772" t="s">
        <v>2547</v>
      </c>
      <c r="D320" s="772" t="s">
        <v>6345</v>
      </c>
      <c r="E320" s="784">
        <v>295.22</v>
      </c>
      <c r="F320" s="772" t="s">
        <v>2661</v>
      </c>
      <c r="G320" s="782" t="s">
        <v>18</v>
      </c>
      <c r="H320" s="782" t="s">
        <v>29</v>
      </c>
      <c r="I320" s="782" t="s">
        <v>373</v>
      </c>
      <c r="J320" s="782">
        <v>43382.0</v>
      </c>
      <c r="K320" s="785" t="s">
        <v>3840</v>
      </c>
      <c r="L320" s="781"/>
      <c r="M320" s="781"/>
      <c r="N320" s="781"/>
      <c r="O320" s="781"/>
      <c r="P320" s="781"/>
      <c r="Q320" s="781"/>
      <c r="R320" s="781"/>
      <c r="S320" s="781"/>
      <c r="T320" s="781"/>
      <c r="U320" s="781"/>
      <c r="V320" s="781"/>
      <c r="W320" s="781"/>
      <c r="X320" s="781"/>
      <c r="Y320" s="781"/>
      <c r="Z320" s="781"/>
      <c r="AA320" s="781"/>
      <c r="AB320" s="781"/>
      <c r="AC320" s="781"/>
      <c r="AD320" s="781"/>
      <c r="AE320" s="781"/>
      <c r="AF320" s="781"/>
      <c r="AG320" s="781"/>
      <c r="AH320" s="781"/>
      <c r="AI320" s="781"/>
      <c r="AJ320" s="781"/>
      <c r="AK320" s="781"/>
      <c r="AL320" s="781"/>
      <c r="AM320" s="781"/>
      <c r="AN320" s="781"/>
      <c r="AO320" s="781"/>
      <c r="AP320" s="781"/>
      <c r="AQ320" s="781"/>
      <c r="AR320" s="781"/>
      <c r="AS320" s="781"/>
      <c r="AT320" s="781"/>
      <c r="AU320" s="781"/>
    </row>
    <row r="321" ht="15.75" customHeight="1">
      <c r="A321" s="782">
        <v>44309.0</v>
      </c>
      <c r="B321" s="783" t="s">
        <v>2714</v>
      </c>
      <c r="C321" s="772" t="s">
        <v>2547</v>
      </c>
      <c r="D321" s="772" t="s">
        <v>6345</v>
      </c>
      <c r="E321" s="784">
        <v>47.86</v>
      </c>
      <c r="F321" s="772" t="s">
        <v>2713</v>
      </c>
      <c r="G321" s="782" t="s">
        <v>2550</v>
      </c>
      <c r="H321" s="782" t="s">
        <v>29</v>
      </c>
      <c r="I321" s="782" t="s">
        <v>2551</v>
      </c>
      <c r="J321" s="782">
        <v>43665.0</v>
      </c>
      <c r="K321" s="785" t="s">
        <v>4206</v>
      </c>
      <c r="L321" s="781"/>
      <c r="M321" s="781"/>
      <c r="N321" s="781"/>
      <c r="O321" s="781"/>
      <c r="P321" s="781"/>
      <c r="Q321" s="781"/>
      <c r="R321" s="781"/>
      <c r="S321" s="781"/>
      <c r="T321" s="781"/>
      <c r="U321" s="781"/>
      <c r="V321" s="781"/>
      <c r="W321" s="781"/>
      <c r="X321" s="781"/>
      <c r="Y321" s="781"/>
      <c r="Z321" s="781"/>
      <c r="AA321" s="781"/>
      <c r="AB321" s="781"/>
      <c r="AC321" s="781"/>
      <c r="AD321" s="781"/>
      <c r="AE321" s="781"/>
      <c r="AF321" s="781"/>
      <c r="AG321" s="781"/>
      <c r="AH321" s="781"/>
      <c r="AI321" s="781"/>
      <c r="AJ321" s="781"/>
      <c r="AK321" s="781"/>
      <c r="AL321" s="781"/>
      <c r="AM321" s="781"/>
      <c r="AN321" s="781"/>
      <c r="AO321" s="781"/>
      <c r="AP321" s="781"/>
      <c r="AQ321" s="781"/>
      <c r="AR321" s="781"/>
      <c r="AS321" s="781"/>
      <c r="AT321" s="781"/>
      <c r="AU321" s="781"/>
    </row>
    <row r="322" ht="15.75" customHeight="1">
      <c r="A322" s="782">
        <v>44309.0</v>
      </c>
      <c r="B322" s="783" t="s">
        <v>3074</v>
      </c>
      <c r="C322" s="772" t="s">
        <v>2547</v>
      </c>
      <c r="D322" s="772" t="s">
        <v>6345</v>
      </c>
      <c r="E322" s="784"/>
      <c r="F322" s="772" t="s">
        <v>3073</v>
      </c>
      <c r="G322" s="782" t="s">
        <v>18</v>
      </c>
      <c r="H322" s="782" t="s">
        <v>29</v>
      </c>
      <c r="I322" s="782" t="s">
        <v>2803</v>
      </c>
      <c r="J322" s="782">
        <v>43515.0</v>
      </c>
      <c r="K322" s="785" t="s">
        <v>3840</v>
      </c>
      <c r="L322" s="781"/>
      <c r="M322" s="781"/>
      <c r="N322" s="781"/>
      <c r="O322" s="781"/>
      <c r="P322" s="781"/>
      <c r="Q322" s="781"/>
      <c r="R322" s="781"/>
      <c r="S322" s="781"/>
      <c r="T322" s="781"/>
      <c r="U322" s="781"/>
      <c r="V322" s="781"/>
      <c r="W322" s="781"/>
      <c r="X322" s="781"/>
      <c r="Y322" s="781"/>
      <c r="Z322" s="781"/>
      <c r="AA322" s="781"/>
      <c r="AB322" s="781"/>
      <c r="AC322" s="781"/>
      <c r="AD322" s="781"/>
      <c r="AE322" s="781"/>
      <c r="AF322" s="781"/>
      <c r="AG322" s="781"/>
      <c r="AH322" s="781"/>
      <c r="AI322" s="781"/>
      <c r="AJ322" s="781"/>
      <c r="AK322" s="781"/>
      <c r="AL322" s="781"/>
      <c r="AM322" s="781"/>
      <c r="AN322" s="781"/>
      <c r="AO322" s="781"/>
      <c r="AP322" s="781"/>
      <c r="AQ322" s="781"/>
      <c r="AR322" s="781"/>
      <c r="AS322" s="781"/>
      <c r="AT322" s="781"/>
      <c r="AU322" s="781"/>
    </row>
    <row r="323" ht="15.75" customHeight="1">
      <c r="A323" s="782">
        <v>44309.0</v>
      </c>
      <c r="B323" s="783" t="s">
        <v>3086</v>
      </c>
      <c r="C323" s="772" t="s">
        <v>2547</v>
      </c>
      <c r="D323" s="772" t="s">
        <v>6345</v>
      </c>
      <c r="E323" s="784">
        <v>4170.42</v>
      </c>
      <c r="F323" s="772" t="s">
        <v>3085</v>
      </c>
      <c r="G323" s="782" t="s">
        <v>2550</v>
      </c>
      <c r="H323" s="782" t="s">
        <v>29</v>
      </c>
      <c r="I323" s="782" t="s">
        <v>2562</v>
      </c>
      <c r="J323" s="782">
        <v>43664.0</v>
      </c>
      <c r="K323" s="785" t="s">
        <v>4206</v>
      </c>
      <c r="L323" s="781"/>
      <c r="M323" s="781"/>
      <c r="N323" s="781"/>
      <c r="O323" s="781"/>
      <c r="P323" s="781"/>
      <c r="Q323" s="781"/>
      <c r="R323" s="781"/>
      <c r="S323" s="781"/>
      <c r="T323" s="781"/>
      <c r="U323" s="781"/>
      <c r="V323" s="781"/>
      <c r="W323" s="781"/>
      <c r="X323" s="781"/>
      <c r="Y323" s="781"/>
      <c r="Z323" s="781"/>
      <c r="AA323" s="781"/>
      <c r="AB323" s="781"/>
      <c r="AC323" s="781"/>
      <c r="AD323" s="781"/>
      <c r="AE323" s="781"/>
      <c r="AF323" s="781"/>
      <c r="AG323" s="781"/>
      <c r="AH323" s="781"/>
      <c r="AI323" s="781"/>
      <c r="AJ323" s="781"/>
      <c r="AK323" s="781"/>
      <c r="AL323" s="781"/>
      <c r="AM323" s="781"/>
      <c r="AN323" s="781"/>
      <c r="AO323" s="781"/>
      <c r="AP323" s="781"/>
      <c r="AQ323" s="781"/>
      <c r="AR323" s="781"/>
      <c r="AS323" s="781"/>
      <c r="AT323" s="781"/>
      <c r="AU323" s="781"/>
    </row>
    <row r="324" ht="15.75" customHeight="1">
      <c r="A324" s="782">
        <v>44312.0</v>
      </c>
      <c r="B324" s="783" t="s">
        <v>2790</v>
      </c>
      <c r="C324" s="772" t="s">
        <v>2547</v>
      </c>
      <c r="D324" s="772" t="s">
        <v>6345</v>
      </c>
      <c r="E324" s="784">
        <v>6.32</v>
      </c>
      <c r="F324" s="772" t="s">
        <v>2789</v>
      </c>
      <c r="G324" s="782" t="s">
        <v>2550</v>
      </c>
      <c r="H324" s="782" t="s">
        <v>29</v>
      </c>
      <c r="I324" s="782" t="s">
        <v>2551</v>
      </c>
      <c r="J324" s="782" t="s">
        <v>2599</v>
      </c>
      <c r="K324" s="785" t="s">
        <v>3828</v>
      </c>
      <c r="L324" s="781"/>
      <c r="M324" s="781"/>
      <c r="N324" s="781"/>
      <c r="O324" s="781"/>
      <c r="P324" s="781"/>
      <c r="Q324" s="781"/>
      <c r="R324" s="781"/>
      <c r="S324" s="781"/>
      <c r="T324" s="781"/>
      <c r="U324" s="781"/>
      <c r="V324" s="781"/>
      <c r="W324" s="781"/>
      <c r="X324" s="781"/>
      <c r="Y324" s="781"/>
      <c r="Z324" s="781"/>
      <c r="AA324" s="781"/>
      <c r="AB324" s="781"/>
      <c r="AC324" s="781"/>
      <c r="AD324" s="781"/>
      <c r="AE324" s="781"/>
      <c r="AF324" s="781"/>
      <c r="AG324" s="781"/>
      <c r="AH324" s="781"/>
      <c r="AI324" s="781"/>
      <c r="AJ324" s="781"/>
      <c r="AK324" s="781"/>
      <c r="AL324" s="781"/>
      <c r="AM324" s="781"/>
      <c r="AN324" s="781"/>
      <c r="AO324" s="781"/>
      <c r="AP324" s="781"/>
      <c r="AQ324" s="781"/>
      <c r="AR324" s="781"/>
      <c r="AS324" s="781"/>
      <c r="AT324" s="781"/>
      <c r="AU324" s="781"/>
    </row>
    <row r="325" ht="15.75" customHeight="1">
      <c r="A325" s="782">
        <v>44312.0</v>
      </c>
      <c r="B325" s="783" t="s">
        <v>3446</v>
      </c>
      <c r="C325" s="772" t="s">
        <v>2547</v>
      </c>
      <c r="D325" s="772" t="s">
        <v>6345</v>
      </c>
      <c r="E325" s="784">
        <v>242.83</v>
      </c>
      <c r="F325" s="772" t="s">
        <v>3445</v>
      </c>
      <c r="G325" s="782" t="s">
        <v>2550</v>
      </c>
      <c r="H325" s="782" t="s">
        <v>29</v>
      </c>
      <c r="I325" s="782" t="s">
        <v>2551</v>
      </c>
      <c r="J325" s="782">
        <v>43675.0</v>
      </c>
      <c r="K325" s="785" t="s">
        <v>4206</v>
      </c>
      <c r="L325" s="781"/>
      <c r="M325" s="781"/>
      <c r="N325" s="781"/>
      <c r="O325" s="781"/>
      <c r="P325" s="781"/>
      <c r="Q325" s="781"/>
      <c r="R325" s="781"/>
      <c r="S325" s="781"/>
      <c r="T325" s="781"/>
      <c r="U325" s="781"/>
      <c r="V325" s="781"/>
      <c r="W325" s="781"/>
      <c r="X325" s="781"/>
      <c r="Y325" s="781"/>
      <c r="Z325" s="781"/>
      <c r="AA325" s="781"/>
      <c r="AB325" s="781"/>
      <c r="AC325" s="781"/>
      <c r="AD325" s="781"/>
      <c r="AE325" s="781"/>
      <c r="AF325" s="781"/>
      <c r="AG325" s="781"/>
      <c r="AH325" s="781"/>
      <c r="AI325" s="781"/>
      <c r="AJ325" s="781"/>
      <c r="AK325" s="781"/>
      <c r="AL325" s="781"/>
      <c r="AM325" s="781"/>
      <c r="AN325" s="781"/>
      <c r="AO325" s="781"/>
      <c r="AP325" s="781"/>
      <c r="AQ325" s="781"/>
      <c r="AR325" s="781"/>
      <c r="AS325" s="781"/>
      <c r="AT325" s="781"/>
      <c r="AU325" s="781"/>
    </row>
    <row r="326" ht="15.75" customHeight="1">
      <c r="A326" s="786">
        <v>44312.0</v>
      </c>
      <c r="B326" s="787" t="s">
        <v>3284</v>
      </c>
      <c r="C326" s="788" t="s">
        <v>2547</v>
      </c>
      <c r="D326" s="772" t="s">
        <v>1481</v>
      </c>
      <c r="E326" s="784">
        <v>57000.0</v>
      </c>
      <c r="F326" s="772" t="s">
        <v>3283</v>
      </c>
      <c r="G326" s="782" t="s">
        <v>2550</v>
      </c>
      <c r="H326" s="782" t="s">
        <v>29</v>
      </c>
      <c r="I326" s="782" t="s">
        <v>2562</v>
      </c>
      <c r="J326" s="782">
        <v>43622.0</v>
      </c>
      <c r="K326" s="785" t="s">
        <v>3836</v>
      </c>
      <c r="L326" s="781"/>
      <c r="M326" s="781"/>
      <c r="N326" s="781"/>
      <c r="O326" s="781"/>
      <c r="P326" s="781"/>
      <c r="Q326" s="781"/>
      <c r="R326" s="781"/>
      <c r="S326" s="781"/>
      <c r="T326" s="781"/>
      <c r="U326" s="781"/>
      <c r="V326" s="781"/>
      <c r="W326" s="781"/>
      <c r="X326" s="781"/>
      <c r="Y326" s="781"/>
      <c r="Z326" s="781"/>
      <c r="AA326" s="781"/>
      <c r="AB326" s="781"/>
      <c r="AC326" s="781"/>
      <c r="AD326" s="781"/>
      <c r="AE326" s="781"/>
      <c r="AF326" s="781"/>
      <c r="AG326" s="781"/>
      <c r="AH326" s="781"/>
      <c r="AI326" s="781"/>
      <c r="AJ326" s="781"/>
      <c r="AK326" s="781"/>
      <c r="AL326" s="781"/>
      <c r="AM326" s="781"/>
      <c r="AN326" s="781"/>
      <c r="AO326" s="781"/>
      <c r="AP326" s="781"/>
      <c r="AQ326" s="781"/>
      <c r="AR326" s="781"/>
      <c r="AS326" s="781"/>
      <c r="AT326" s="781"/>
      <c r="AU326" s="781"/>
    </row>
    <row r="327" ht="15.75" customHeight="1">
      <c r="A327" s="782">
        <v>44314.0</v>
      </c>
      <c r="B327" s="783" t="s">
        <v>2561</v>
      </c>
      <c r="C327" s="772" t="s">
        <v>2547</v>
      </c>
      <c r="D327" s="772" t="s">
        <v>6345</v>
      </c>
      <c r="E327" s="784">
        <v>299695.62</v>
      </c>
      <c r="F327" s="772" t="s">
        <v>2560</v>
      </c>
      <c r="G327" s="782" t="s">
        <v>2550</v>
      </c>
      <c r="H327" s="782" t="s">
        <v>29</v>
      </c>
      <c r="I327" s="782" t="s">
        <v>2562</v>
      </c>
      <c r="J327" s="782">
        <v>43874.0</v>
      </c>
      <c r="K327" s="785" t="s">
        <v>3828</v>
      </c>
      <c r="L327" s="781"/>
      <c r="M327" s="781"/>
      <c r="N327" s="781"/>
      <c r="O327" s="781"/>
      <c r="P327" s="781"/>
      <c r="Q327" s="781"/>
      <c r="R327" s="781"/>
      <c r="S327" s="781"/>
      <c r="T327" s="781"/>
      <c r="U327" s="781"/>
      <c r="V327" s="781"/>
      <c r="W327" s="781"/>
      <c r="X327" s="781"/>
      <c r="Y327" s="781"/>
      <c r="Z327" s="781"/>
      <c r="AA327" s="781"/>
      <c r="AB327" s="781"/>
      <c r="AC327" s="781"/>
      <c r="AD327" s="781"/>
      <c r="AE327" s="781"/>
      <c r="AF327" s="781"/>
      <c r="AG327" s="781"/>
      <c r="AH327" s="781"/>
      <c r="AI327" s="781"/>
      <c r="AJ327" s="781"/>
      <c r="AK327" s="781"/>
      <c r="AL327" s="781"/>
      <c r="AM327" s="781"/>
      <c r="AN327" s="781"/>
      <c r="AO327" s="781"/>
      <c r="AP327" s="781"/>
      <c r="AQ327" s="781"/>
      <c r="AR327" s="781"/>
      <c r="AS327" s="781"/>
      <c r="AT327" s="781"/>
      <c r="AU327" s="781"/>
    </row>
    <row r="328" ht="15.75" customHeight="1">
      <c r="A328" s="782">
        <v>44314.0</v>
      </c>
      <c r="B328" s="783" t="s">
        <v>2672</v>
      </c>
      <c r="C328" s="772" t="s">
        <v>2547</v>
      </c>
      <c r="D328" s="772" t="s">
        <v>6345</v>
      </c>
      <c r="E328" s="784">
        <v>29853.44</v>
      </c>
      <c r="F328" s="772" t="s">
        <v>2671</v>
      </c>
      <c r="G328" s="782" t="s">
        <v>2550</v>
      </c>
      <c r="H328" s="782" t="s">
        <v>29</v>
      </c>
      <c r="I328" s="782" t="s">
        <v>2551</v>
      </c>
      <c r="J328" s="782">
        <v>43620.0</v>
      </c>
      <c r="K328" s="785" t="s">
        <v>3836</v>
      </c>
      <c r="L328" s="781"/>
      <c r="M328" s="781"/>
      <c r="N328" s="781"/>
      <c r="O328" s="781"/>
      <c r="P328" s="781"/>
      <c r="Q328" s="781"/>
      <c r="R328" s="781"/>
      <c r="S328" s="781"/>
      <c r="T328" s="781"/>
      <c r="U328" s="781"/>
      <c r="V328" s="781"/>
      <c r="W328" s="781"/>
      <c r="X328" s="781"/>
      <c r="Y328" s="781"/>
      <c r="Z328" s="781"/>
      <c r="AA328" s="781"/>
      <c r="AB328" s="781"/>
      <c r="AC328" s="781"/>
      <c r="AD328" s="781"/>
      <c r="AE328" s="781"/>
      <c r="AF328" s="781"/>
      <c r="AG328" s="781"/>
      <c r="AH328" s="781"/>
      <c r="AI328" s="781"/>
      <c r="AJ328" s="781"/>
      <c r="AK328" s="781"/>
      <c r="AL328" s="781"/>
      <c r="AM328" s="781"/>
      <c r="AN328" s="781"/>
      <c r="AO328" s="781"/>
      <c r="AP328" s="781"/>
      <c r="AQ328" s="781"/>
      <c r="AR328" s="781"/>
      <c r="AS328" s="781"/>
      <c r="AT328" s="781"/>
      <c r="AU328" s="781"/>
    </row>
    <row r="329" ht="15.75" customHeight="1">
      <c r="A329" s="786">
        <v>44314.0</v>
      </c>
      <c r="B329" s="787" t="s">
        <v>2902</v>
      </c>
      <c r="C329" s="788" t="s">
        <v>2547</v>
      </c>
      <c r="D329" s="772" t="s">
        <v>6346</v>
      </c>
      <c r="E329" s="784">
        <v>11000.0</v>
      </c>
      <c r="F329" s="772" t="s">
        <v>2901</v>
      </c>
      <c r="G329" s="782" t="s">
        <v>18</v>
      </c>
      <c r="H329" s="782" t="s">
        <v>176</v>
      </c>
      <c r="I329" s="782" t="s">
        <v>197</v>
      </c>
      <c r="J329" s="782">
        <v>44298.0</v>
      </c>
      <c r="K329" s="785" t="s">
        <v>3828</v>
      </c>
      <c r="L329" s="781"/>
      <c r="M329" s="781"/>
      <c r="N329" s="781"/>
      <c r="O329" s="781"/>
      <c r="P329" s="781"/>
      <c r="Q329" s="781"/>
      <c r="R329" s="781"/>
      <c r="S329" s="781"/>
      <c r="T329" s="781"/>
      <c r="U329" s="781"/>
      <c r="V329" s="781"/>
      <c r="W329" s="781"/>
      <c r="X329" s="781"/>
      <c r="Y329" s="781"/>
      <c r="Z329" s="781"/>
      <c r="AA329" s="781"/>
      <c r="AB329" s="781"/>
      <c r="AC329" s="781"/>
      <c r="AD329" s="781"/>
      <c r="AE329" s="781"/>
      <c r="AF329" s="781"/>
      <c r="AG329" s="781"/>
      <c r="AH329" s="781"/>
      <c r="AI329" s="781"/>
      <c r="AJ329" s="781"/>
      <c r="AK329" s="781"/>
      <c r="AL329" s="781"/>
      <c r="AM329" s="781"/>
      <c r="AN329" s="781"/>
      <c r="AO329" s="781"/>
      <c r="AP329" s="781"/>
      <c r="AQ329" s="781"/>
      <c r="AR329" s="781"/>
      <c r="AS329" s="781"/>
      <c r="AT329" s="781"/>
      <c r="AU329" s="781"/>
    </row>
    <row r="330" ht="15.75" customHeight="1">
      <c r="A330" s="786">
        <v>44314.0</v>
      </c>
      <c r="B330" s="787" t="s">
        <v>2982</v>
      </c>
      <c r="C330" s="788" t="s">
        <v>2547</v>
      </c>
      <c r="D330" s="772" t="s">
        <v>6346</v>
      </c>
      <c r="E330" s="784">
        <v>12000.0</v>
      </c>
      <c r="F330" s="772" t="s">
        <v>2981</v>
      </c>
      <c r="G330" s="782" t="s">
        <v>2550</v>
      </c>
      <c r="H330" s="782" t="s">
        <v>29</v>
      </c>
      <c r="I330" s="782" t="s">
        <v>2551</v>
      </c>
      <c r="J330" s="782">
        <v>43703.0</v>
      </c>
      <c r="K330" s="785" t="s">
        <v>4206</v>
      </c>
      <c r="L330" s="781"/>
      <c r="M330" s="781"/>
      <c r="N330" s="781"/>
      <c r="O330" s="781"/>
      <c r="P330" s="781"/>
      <c r="Q330" s="781"/>
      <c r="R330" s="781"/>
      <c r="S330" s="781"/>
      <c r="T330" s="781"/>
      <c r="U330" s="781"/>
      <c r="V330" s="781"/>
      <c r="W330" s="781"/>
      <c r="X330" s="781"/>
      <c r="Y330" s="781"/>
      <c r="Z330" s="781"/>
      <c r="AA330" s="781"/>
      <c r="AB330" s="781"/>
      <c r="AC330" s="781"/>
      <c r="AD330" s="781"/>
      <c r="AE330" s="781"/>
      <c r="AF330" s="781"/>
      <c r="AG330" s="781"/>
      <c r="AH330" s="781"/>
      <c r="AI330" s="781"/>
      <c r="AJ330" s="781"/>
      <c r="AK330" s="781"/>
      <c r="AL330" s="781"/>
      <c r="AM330" s="781"/>
      <c r="AN330" s="781"/>
      <c r="AO330" s="781"/>
      <c r="AP330" s="781"/>
      <c r="AQ330" s="781"/>
      <c r="AR330" s="781"/>
      <c r="AS330" s="781"/>
      <c r="AT330" s="781"/>
      <c r="AU330" s="781"/>
    </row>
    <row r="331" ht="15.75" customHeight="1">
      <c r="A331" s="786">
        <v>44314.0</v>
      </c>
      <c r="B331" s="787" t="s">
        <v>2672</v>
      </c>
      <c r="C331" s="788" t="s">
        <v>2547</v>
      </c>
      <c r="D331" s="772" t="s">
        <v>1481</v>
      </c>
      <c r="E331" s="784">
        <v>162050.69</v>
      </c>
      <c r="F331" s="772" t="s">
        <v>2671</v>
      </c>
      <c r="G331" s="782" t="s">
        <v>2550</v>
      </c>
      <c r="H331" s="782" t="s">
        <v>29</v>
      </c>
      <c r="I331" s="782" t="s">
        <v>2551</v>
      </c>
      <c r="J331" s="782">
        <v>43620.0</v>
      </c>
      <c r="K331" s="785" t="s">
        <v>3836</v>
      </c>
      <c r="L331" s="781"/>
      <c r="M331" s="781"/>
      <c r="N331" s="781"/>
      <c r="O331" s="781"/>
      <c r="P331" s="781"/>
      <c r="Q331" s="781"/>
      <c r="R331" s="781"/>
      <c r="S331" s="781"/>
      <c r="T331" s="781"/>
      <c r="U331" s="781"/>
      <c r="V331" s="781"/>
      <c r="W331" s="781"/>
      <c r="X331" s="781"/>
      <c r="Y331" s="781"/>
      <c r="Z331" s="781"/>
      <c r="AA331" s="781"/>
      <c r="AB331" s="781"/>
      <c r="AC331" s="781"/>
      <c r="AD331" s="781"/>
      <c r="AE331" s="781"/>
      <c r="AF331" s="781"/>
      <c r="AG331" s="781"/>
      <c r="AH331" s="781"/>
      <c r="AI331" s="781"/>
      <c r="AJ331" s="781"/>
      <c r="AK331" s="781"/>
      <c r="AL331" s="781"/>
      <c r="AM331" s="781"/>
      <c r="AN331" s="781"/>
      <c r="AO331" s="781"/>
      <c r="AP331" s="781"/>
      <c r="AQ331" s="781"/>
      <c r="AR331" s="781"/>
      <c r="AS331" s="781"/>
      <c r="AT331" s="781"/>
      <c r="AU331" s="781"/>
    </row>
    <row r="332" ht="15.75" customHeight="1">
      <c r="A332" s="786">
        <v>44314.0</v>
      </c>
      <c r="B332" s="787" t="s">
        <v>6364</v>
      </c>
      <c r="C332" s="788" t="s">
        <v>3820</v>
      </c>
      <c r="D332" s="772" t="s">
        <v>6346</v>
      </c>
      <c r="E332" s="784">
        <v>5000.0</v>
      </c>
      <c r="F332" s="772" t="s">
        <v>4490</v>
      </c>
      <c r="G332" s="772" t="s">
        <v>2550</v>
      </c>
      <c r="H332" s="772" t="s">
        <v>29</v>
      </c>
      <c r="I332" s="772" t="s">
        <v>2550</v>
      </c>
      <c r="J332" s="782">
        <v>43901.0</v>
      </c>
      <c r="K332" s="789" t="s">
        <v>3824</v>
      </c>
      <c r="L332" s="781"/>
      <c r="M332" s="781"/>
      <c r="N332" s="781"/>
      <c r="O332" s="781"/>
      <c r="P332" s="781"/>
      <c r="Q332" s="781"/>
      <c r="R332" s="781"/>
      <c r="S332" s="781"/>
      <c r="T332" s="781"/>
      <c r="U332" s="781"/>
      <c r="V332" s="781"/>
      <c r="W332" s="781"/>
      <c r="X332" s="781"/>
      <c r="Y332" s="781"/>
      <c r="Z332" s="781"/>
      <c r="AA332" s="781"/>
      <c r="AB332" s="781"/>
      <c r="AC332" s="781"/>
      <c r="AD332" s="781"/>
      <c r="AE332" s="781"/>
      <c r="AF332" s="781"/>
      <c r="AG332" s="781"/>
      <c r="AH332" s="781"/>
      <c r="AI332" s="781"/>
      <c r="AJ332" s="781"/>
      <c r="AK332" s="781"/>
      <c r="AL332" s="781"/>
      <c r="AM332" s="781"/>
      <c r="AN332" s="781"/>
      <c r="AO332" s="781"/>
      <c r="AP332" s="781"/>
      <c r="AQ332" s="781"/>
      <c r="AR332" s="781"/>
      <c r="AS332" s="781"/>
      <c r="AT332" s="781"/>
      <c r="AU332" s="781"/>
    </row>
    <row r="333" ht="15.75" customHeight="1">
      <c r="A333" s="782">
        <v>44315.0</v>
      </c>
      <c r="B333" s="783" t="s">
        <v>6390</v>
      </c>
      <c r="C333" s="772" t="s">
        <v>3820</v>
      </c>
      <c r="D333" s="772" t="s">
        <v>6345</v>
      </c>
      <c r="E333" s="784">
        <v>0.0</v>
      </c>
      <c r="F333" s="772" t="s">
        <v>5016</v>
      </c>
      <c r="G333" s="772" t="s">
        <v>105</v>
      </c>
      <c r="H333" s="772" t="s">
        <v>29</v>
      </c>
      <c r="I333" s="772" t="s">
        <v>71</v>
      </c>
      <c r="J333" s="782">
        <v>44183.0</v>
      </c>
      <c r="K333" s="789" t="s">
        <v>3824</v>
      </c>
      <c r="L333" s="781"/>
      <c r="M333" s="781"/>
      <c r="N333" s="781"/>
      <c r="O333" s="781"/>
      <c r="P333" s="781"/>
      <c r="Q333" s="781"/>
      <c r="R333" s="781"/>
      <c r="S333" s="781"/>
      <c r="T333" s="781"/>
      <c r="U333" s="781"/>
      <c r="V333" s="781"/>
      <c r="W333" s="781"/>
      <c r="X333" s="781"/>
      <c r="Y333" s="781"/>
      <c r="Z333" s="781"/>
      <c r="AA333" s="781"/>
      <c r="AB333" s="781"/>
      <c r="AC333" s="781"/>
      <c r="AD333" s="781"/>
      <c r="AE333" s="781"/>
      <c r="AF333" s="781"/>
      <c r="AG333" s="781"/>
      <c r="AH333" s="781"/>
      <c r="AI333" s="781"/>
      <c r="AJ333" s="781"/>
      <c r="AK333" s="781"/>
      <c r="AL333" s="781"/>
      <c r="AM333" s="781"/>
      <c r="AN333" s="781"/>
      <c r="AO333" s="781"/>
      <c r="AP333" s="781"/>
      <c r="AQ333" s="781"/>
      <c r="AR333" s="781"/>
      <c r="AS333" s="781"/>
      <c r="AT333" s="781"/>
      <c r="AU333" s="781"/>
    </row>
    <row r="334" ht="15.75" customHeight="1">
      <c r="A334" s="786">
        <v>44315.0</v>
      </c>
      <c r="B334" s="787" t="s">
        <v>6390</v>
      </c>
      <c r="C334" s="788" t="s">
        <v>3820</v>
      </c>
      <c r="D334" s="772" t="s">
        <v>1481</v>
      </c>
      <c r="E334" s="784">
        <v>103154.55</v>
      </c>
      <c r="F334" s="772" t="s">
        <v>5016</v>
      </c>
      <c r="G334" s="772" t="s">
        <v>105</v>
      </c>
      <c r="H334" s="772" t="s">
        <v>29</v>
      </c>
      <c r="I334" s="772" t="s">
        <v>71</v>
      </c>
      <c r="J334" s="782">
        <v>44183.0</v>
      </c>
      <c r="K334" s="789" t="s">
        <v>3824</v>
      </c>
      <c r="L334" s="781"/>
      <c r="M334" s="781"/>
      <c r="N334" s="781"/>
      <c r="O334" s="781"/>
      <c r="P334" s="781"/>
      <c r="Q334" s="781"/>
      <c r="R334" s="781"/>
      <c r="S334" s="781"/>
      <c r="T334" s="781"/>
      <c r="U334" s="781"/>
      <c r="V334" s="781"/>
      <c r="W334" s="781"/>
      <c r="X334" s="781"/>
      <c r="Y334" s="781"/>
      <c r="Z334" s="781"/>
      <c r="AA334" s="781"/>
      <c r="AB334" s="781"/>
      <c r="AC334" s="781"/>
      <c r="AD334" s="781"/>
      <c r="AE334" s="781"/>
      <c r="AF334" s="781"/>
      <c r="AG334" s="781"/>
      <c r="AH334" s="781"/>
      <c r="AI334" s="781"/>
      <c r="AJ334" s="781"/>
      <c r="AK334" s="781"/>
      <c r="AL334" s="781"/>
      <c r="AM334" s="781"/>
      <c r="AN334" s="781"/>
      <c r="AO334" s="781"/>
      <c r="AP334" s="781"/>
      <c r="AQ334" s="781"/>
      <c r="AR334" s="781"/>
      <c r="AS334" s="781"/>
      <c r="AT334" s="781"/>
      <c r="AU334" s="781"/>
    </row>
    <row r="335" ht="15.75" customHeight="1">
      <c r="A335" s="786">
        <v>44316.0</v>
      </c>
      <c r="B335" s="787" t="s">
        <v>2902</v>
      </c>
      <c r="C335" s="788" t="s">
        <v>2547</v>
      </c>
      <c r="D335" s="772" t="s">
        <v>6346</v>
      </c>
      <c r="E335" s="784">
        <v>100000.0</v>
      </c>
      <c r="F335" s="772" t="s">
        <v>2901</v>
      </c>
      <c r="G335" s="782" t="s">
        <v>18</v>
      </c>
      <c r="H335" s="782" t="s">
        <v>176</v>
      </c>
      <c r="I335" s="782" t="s">
        <v>197</v>
      </c>
      <c r="J335" s="782">
        <v>44298.0</v>
      </c>
      <c r="K335" s="785" t="s">
        <v>3828</v>
      </c>
      <c r="L335" s="781"/>
      <c r="M335" s="781"/>
      <c r="N335" s="781"/>
      <c r="O335" s="781"/>
      <c r="P335" s="781"/>
      <c r="Q335" s="781"/>
      <c r="R335" s="781"/>
      <c r="S335" s="781"/>
      <c r="T335" s="781"/>
      <c r="U335" s="781"/>
      <c r="V335" s="781"/>
      <c r="W335" s="781"/>
      <c r="X335" s="781"/>
      <c r="Y335" s="781"/>
      <c r="Z335" s="781"/>
      <c r="AA335" s="781"/>
      <c r="AB335" s="781"/>
      <c r="AC335" s="781"/>
      <c r="AD335" s="781"/>
      <c r="AE335" s="781"/>
      <c r="AF335" s="781"/>
      <c r="AG335" s="781"/>
      <c r="AH335" s="781"/>
      <c r="AI335" s="781"/>
      <c r="AJ335" s="781"/>
      <c r="AK335" s="781"/>
      <c r="AL335" s="781"/>
      <c r="AM335" s="781"/>
      <c r="AN335" s="781"/>
      <c r="AO335" s="781"/>
      <c r="AP335" s="781"/>
      <c r="AQ335" s="781"/>
      <c r="AR335" s="781"/>
      <c r="AS335" s="781"/>
      <c r="AT335" s="781"/>
      <c r="AU335" s="781"/>
    </row>
    <row r="336" ht="15.75" customHeight="1">
      <c r="A336" s="786">
        <v>44316.0</v>
      </c>
      <c r="B336" s="787" t="s">
        <v>2982</v>
      </c>
      <c r="C336" s="788" t="s">
        <v>2547</v>
      </c>
      <c r="D336" s="772" t="s">
        <v>6346</v>
      </c>
      <c r="E336" s="784">
        <v>9000.0</v>
      </c>
      <c r="F336" s="772" t="s">
        <v>2981</v>
      </c>
      <c r="G336" s="782" t="s">
        <v>2550</v>
      </c>
      <c r="H336" s="782" t="s">
        <v>29</v>
      </c>
      <c r="I336" s="782" t="s">
        <v>2551</v>
      </c>
      <c r="J336" s="782">
        <v>43703.0</v>
      </c>
      <c r="K336" s="785" t="s">
        <v>4206</v>
      </c>
      <c r="L336" s="781"/>
      <c r="M336" s="781"/>
      <c r="N336" s="781"/>
      <c r="O336" s="781"/>
      <c r="P336" s="781"/>
      <c r="Q336" s="781"/>
      <c r="R336" s="781"/>
      <c r="S336" s="781"/>
      <c r="T336" s="781"/>
      <c r="U336" s="781"/>
      <c r="V336" s="781"/>
      <c r="W336" s="781"/>
      <c r="X336" s="781"/>
      <c r="Y336" s="781"/>
      <c r="Z336" s="781"/>
      <c r="AA336" s="781"/>
      <c r="AB336" s="781"/>
      <c r="AC336" s="781"/>
      <c r="AD336" s="781"/>
      <c r="AE336" s="781"/>
      <c r="AF336" s="781"/>
      <c r="AG336" s="781"/>
      <c r="AH336" s="781"/>
      <c r="AI336" s="781"/>
      <c r="AJ336" s="781"/>
      <c r="AK336" s="781"/>
      <c r="AL336" s="781"/>
      <c r="AM336" s="781"/>
      <c r="AN336" s="781"/>
      <c r="AO336" s="781"/>
      <c r="AP336" s="781"/>
      <c r="AQ336" s="781"/>
      <c r="AR336" s="781"/>
      <c r="AS336" s="781"/>
      <c r="AT336" s="781"/>
      <c r="AU336" s="781"/>
    </row>
    <row r="337" ht="15.75" customHeight="1">
      <c r="A337" s="786">
        <v>44316.0</v>
      </c>
      <c r="B337" s="787" t="s">
        <v>6384</v>
      </c>
      <c r="C337" s="788" t="s">
        <v>3820</v>
      </c>
      <c r="D337" s="772" t="s">
        <v>6346</v>
      </c>
      <c r="E337" s="784">
        <v>5000.0</v>
      </c>
      <c r="F337" s="772" t="s">
        <v>5098</v>
      </c>
      <c r="G337" s="772" t="s">
        <v>105</v>
      </c>
      <c r="H337" s="772" t="s">
        <v>29</v>
      </c>
      <c r="I337" s="772" t="s">
        <v>4486</v>
      </c>
      <c r="J337" s="782">
        <v>44180.0</v>
      </c>
      <c r="K337" s="789" t="s">
        <v>3828</v>
      </c>
      <c r="L337" s="781"/>
      <c r="M337" s="781"/>
      <c r="N337" s="781"/>
      <c r="O337" s="781"/>
      <c r="P337" s="781"/>
      <c r="Q337" s="781"/>
      <c r="R337" s="781"/>
      <c r="S337" s="781"/>
      <c r="T337" s="781"/>
      <c r="U337" s="781"/>
      <c r="V337" s="781"/>
      <c r="W337" s="781"/>
      <c r="X337" s="781"/>
      <c r="Y337" s="781"/>
      <c r="Z337" s="781"/>
      <c r="AA337" s="781"/>
      <c r="AB337" s="781"/>
      <c r="AC337" s="781"/>
      <c r="AD337" s="781"/>
      <c r="AE337" s="781"/>
      <c r="AF337" s="781"/>
      <c r="AG337" s="781"/>
      <c r="AH337" s="781"/>
      <c r="AI337" s="781"/>
      <c r="AJ337" s="781"/>
      <c r="AK337" s="781"/>
      <c r="AL337" s="781"/>
      <c r="AM337" s="781"/>
      <c r="AN337" s="781"/>
      <c r="AO337" s="781"/>
      <c r="AP337" s="781"/>
      <c r="AQ337" s="781"/>
      <c r="AR337" s="781"/>
      <c r="AS337" s="781"/>
      <c r="AT337" s="781"/>
      <c r="AU337" s="781"/>
    </row>
    <row r="338" ht="15.75" customHeight="1">
      <c r="A338" s="782">
        <v>44319.0</v>
      </c>
      <c r="B338" s="783" t="s">
        <v>6391</v>
      </c>
      <c r="C338" s="772" t="s">
        <v>3820</v>
      </c>
      <c r="D338" s="772" t="s">
        <v>6345</v>
      </c>
      <c r="E338" s="784">
        <v>0.0</v>
      </c>
      <c r="F338" s="772" t="s">
        <v>4764</v>
      </c>
      <c r="G338" s="772" t="s">
        <v>105</v>
      </c>
      <c r="H338" s="772" t="s">
        <v>1818</v>
      </c>
      <c r="I338" s="772" t="s">
        <v>6260</v>
      </c>
      <c r="J338" s="782">
        <v>44246.0</v>
      </c>
      <c r="K338" s="789" t="s">
        <v>3824</v>
      </c>
      <c r="L338" s="781"/>
      <c r="M338" s="781"/>
      <c r="N338" s="781"/>
      <c r="O338" s="781"/>
      <c r="P338" s="781"/>
      <c r="Q338" s="781"/>
      <c r="R338" s="781"/>
      <c r="S338" s="781"/>
      <c r="T338" s="781"/>
      <c r="U338" s="781"/>
      <c r="V338" s="781"/>
      <c r="W338" s="781"/>
      <c r="X338" s="781"/>
      <c r="Y338" s="781"/>
      <c r="Z338" s="781"/>
      <c r="AA338" s="781"/>
      <c r="AB338" s="781"/>
      <c r="AC338" s="781"/>
      <c r="AD338" s="781"/>
      <c r="AE338" s="781"/>
      <c r="AF338" s="781"/>
      <c r="AG338" s="781"/>
      <c r="AH338" s="781"/>
      <c r="AI338" s="781"/>
      <c r="AJ338" s="781"/>
      <c r="AK338" s="781"/>
      <c r="AL338" s="781"/>
      <c r="AM338" s="781"/>
      <c r="AN338" s="781"/>
      <c r="AO338" s="781"/>
      <c r="AP338" s="781"/>
      <c r="AQ338" s="781"/>
      <c r="AR338" s="781"/>
      <c r="AS338" s="781"/>
      <c r="AT338" s="781"/>
      <c r="AU338" s="781"/>
    </row>
    <row r="339" ht="15.75" customHeight="1">
      <c r="A339" s="786">
        <v>44319.0</v>
      </c>
      <c r="B339" s="787" t="s">
        <v>3041</v>
      </c>
      <c r="C339" s="788" t="s">
        <v>2547</v>
      </c>
      <c r="D339" s="772" t="s">
        <v>6346</v>
      </c>
      <c r="E339" s="784">
        <v>150895.05</v>
      </c>
      <c r="F339" s="772" t="s">
        <v>3040</v>
      </c>
      <c r="G339" s="782" t="s">
        <v>2550</v>
      </c>
      <c r="H339" s="782" t="s">
        <v>29</v>
      </c>
      <c r="I339" s="782" t="s">
        <v>2551</v>
      </c>
      <c r="J339" s="782">
        <v>43605.0</v>
      </c>
      <c r="K339" s="785" t="s">
        <v>3836</v>
      </c>
      <c r="L339" s="781"/>
      <c r="M339" s="781"/>
      <c r="N339" s="781"/>
      <c r="O339" s="781"/>
      <c r="P339" s="781"/>
      <c r="Q339" s="781"/>
      <c r="R339" s="781"/>
      <c r="S339" s="781"/>
      <c r="T339" s="781"/>
      <c r="U339" s="781"/>
      <c r="V339" s="781"/>
      <c r="W339" s="781"/>
      <c r="X339" s="781"/>
      <c r="Y339" s="781"/>
      <c r="Z339" s="781"/>
      <c r="AA339" s="781"/>
      <c r="AB339" s="781"/>
      <c r="AC339" s="781"/>
      <c r="AD339" s="781"/>
      <c r="AE339" s="781"/>
      <c r="AF339" s="781"/>
      <c r="AG339" s="781"/>
      <c r="AH339" s="781"/>
      <c r="AI339" s="781"/>
      <c r="AJ339" s="781"/>
      <c r="AK339" s="781"/>
      <c r="AL339" s="781"/>
      <c r="AM339" s="781"/>
      <c r="AN339" s="781"/>
      <c r="AO339" s="781"/>
      <c r="AP339" s="781"/>
      <c r="AQ339" s="781"/>
      <c r="AR339" s="781"/>
      <c r="AS339" s="781"/>
      <c r="AT339" s="781"/>
      <c r="AU339" s="781"/>
    </row>
    <row r="340" ht="15.75" customHeight="1">
      <c r="A340" s="786">
        <v>44319.0</v>
      </c>
      <c r="B340" s="787" t="s">
        <v>6391</v>
      </c>
      <c r="C340" s="788" t="s">
        <v>3820</v>
      </c>
      <c r="D340" s="772" t="s">
        <v>1481</v>
      </c>
      <c r="E340" s="784">
        <v>263682.77</v>
      </c>
      <c r="F340" s="772" t="s">
        <v>4764</v>
      </c>
      <c r="G340" s="772" t="s">
        <v>105</v>
      </c>
      <c r="H340" s="772" t="s">
        <v>1818</v>
      </c>
      <c r="I340" s="772" t="s">
        <v>6260</v>
      </c>
      <c r="J340" s="782">
        <v>44246.0</v>
      </c>
      <c r="K340" s="789" t="s">
        <v>3824</v>
      </c>
      <c r="L340" s="781"/>
      <c r="M340" s="781"/>
      <c r="N340" s="781"/>
      <c r="O340" s="781"/>
      <c r="P340" s="781"/>
      <c r="Q340" s="781"/>
      <c r="R340" s="781"/>
      <c r="S340" s="781"/>
      <c r="T340" s="781"/>
      <c r="U340" s="781"/>
      <c r="V340" s="781"/>
      <c r="W340" s="781"/>
      <c r="X340" s="781"/>
      <c r="Y340" s="781"/>
      <c r="Z340" s="781"/>
      <c r="AA340" s="781"/>
      <c r="AB340" s="781"/>
      <c r="AC340" s="781"/>
      <c r="AD340" s="781"/>
      <c r="AE340" s="781"/>
      <c r="AF340" s="781"/>
      <c r="AG340" s="781"/>
      <c r="AH340" s="781"/>
      <c r="AI340" s="781"/>
      <c r="AJ340" s="781"/>
      <c r="AK340" s="781"/>
      <c r="AL340" s="781"/>
      <c r="AM340" s="781"/>
      <c r="AN340" s="781"/>
      <c r="AO340" s="781"/>
      <c r="AP340" s="781"/>
      <c r="AQ340" s="781"/>
      <c r="AR340" s="781"/>
      <c r="AS340" s="781"/>
      <c r="AT340" s="781"/>
      <c r="AU340" s="781"/>
    </row>
    <row r="341" ht="15.75" customHeight="1">
      <c r="A341" s="786">
        <v>44320.0</v>
      </c>
      <c r="B341" s="787" t="s">
        <v>3056</v>
      </c>
      <c r="C341" s="788" t="s">
        <v>2547</v>
      </c>
      <c r="D341" s="772" t="s">
        <v>6346</v>
      </c>
      <c r="E341" s="784">
        <v>54000.0</v>
      </c>
      <c r="F341" s="772" t="s">
        <v>3055</v>
      </c>
      <c r="G341" s="782" t="s">
        <v>2550</v>
      </c>
      <c r="H341" s="782" t="s">
        <v>29</v>
      </c>
      <c r="I341" s="782" t="s">
        <v>2562</v>
      </c>
      <c r="J341" s="782">
        <v>43559.0</v>
      </c>
      <c r="K341" s="785" t="s">
        <v>4206</v>
      </c>
      <c r="L341" s="781"/>
      <c r="M341" s="781"/>
      <c r="N341" s="781"/>
      <c r="O341" s="781"/>
      <c r="P341" s="781"/>
      <c r="Q341" s="781"/>
      <c r="R341" s="781"/>
      <c r="S341" s="781"/>
      <c r="T341" s="781"/>
      <c r="U341" s="781"/>
      <c r="V341" s="781"/>
      <c r="W341" s="781"/>
      <c r="X341" s="781"/>
      <c r="Y341" s="781"/>
      <c r="Z341" s="781"/>
      <c r="AA341" s="781"/>
      <c r="AB341" s="781"/>
      <c r="AC341" s="781"/>
      <c r="AD341" s="781"/>
      <c r="AE341" s="781"/>
      <c r="AF341" s="781"/>
      <c r="AG341" s="781"/>
      <c r="AH341" s="781"/>
      <c r="AI341" s="781"/>
      <c r="AJ341" s="781"/>
      <c r="AK341" s="781"/>
      <c r="AL341" s="781"/>
      <c r="AM341" s="781"/>
      <c r="AN341" s="781"/>
      <c r="AO341" s="781"/>
      <c r="AP341" s="781"/>
      <c r="AQ341" s="781"/>
      <c r="AR341" s="781"/>
      <c r="AS341" s="781"/>
      <c r="AT341" s="781"/>
      <c r="AU341" s="781"/>
    </row>
    <row r="342" ht="15.75" customHeight="1">
      <c r="A342" s="786">
        <v>44321.0</v>
      </c>
      <c r="B342" s="787" t="s">
        <v>6392</v>
      </c>
      <c r="C342" s="788" t="s">
        <v>3820</v>
      </c>
      <c r="D342" s="772" t="s">
        <v>1481</v>
      </c>
      <c r="E342" s="784">
        <v>10000.0</v>
      </c>
      <c r="F342" s="772" t="s">
        <v>4040</v>
      </c>
      <c r="G342" s="772" t="s">
        <v>105</v>
      </c>
      <c r="H342" s="772" t="s">
        <v>29</v>
      </c>
      <c r="I342" s="772" t="s">
        <v>3660</v>
      </c>
      <c r="J342" s="782">
        <v>44228.0</v>
      </c>
      <c r="K342" s="789" t="s">
        <v>3824</v>
      </c>
      <c r="L342" s="781"/>
      <c r="M342" s="781"/>
      <c r="N342" s="781"/>
      <c r="O342" s="781"/>
      <c r="P342" s="781"/>
      <c r="Q342" s="781"/>
      <c r="R342" s="781"/>
      <c r="S342" s="781"/>
      <c r="T342" s="781"/>
      <c r="U342" s="781"/>
      <c r="V342" s="781"/>
      <c r="W342" s="781"/>
      <c r="X342" s="781"/>
      <c r="Y342" s="781"/>
      <c r="Z342" s="781"/>
      <c r="AA342" s="781"/>
      <c r="AB342" s="781"/>
      <c r="AC342" s="781"/>
      <c r="AD342" s="781"/>
      <c r="AE342" s="781"/>
      <c r="AF342" s="781"/>
      <c r="AG342" s="781"/>
      <c r="AH342" s="781"/>
      <c r="AI342" s="781"/>
      <c r="AJ342" s="781"/>
      <c r="AK342" s="781"/>
      <c r="AL342" s="781"/>
      <c r="AM342" s="781"/>
      <c r="AN342" s="781"/>
      <c r="AO342" s="781"/>
      <c r="AP342" s="781"/>
      <c r="AQ342" s="781"/>
      <c r="AR342" s="781"/>
      <c r="AS342" s="781"/>
      <c r="AT342" s="781"/>
      <c r="AU342" s="781"/>
    </row>
    <row r="343" ht="15.75" customHeight="1">
      <c r="A343" s="786">
        <v>44321.0</v>
      </c>
      <c r="B343" s="787" t="s">
        <v>3412</v>
      </c>
      <c r="C343" s="788" t="s">
        <v>2547</v>
      </c>
      <c r="D343" s="772" t="s">
        <v>6346</v>
      </c>
      <c r="E343" s="784">
        <v>18500.0</v>
      </c>
      <c r="F343" s="772" t="s">
        <v>3411</v>
      </c>
      <c r="G343" s="782" t="s">
        <v>18</v>
      </c>
      <c r="H343" s="782" t="s">
        <v>176</v>
      </c>
      <c r="I343" s="782" t="s">
        <v>197</v>
      </c>
      <c r="J343" s="782">
        <v>44279.0</v>
      </c>
      <c r="K343" s="785" t="s">
        <v>3828</v>
      </c>
      <c r="L343" s="781"/>
      <c r="M343" s="781"/>
      <c r="N343" s="781"/>
      <c r="O343" s="781"/>
      <c r="P343" s="781"/>
      <c r="Q343" s="781"/>
      <c r="R343" s="781"/>
      <c r="S343" s="781"/>
      <c r="T343" s="781"/>
      <c r="U343" s="781"/>
      <c r="V343" s="781"/>
      <c r="W343" s="781"/>
      <c r="X343" s="781"/>
      <c r="Y343" s="781"/>
      <c r="Z343" s="781"/>
      <c r="AA343" s="781"/>
      <c r="AB343" s="781"/>
      <c r="AC343" s="781"/>
      <c r="AD343" s="781"/>
      <c r="AE343" s="781"/>
      <c r="AF343" s="781"/>
      <c r="AG343" s="781"/>
      <c r="AH343" s="781"/>
      <c r="AI343" s="781"/>
      <c r="AJ343" s="781"/>
      <c r="AK343" s="781"/>
      <c r="AL343" s="781"/>
      <c r="AM343" s="781"/>
      <c r="AN343" s="781"/>
      <c r="AO343" s="781"/>
      <c r="AP343" s="781"/>
      <c r="AQ343" s="781"/>
      <c r="AR343" s="781"/>
      <c r="AS343" s="781"/>
      <c r="AT343" s="781"/>
      <c r="AU343" s="781"/>
    </row>
    <row r="344" ht="15.75" customHeight="1">
      <c r="A344" s="782">
        <v>44322.0</v>
      </c>
      <c r="B344" s="806" t="s">
        <v>3453</v>
      </c>
      <c r="C344" s="772" t="s">
        <v>2547</v>
      </c>
      <c r="D344" s="772" t="s">
        <v>6345</v>
      </c>
      <c r="E344" s="784">
        <v>19321.39</v>
      </c>
      <c r="F344" s="772" t="s">
        <v>6380</v>
      </c>
      <c r="G344" s="782" t="s">
        <v>18</v>
      </c>
      <c r="H344" s="782" t="s">
        <v>176</v>
      </c>
      <c r="I344" s="782" t="s">
        <v>177</v>
      </c>
      <c r="J344" s="782">
        <v>44278.0</v>
      </c>
      <c r="K344" s="785" t="s">
        <v>3828</v>
      </c>
      <c r="L344" s="781"/>
      <c r="M344" s="781"/>
      <c r="N344" s="781"/>
      <c r="O344" s="781"/>
      <c r="P344" s="781"/>
      <c r="Q344" s="781"/>
      <c r="R344" s="781"/>
      <c r="S344" s="781"/>
      <c r="T344" s="781"/>
      <c r="U344" s="781"/>
      <c r="V344" s="781"/>
      <c r="W344" s="781"/>
      <c r="X344" s="781"/>
      <c r="Y344" s="781"/>
      <c r="Z344" s="781"/>
      <c r="AA344" s="781"/>
      <c r="AB344" s="781"/>
      <c r="AC344" s="781"/>
      <c r="AD344" s="781"/>
      <c r="AE344" s="781"/>
      <c r="AF344" s="781"/>
      <c r="AG344" s="781"/>
      <c r="AH344" s="781"/>
      <c r="AI344" s="781"/>
      <c r="AJ344" s="781"/>
      <c r="AK344" s="781"/>
      <c r="AL344" s="781"/>
      <c r="AM344" s="781"/>
      <c r="AN344" s="781"/>
      <c r="AO344" s="781"/>
      <c r="AP344" s="781"/>
      <c r="AQ344" s="781"/>
      <c r="AR344" s="781"/>
      <c r="AS344" s="781"/>
      <c r="AT344" s="781"/>
      <c r="AU344" s="781"/>
    </row>
    <row r="345" ht="15.75" customHeight="1">
      <c r="A345" s="786">
        <v>44322.0</v>
      </c>
      <c r="B345" s="787" t="s">
        <v>2982</v>
      </c>
      <c r="C345" s="788" t="s">
        <v>2547</v>
      </c>
      <c r="D345" s="772" t="s">
        <v>6346</v>
      </c>
      <c r="E345" s="784">
        <v>103664.69</v>
      </c>
      <c r="F345" s="772" t="s">
        <v>2981</v>
      </c>
      <c r="G345" s="782" t="s">
        <v>2550</v>
      </c>
      <c r="H345" s="782" t="s">
        <v>29</v>
      </c>
      <c r="I345" s="782" t="s">
        <v>2551</v>
      </c>
      <c r="J345" s="782">
        <v>43703.0</v>
      </c>
      <c r="K345" s="785" t="s">
        <v>4206</v>
      </c>
      <c r="L345" s="781"/>
      <c r="M345" s="781"/>
      <c r="N345" s="781"/>
      <c r="O345" s="781"/>
      <c r="P345" s="781"/>
      <c r="Q345" s="781"/>
      <c r="R345" s="781"/>
      <c r="S345" s="781"/>
      <c r="T345" s="781"/>
      <c r="U345" s="781"/>
      <c r="V345" s="781"/>
      <c r="W345" s="781"/>
      <c r="X345" s="781"/>
      <c r="Y345" s="781"/>
      <c r="Z345" s="781"/>
      <c r="AA345" s="781"/>
      <c r="AB345" s="781"/>
      <c r="AC345" s="781"/>
      <c r="AD345" s="781"/>
      <c r="AE345" s="781"/>
      <c r="AF345" s="781"/>
      <c r="AG345" s="781"/>
      <c r="AH345" s="781"/>
      <c r="AI345" s="781"/>
      <c r="AJ345" s="781"/>
      <c r="AK345" s="781"/>
      <c r="AL345" s="781"/>
      <c r="AM345" s="781"/>
      <c r="AN345" s="781"/>
      <c r="AO345" s="781"/>
      <c r="AP345" s="781"/>
      <c r="AQ345" s="781"/>
      <c r="AR345" s="781"/>
      <c r="AS345" s="781"/>
      <c r="AT345" s="781"/>
      <c r="AU345" s="781"/>
    </row>
    <row r="346" ht="15.75" customHeight="1">
      <c r="A346" s="786">
        <v>44326.0</v>
      </c>
      <c r="B346" s="787" t="s">
        <v>3269</v>
      </c>
      <c r="C346" s="788" t="s">
        <v>2547</v>
      </c>
      <c r="D346" s="772" t="s">
        <v>6346</v>
      </c>
      <c r="E346" s="784">
        <v>11000.0</v>
      </c>
      <c r="F346" s="772" t="s">
        <v>3268</v>
      </c>
      <c r="G346" s="782" t="s">
        <v>2550</v>
      </c>
      <c r="H346" s="782" t="s">
        <v>29</v>
      </c>
      <c r="I346" s="782" t="s">
        <v>2551</v>
      </c>
      <c r="J346" s="782">
        <v>43873.0</v>
      </c>
      <c r="K346" s="785" t="s">
        <v>3828</v>
      </c>
      <c r="L346" s="781"/>
      <c r="M346" s="781"/>
      <c r="N346" s="781"/>
      <c r="O346" s="781"/>
      <c r="P346" s="781"/>
      <c r="Q346" s="781"/>
      <c r="R346" s="781"/>
      <c r="S346" s="781"/>
      <c r="T346" s="781"/>
      <c r="U346" s="781"/>
      <c r="V346" s="781"/>
      <c r="W346" s="781"/>
      <c r="X346" s="781"/>
      <c r="Y346" s="781"/>
      <c r="Z346" s="781"/>
      <c r="AA346" s="781"/>
      <c r="AB346" s="781"/>
      <c r="AC346" s="781"/>
      <c r="AD346" s="781"/>
      <c r="AE346" s="781"/>
      <c r="AF346" s="781"/>
      <c r="AG346" s="781"/>
      <c r="AH346" s="781"/>
      <c r="AI346" s="781"/>
      <c r="AJ346" s="781"/>
      <c r="AK346" s="781"/>
      <c r="AL346" s="781"/>
      <c r="AM346" s="781"/>
      <c r="AN346" s="781"/>
      <c r="AO346" s="781"/>
      <c r="AP346" s="781"/>
      <c r="AQ346" s="781"/>
      <c r="AR346" s="781"/>
      <c r="AS346" s="781"/>
      <c r="AT346" s="781"/>
      <c r="AU346" s="781"/>
    </row>
    <row r="347" ht="15.75" customHeight="1">
      <c r="A347" s="786">
        <v>44327.0</v>
      </c>
      <c r="B347" s="783" t="s">
        <v>3329</v>
      </c>
      <c r="C347" s="772" t="s">
        <v>2547</v>
      </c>
      <c r="D347" s="772" t="s">
        <v>6345</v>
      </c>
      <c r="E347" s="784">
        <v>797.3</v>
      </c>
      <c r="F347" s="772" t="s">
        <v>3328</v>
      </c>
      <c r="G347" s="782" t="s">
        <v>2550</v>
      </c>
      <c r="H347" s="782" t="s">
        <v>29</v>
      </c>
      <c r="I347" s="782" t="s">
        <v>2551</v>
      </c>
      <c r="J347" s="782">
        <v>43710.0</v>
      </c>
      <c r="K347" s="785" t="s">
        <v>4206</v>
      </c>
      <c r="L347" s="781"/>
      <c r="M347" s="781"/>
      <c r="N347" s="781"/>
      <c r="O347" s="781"/>
      <c r="P347" s="781"/>
      <c r="Q347" s="781"/>
      <c r="R347" s="781"/>
      <c r="S347" s="781"/>
      <c r="T347" s="781"/>
      <c r="U347" s="781"/>
      <c r="V347" s="781"/>
      <c r="W347" s="781"/>
      <c r="X347" s="781"/>
      <c r="Y347" s="781"/>
      <c r="Z347" s="781"/>
      <c r="AA347" s="781"/>
      <c r="AB347" s="781"/>
      <c r="AC347" s="781"/>
      <c r="AD347" s="781"/>
      <c r="AE347" s="781"/>
      <c r="AF347" s="781"/>
      <c r="AG347" s="781"/>
      <c r="AH347" s="781"/>
      <c r="AI347" s="781"/>
      <c r="AJ347" s="781"/>
      <c r="AK347" s="781"/>
      <c r="AL347" s="781"/>
      <c r="AM347" s="781"/>
      <c r="AN347" s="781"/>
      <c r="AO347" s="781"/>
      <c r="AP347" s="781"/>
      <c r="AQ347" s="781"/>
      <c r="AR347" s="781"/>
      <c r="AS347" s="781"/>
      <c r="AT347" s="781"/>
      <c r="AU347" s="781"/>
    </row>
    <row r="348" ht="15.75" customHeight="1">
      <c r="A348" s="786">
        <v>44327.0</v>
      </c>
      <c r="B348" s="787" t="s">
        <v>3147</v>
      </c>
      <c r="C348" s="788" t="s">
        <v>2547</v>
      </c>
      <c r="D348" s="772" t="s">
        <v>1481</v>
      </c>
      <c r="E348" s="799">
        <v>151479.55</v>
      </c>
      <c r="F348" s="772" t="s">
        <v>3146</v>
      </c>
      <c r="G348" s="782" t="s">
        <v>2550</v>
      </c>
      <c r="H348" s="782" t="s">
        <v>29</v>
      </c>
      <c r="I348" s="782" t="s">
        <v>2551</v>
      </c>
      <c r="J348" s="782">
        <v>43732.0</v>
      </c>
      <c r="K348" s="785" t="s">
        <v>4206</v>
      </c>
      <c r="L348" s="781"/>
      <c r="M348" s="781"/>
      <c r="N348" s="781"/>
      <c r="O348" s="781"/>
      <c r="P348" s="781"/>
      <c r="Q348" s="781"/>
      <c r="R348" s="781"/>
      <c r="S348" s="781"/>
      <c r="T348" s="781"/>
      <c r="U348" s="781"/>
      <c r="V348" s="781"/>
      <c r="W348" s="781"/>
      <c r="X348" s="781"/>
      <c r="Y348" s="781"/>
      <c r="Z348" s="781"/>
      <c r="AA348" s="781"/>
      <c r="AB348" s="781"/>
      <c r="AC348" s="781"/>
      <c r="AD348" s="781"/>
      <c r="AE348" s="781"/>
      <c r="AF348" s="781"/>
      <c r="AG348" s="781"/>
      <c r="AH348" s="781"/>
      <c r="AI348" s="781"/>
      <c r="AJ348" s="781"/>
      <c r="AK348" s="781"/>
      <c r="AL348" s="781"/>
      <c r="AM348" s="781"/>
      <c r="AN348" s="781"/>
      <c r="AO348" s="781"/>
      <c r="AP348" s="781"/>
      <c r="AQ348" s="781"/>
      <c r="AR348" s="781"/>
      <c r="AS348" s="781"/>
      <c r="AT348" s="781"/>
      <c r="AU348" s="781"/>
    </row>
    <row r="349" ht="15.75" customHeight="1">
      <c r="A349" s="786">
        <v>44327.0</v>
      </c>
      <c r="B349" s="787" t="s">
        <v>2588</v>
      </c>
      <c r="C349" s="788" t="s">
        <v>2547</v>
      </c>
      <c r="D349" s="772" t="s">
        <v>1481</v>
      </c>
      <c r="E349" s="784">
        <v>405479.42</v>
      </c>
      <c r="F349" s="772" t="s">
        <v>2587</v>
      </c>
      <c r="G349" s="782" t="s">
        <v>2550</v>
      </c>
      <c r="H349" s="782" t="s">
        <v>29</v>
      </c>
      <c r="I349" s="782" t="s">
        <v>2551</v>
      </c>
      <c r="J349" s="782">
        <v>43684.0</v>
      </c>
      <c r="K349" s="785" t="s">
        <v>4206</v>
      </c>
      <c r="L349" s="781"/>
      <c r="M349" s="781"/>
      <c r="N349" s="781"/>
      <c r="O349" s="781"/>
      <c r="P349" s="781"/>
      <c r="Q349" s="781"/>
      <c r="R349" s="781"/>
      <c r="S349" s="781"/>
      <c r="T349" s="781"/>
      <c r="U349" s="781"/>
      <c r="V349" s="781"/>
      <c r="W349" s="781"/>
      <c r="X349" s="781"/>
      <c r="Y349" s="781"/>
      <c r="Z349" s="781"/>
      <c r="AA349" s="781"/>
      <c r="AB349" s="781"/>
      <c r="AC349" s="781"/>
      <c r="AD349" s="781"/>
      <c r="AE349" s="781"/>
      <c r="AF349" s="781"/>
      <c r="AG349" s="781"/>
      <c r="AH349" s="781"/>
      <c r="AI349" s="781"/>
      <c r="AJ349" s="781"/>
      <c r="AK349" s="781"/>
      <c r="AL349" s="781"/>
      <c r="AM349" s="781"/>
      <c r="AN349" s="781"/>
      <c r="AO349" s="781"/>
      <c r="AP349" s="781"/>
      <c r="AQ349" s="781"/>
      <c r="AR349" s="781"/>
      <c r="AS349" s="781"/>
      <c r="AT349" s="781"/>
      <c r="AU349" s="781"/>
    </row>
    <row r="350" ht="15.75" customHeight="1">
      <c r="A350" s="786">
        <v>44327.0</v>
      </c>
      <c r="B350" s="787" t="s">
        <v>3083</v>
      </c>
      <c r="C350" s="788" t="s">
        <v>2547</v>
      </c>
      <c r="D350" s="772" t="s">
        <v>6346</v>
      </c>
      <c r="E350" s="784">
        <v>70000.0</v>
      </c>
      <c r="F350" s="772" t="s">
        <v>3082</v>
      </c>
      <c r="G350" s="782" t="s">
        <v>18</v>
      </c>
      <c r="H350" s="782" t="s">
        <v>176</v>
      </c>
      <c r="I350" s="782" t="s">
        <v>197</v>
      </c>
      <c r="J350" s="782">
        <v>44278.0</v>
      </c>
      <c r="K350" s="785" t="s">
        <v>3824</v>
      </c>
      <c r="L350" s="781"/>
      <c r="M350" s="781"/>
      <c r="N350" s="781"/>
      <c r="O350" s="781"/>
      <c r="P350" s="781"/>
      <c r="Q350" s="781"/>
      <c r="R350" s="781"/>
      <c r="S350" s="781"/>
      <c r="T350" s="781"/>
      <c r="U350" s="781"/>
      <c r="V350" s="781"/>
      <c r="W350" s="781"/>
      <c r="X350" s="781"/>
      <c r="Y350" s="781"/>
      <c r="Z350" s="781"/>
      <c r="AA350" s="781"/>
      <c r="AB350" s="781"/>
      <c r="AC350" s="781"/>
      <c r="AD350" s="781"/>
      <c r="AE350" s="781"/>
      <c r="AF350" s="781"/>
      <c r="AG350" s="781"/>
      <c r="AH350" s="781"/>
      <c r="AI350" s="781"/>
      <c r="AJ350" s="781"/>
      <c r="AK350" s="781"/>
      <c r="AL350" s="781"/>
      <c r="AM350" s="781"/>
      <c r="AN350" s="781"/>
      <c r="AO350" s="781"/>
      <c r="AP350" s="781"/>
      <c r="AQ350" s="781"/>
      <c r="AR350" s="781"/>
      <c r="AS350" s="781"/>
      <c r="AT350" s="781"/>
      <c r="AU350" s="781"/>
    </row>
    <row r="351" ht="15.75" customHeight="1">
      <c r="A351" s="786">
        <v>44327.0</v>
      </c>
      <c r="B351" s="787" t="s">
        <v>3269</v>
      </c>
      <c r="C351" s="788" t="s">
        <v>2547</v>
      </c>
      <c r="D351" s="772" t="s">
        <v>6346</v>
      </c>
      <c r="E351" s="784">
        <v>15000.0</v>
      </c>
      <c r="F351" s="772" t="s">
        <v>3268</v>
      </c>
      <c r="G351" s="782" t="s">
        <v>2550</v>
      </c>
      <c r="H351" s="782" t="s">
        <v>29</v>
      </c>
      <c r="I351" s="782" t="s">
        <v>2551</v>
      </c>
      <c r="J351" s="782">
        <v>43873.0</v>
      </c>
      <c r="K351" s="785" t="s">
        <v>3828</v>
      </c>
      <c r="L351" s="781"/>
      <c r="M351" s="781"/>
      <c r="N351" s="781"/>
      <c r="O351" s="781"/>
      <c r="P351" s="781"/>
      <c r="Q351" s="781"/>
      <c r="R351" s="781"/>
      <c r="S351" s="781"/>
      <c r="T351" s="781"/>
      <c r="U351" s="781"/>
      <c r="V351" s="781"/>
      <c r="W351" s="781"/>
      <c r="X351" s="781"/>
      <c r="Y351" s="781"/>
      <c r="Z351" s="781"/>
      <c r="AA351" s="781"/>
      <c r="AB351" s="781"/>
      <c r="AC351" s="781"/>
      <c r="AD351" s="781"/>
      <c r="AE351" s="781"/>
      <c r="AF351" s="781"/>
      <c r="AG351" s="781"/>
      <c r="AH351" s="781"/>
      <c r="AI351" s="781"/>
      <c r="AJ351" s="781"/>
      <c r="AK351" s="781"/>
      <c r="AL351" s="781"/>
      <c r="AM351" s="781"/>
      <c r="AN351" s="781"/>
      <c r="AO351" s="781"/>
      <c r="AP351" s="781"/>
      <c r="AQ351" s="781"/>
      <c r="AR351" s="781"/>
      <c r="AS351" s="781"/>
      <c r="AT351" s="781"/>
      <c r="AU351" s="781"/>
    </row>
    <row r="352" ht="15.75" customHeight="1">
      <c r="A352" s="782">
        <v>44329.0</v>
      </c>
      <c r="B352" s="783" t="s">
        <v>3496</v>
      </c>
      <c r="C352" s="772" t="s">
        <v>2547</v>
      </c>
      <c r="D352" s="772" t="s">
        <v>6345</v>
      </c>
      <c r="E352" s="784">
        <v>13320.06</v>
      </c>
      <c r="F352" s="772" t="s">
        <v>3495</v>
      </c>
      <c r="G352" s="782" t="s">
        <v>2550</v>
      </c>
      <c r="H352" s="782" t="s">
        <v>29</v>
      </c>
      <c r="I352" s="782" t="s">
        <v>2551</v>
      </c>
      <c r="J352" s="782">
        <v>44041.0</v>
      </c>
      <c r="K352" s="785" t="s">
        <v>3828</v>
      </c>
      <c r="L352" s="781"/>
      <c r="M352" s="781"/>
      <c r="N352" s="781"/>
      <c r="O352" s="781"/>
      <c r="P352" s="781"/>
      <c r="Q352" s="781"/>
      <c r="R352" s="781"/>
      <c r="S352" s="781"/>
      <c r="T352" s="781"/>
      <c r="U352" s="781"/>
      <c r="V352" s="781"/>
      <c r="W352" s="781"/>
      <c r="X352" s="781"/>
      <c r="Y352" s="781"/>
      <c r="Z352" s="781"/>
      <c r="AA352" s="781"/>
      <c r="AB352" s="781"/>
      <c r="AC352" s="781"/>
      <c r="AD352" s="781"/>
      <c r="AE352" s="781"/>
      <c r="AF352" s="781"/>
      <c r="AG352" s="781"/>
      <c r="AH352" s="781"/>
      <c r="AI352" s="781"/>
      <c r="AJ352" s="781"/>
      <c r="AK352" s="781"/>
      <c r="AL352" s="781"/>
      <c r="AM352" s="781"/>
      <c r="AN352" s="781"/>
      <c r="AO352" s="781"/>
      <c r="AP352" s="781"/>
      <c r="AQ352" s="781"/>
      <c r="AR352" s="781"/>
      <c r="AS352" s="781"/>
      <c r="AT352" s="781"/>
      <c r="AU352" s="781"/>
    </row>
    <row r="353" ht="15.75" customHeight="1">
      <c r="A353" s="786">
        <v>44329.0</v>
      </c>
      <c r="B353" s="787" t="s">
        <v>2982</v>
      </c>
      <c r="C353" s="788" t="s">
        <v>2547</v>
      </c>
      <c r="D353" s="772" t="s">
        <v>6346</v>
      </c>
      <c r="E353" s="784">
        <v>15000.0</v>
      </c>
      <c r="F353" s="772" t="s">
        <v>2981</v>
      </c>
      <c r="G353" s="782" t="s">
        <v>2550</v>
      </c>
      <c r="H353" s="782" t="s">
        <v>29</v>
      </c>
      <c r="I353" s="782" t="s">
        <v>2551</v>
      </c>
      <c r="J353" s="782">
        <v>43703.0</v>
      </c>
      <c r="K353" s="785" t="s">
        <v>4206</v>
      </c>
      <c r="L353" s="781"/>
      <c r="M353" s="781"/>
      <c r="N353" s="781"/>
      <c r="O353" s="781"/>
      <c r="P353" s="781"/>
      <c r="Q353" s="781"/>
      <c r="R353" s="781"/>
      <c r="S353" s="781"/>
      <c r="T353" s="781"/>
      <c r="U353" s="781"/>
      <c r="V353" s="781"/>
      <c r="W353" s="781"/>
      <c r="X353" s="781"/>
      <c r="Y353" s="781"/>
      <c r="Z353" s="781"/>
      <c r="AA353" s="781"/>
      <c r="AB353" s="781"/>
      <c r="AC353" s="781"/>
      <c r="AD353" s="781"/>
      <c r="AE353" s="781"/>
      <c r="AF353" s="781"/>
      <c r="AG353" s="781"/>
      <c r="AH353" s="781"/>
      <c r="AI353" s="781"/>
      <c r="AJ353" s="781"/>
      <c r="AK353" s="781"/>
      <c r="AL353" s="781"/>
      <c r="AM353" s="781"/>
      <c r="AN353" s="781"/>
      <c r="AO353" s="781"/>
      <c r="AP353" s="781"/>
      <c r="AQ353" s="781"/>
      <c r="AR353" s="781"/>
      <c r="AS353" s="781"/>
      <c r="AT353" s="781"/>
      <c r="AU353" s="781"/>
    </row>
    <row r="354" ht="15.75" customHeight="1">
      <c r="A354" s="786">
        <v>44329.0</v>
      </c>
      <c r="B354" s="787" t="s">
        <v>2813</v>
      </c>
      <c r="C354" s="788" t="s">
        <v>2547</v>
      </c>
      <c r="D354" s="772" t="s">
        <v>1481</v>
      </c>
      <c r="E354" s="784">
        <v>107481.43</v>
      </c>
      <c r="F354" s="772" t="s">
        <v>2812</v>
      </c>
      <c r="G354" s="782" t="s">
        <v>2550</v>
      </c>
      <c r="H354" s="782" t="s">
        <v>29</v>
      </c>
      <c r="I354" s="782" t="s">
        <v>2550</v>
      </c>
      <c r="J354" s="782">
        <v>44118.0</v>
      </c>
      <c r="K354" s="785" t="s">
        <v>3828</v>
      </c>
      <c r="L354" s="781"/>
      <c r="M354" s="781"/>
      <c r="N354" s="781"/>
      <c r="O354" s="781"/>
      <c r="P354" s="781"/>
      <c r="Q354" s="781"/>
      <c r="R354" s="781"/>
      <c r="S354" s="781"/>
      <c r="T354" s="781"/>
      <c r="U354" s="781"/>
      <c r="V354" s="781"/>
      <c r="W354" s="781"/>
      <c r="X354" s="781"/>
      <c r="Y354" s="781"/>
      <c r="Z354" s="781"/>
      <c r="AA354" s="781"/>
      <c r="AB354" s="781"/>
      <c r="AC354" s="781"/>
      <c r="AD354" s="781"/>
      <c r="AE354" s="781"/>
      <c r="AF354" s="781"/>
      <c r="AG354" s="781"/>
      <c r="AH354" s="781"/>
      <c r="AI354" s="781"/>
      <c r="AJ354" s="781"/>
      <c r="AK354" s="781"/>
      <c r="AL354" s="781"/>
      <c r="AM354" s="781"/>
      <c r="AN354" s="781"/>
      <c r="AO354" s="781"/>
      <c r="AP354" s="781"/>
      <c r="AQ354" s="781"/>
      <c r="AR354" s="781"/>
      <c r="AS354" s="781"/>
      <c r="AT354" s="781"/>
      <c r="AU354" s="781"/>
    </row>
    <row r="355" ht="15.75" customHeight="1">
      <c r="A355" s="786">
        <v>44329.0</v>
      </c>
      <c r="B355" s="787" t="s">
        <v>2809</v>
      </c>
      <c r="C355" s="788" t="s">
        <v>2547</v>
      </c>
      <c r="D355" s="772" t="s">
        <v>1481</v>
      </c>
      <c r="E355" s="784">
        <v>89000.0</v>
      </c>
      <c r="F355" s="772" t="s">
        <v>2808</v>
      </c>
      <c r="G355" s="782" t="s">
        <v>2550</v>
      </c>
      <c r="H355" s="782" t="s">
        <v>29</v>
      </c>
      <c r="I355" s="782" t="s">
        <v>2550</v>
      </c>
      <c r="J355" s="782">
        <v>44124.0</v>
      </c>
      <c r="K355" s="785" t="s">
        <v>3828</v>
      </c>
      <c r="L355" s="781"/>
      <c r="M355" s="781"/>
      <c r="N355" s="781"/>
      <c r="O355" s="781"/>
      <c r="P355" s="781"/>
      <c r="Q355" s="781"/>
      <c r="R355" s="781"/>
      <c r="S355" s="781"/>
      <c r="T355" s="781"/>
      <c r="U355" s="781"/>
      <c r="V355" s="781"/>
      <c r="W355" s="781"/>
      <c r="X355" s="781"/>
      <c r="Y355" s="781"/>
      <c r="Z355" s="781"/>
      <c r="AA355" s="781"/>
      <c r="AB355" s="781"/>
      <c r="AC355" s="781"/>
      <c r="AD355" s="781"/>
      <c r="AE355" s="781"/>
      <c r="AF355" s="781"/>
      <c r="AG355" s="781"/>
      <c r="AH355" s="781"/>
      <c r="AI355" s="781"/>
      <c r="AJ355" s="781"/>
      <c r="AK355" s="781"/>
      <c r="AL355" s="781"/>
      <c r="AM355" s="781"/>
      <c r="AN355" s="781"/>
      <c r="AO355" s="781"/>
      <c r="AP355" s="781"/>
      <c r="AQ355" s="781"/>
      <c r="AR355" s="781"/>
      <c r="AS355" s="781"/>
      <c r="AT355" s="781"/>
      <c r="AU355" s="781"/>
    </row>
    <row r="356" ht="15.75" customHeight="1">
      <c r="A356" s="786">
        <v>44330.0</v>
      </c>
      <c r="B356" s="787" t="s">
        <v>3396</v>
      </c>
      <c r="C356" s="788" t="s">
        <v>2547</v>
      </c>
      <c r="D356" s="772" t="s">
        <v>6346</v>
      </c>
      <c r="E356" s="784">
        <v>140003.78</v>
      </c>
      <c r="F356" s="772" t="s">
        <v>2019</v>
      </c>
      <c r="G356" s="782" t="s">
        <v>18</v>
      </c>
      <c r="H356" s="782" t="s">
        <v>176</v>
      </c>
      <c r="I356" s="782" t="s">
        <v>177</v>
      </c>
      <c r="J356" s="782">
        <v>44280.0</v>
      </c>
      <c r="K356" s="785" t="s">
        <v>3828</v>
      </c>
      <c r="L356" s="781"/>
      <c r="M356" s="781"/>
      <c r="N356" s="781"/>
      <c r="O356" s="781"/>
      <c r="P356" s="781"/>
      <c r="Q356" s="781"/>
      <c r="R356" s="781"/>
      <c r="S356" s="781"/>
      <c r="T356" s="781"/>
      <c r="U356" s="781"/>
      <c r="V356" s="781"/>
      <c r="W356" s="781"/>
      <c r="X356" s="781"/>
      <c r="Y356" s="781"/>
      <c r="Z356" s="781"/>
      <c r="AA356" s="781"/>
      <c r="AB356" s="781"/>
      <c r="AC356" s="781"/>
      <c r="AD356" s="781"/>
      <c r="AE356" s="781"/>
      <c r="AF356" s="781"/>
      <c r="AG356" s="781"/>
      <c r="AH356" s="781"/>
      <c r="AI356" s="781"/>
      <c r="AJ356" s="781"/>
      <c r="AK356" s="781"/>
      <c r="AL356" s="781"/>
      <c r="AM356" s="781"/>
      <c r="AN356" s="781"/>
      <c r="AO356" s="781"/>
      <c r="AP356" s="781"/>
      <c r="AQ356" s="781"/>
      <c r="AR356" s="781"/>
      <c r="AS356" s="781"/>
      <c r="AT356" s="781"/>
      <c r="AU356" s="781"/>
    </row>
    <row r="357" ht="15.75" customHeight="1">
      <c r="A357" s="786">
        <v>44333.0</v>
      </c>
      <c r="B357" s="787" t="s">
        <v>6393</v>
      </c>
      <c r="C357" s="788" t="s">
        <v>3820</v>
      </c>
      <c r="D357" s="772" t="s">
        <v>6346</v>
      </c>
      <c r="E357" s="784">
        <v>200000.0</v>
      </c>
      <c r="F357" s="772" t="s">
        <v>3828</v>
      </c>
      <c r="G357" s="772" t="s">
        <v>105</v>
      </c>
      <c r="H357" s="772" t="s">
        <v>29</v>
      </c>
      <c r="I357" s="772" t="s">
        <v>3660</v>
      </c>
      <c r="J357" s="782">
        <v>44160.0</v>
      </c>
      <c r="K357" s="789" t="s">
        <v>3828</v>
      </c>
      <c r="L357" s="781"/>
      <c r="M357" s="781"/>
      <c r="N357" s="781"/>
      <c r="O357" s="781"/>
      <c r="P357" s="781"/>
      <c r="Q357" s="781"/>
      <c r="R357" s="781"/>
      <c r="S357" s="781"/>
      <c r="T357" s="781"/>
      <c r="U357" s="781"/>
      <c r="V357" s="781"/>
      <c r="W357" s="781"/>
      <c r="X357" s="781"/>
      <c r="Y357" s="781"/>
      <c r="Z357" s="781"/>
      <c r="AA357" s="781"/>
      <c r="AB357" s="781"/>
      <c r="AC357" s="781"/>
      <c r="AD357" s="781"/>
      <c r="AE357" s="781"/>
      <c r="AF357" s="781"/>
      <c r="AG357" s="781"/>
      <c r="AH357" s="781"/>
      <c r="AI357" s="781"/>
      <c r="AJ357" s="781"/>
      <c r="AK357" s="781"/>
      <c r="AL357" s="781"/>
      <c r="AM357" s="781"/>
      <c r="AN357" s="781"/>
      <c r="AO357" s="781"/>
      <c r="AP357" s="781"/>
      <c r="AQ357" s="781"/>
      <c r="AR357" s="781"/>
      <c r="AS357" s="781"/>
      <c r="AT357" s="781"/>
      <c r="AU357" s="781"/>
    </row>
    <row r="358" ht="15.75" customHeight="1">
      <c r="A358" s="782">
        <v>44335.0</v>
      </c>
      <c r="B358" s="783" t="s">
        <v>6394</v>
      </c>
      <c r="C358" s="772" t="s">
        <v>3820</v>
      </c>
      <c r="D358" s="772" t="s">
        <v>6345</v>
      </c>
      <c r="E358" s="784">
        <v>0.0</v>
      </c>
      <c r="F358" s="772" t="s">
        <v>4602</v>
      </c>
      <c r="G358" s="772" t="s">
        <v>18</v>
      </c>
      <c r="H358" s="772" t="s">
        <v>29</v>
      </c>
      <c r="I358" s="772" t="s">
        <v>373</v>
      </c>
      <c r="J358" s="782">
        <v>43880.0</v>
      </c>
      <c r="K358" s="789" t="s">
        <v>3840</v>
      </c>
      <c r="L358" s="781"/>
      <c r="M358" s="781"/>
      <c r="N358" s="781"/>
      <c r="O358" s="781"/>
      <c r="P358" s="781"/>
      <c r="Q358" s="781"/>
      <c r="R358" s="781"/>
      <c r="S358" s="781"/>
      <c r="T358" s="781"/>
      <c r="U358" s="781"/>
      <c r="V358" s="781"/>
      <c r="W358" s="781"/>
      <c r="X358" s="781"/>
      <c r="Y358" s="781"/>
      <c r="Z358" s="781"/>
      <c r="AA358" s="781"/>
      <c r="AB358" s="781"/>
      <c r="AC358" s="781"/>
      <c r="AD358" s="781"/>
      <c r="AE358" s="781"/>
      <c r="AF358" s="781"/>
      <c r="AG358" s="781"/>
      <c r="AH358" s="781"/>
      <c r="AI358" s="781"/>
      <c r="AJ358" s="781"/>
      <c r="AK358" s="781"/>
      <c r="AL358" s="781"/>
      <c r="AM358" s="781"/>
      <c r="AN358" s="781"/>
      <c r="AO358" s="781"/>
      <c r="AP358" s="781"/>
      <c r="AQ358" s="781"/>
      <c r="AR358" s="781"/>
      <c r="AS358" s="781"/>
      <c r="AT358" s="781"/>
      <c r="AU358" s="781"/>
    </row>
    <row r="359" ht="15.75" customHeight="1">
      <c r="A359" s="786">
        <v>44336.0</v>
      </c>
      <c r="B359" s="787" t="s">
        <v>2902</v>
      </c>
      <c r="C359" s="788" t="s">
        <v>2547</v>
      </c>
      <c r="D359" s="772" t="s">
        <v>6346</v>
      </c>
      <c r="E359" s="784">
        <v>44600.0</v>
      </c>
      <c r="F359" s="772" t="s">
        <v>2901</v>
      </c>
      <c r="G359" s="782" t="s">
        <v>18</v>
      </c>
      <c r="H359" s="782" t="s">
        <v>176</v>
      </c>
      <c r="I359" s="782" t="s">
        <v>197</v>
      </c>
      <c r="J359" s="782">
        <v>44298.0</v>
      </c>
      <c r="K359" s="785" t="s">
        <v>3828</v>
      </c>
      <c r="L359" s="781"/>
      <c r="M359" s="781"/>
      <c r="N359" s="781"/>
      <c r="O359" s="781"/>
      <c r="P359" s="781"/>
      <c r="Q359" s="781"/>
      <c r="R359" s="781"/>
      <c r="S359" s="781"/>
      <c r="T359" s="781"/>
      <c r="U359" s="781"/>
      <c r="V359" s="781"/>
      <c r="W359" s="781"/>
      <c r="X359" s="781"/>
      <c r="Y359" s="781"/>
      <c r="Z359" s="781"/>
      <c r="AA359" s="781"/>
      <c r="AB359" s="781"/>
      <c r="AC359" s="781"/>
      <c r="AD359" s="781"/>
      <c r="AE359" s="781"/>
      <c r="AF359" s="781"/>
      <c r="AG359" s="781"/>
      <c r="AH359" s="781"/>
      <c r="AI359" s="781"/>
      <c r="AJ359" s="781"/>
      <c r="AK359" s="781"/>
      <c r="AL359" s="781"/>
      <c r="AM359" s="781"/>
      <c r="AN359" s="781"/>
      <c r="AO359" s="781"/>
      <c r="AP359" s="781"/>
      <c r="AQ359" s="781"/>
      <c r="AR359" s="781"/>
      <c r="AS359" s="781"/>
      <c r="AT359" s="781"/>
      <c r="AU359" s="781"/>
    </row>
    <row r="360" ht="15.75" customHeight="1">
      <c r="A360" s="786">
        <v>44337.0</v>
      </c>
      <c r="B360" s="787" t="s">
        <v>3260</v>
      </c>
      <c r="C360" s="788" t="s">
        <v>2547</v>
      </c>
      <c r="D360" s="772" t="s">
        <v>6346</v>
      </c>
      <c r="E360" s="784">
        <v>54600.0</v>
      </c>
      <c r="F360" s="772" t="s">
        <v>1696</v>
      </c>
      <c r="G360" s="782" t="s">
        <v>18</v>
      </c>
      <c r="H360" s="782" t="s">
        <v>176</v>
      </c>
      <c r="I360" s="782" t="s">
        <v>197</v>
      </c>
      <c r="J360" s="782">
        <v>44287.0</v>
      </c>
      <c r="K360" s="785" t="s">
        <v>3836</v>
      </c>
      <c r="L360" s="781"/>
      <c r="M360" s="781"/>
      <c r="N360" s="781"/>
      <c r="O360" s="781"/>
      <c r="P360" s="781"/>
      <c r="Q360" s="781"/>
      <c r="R360" s="781"/>
      <c r="S360" s="781"/>
      <c r="T360" s="781"/>
      <c r="U360" s="781"/>
      <c r="V360" s="781"/>
      <c r="W360" s="781"/>
      <c r="X360" s="781"/>
      <c r="Y360" s="781"/>
      <c r="Z360" s="781"/>
      <c r="AA360" s="781"/>
      <c r="AB360" s="781"/>
      <c r="AC360" s="781"/>
      <c r="AD360" s="781"/>
      <c r="AE360" s="781"/>
      <c r="AF360" s="781"/>
      <c r="AG360" s="781"/>
      <c r="AH360" s="781"/>
      <c r="AI360" s="781"/>
      <c r="AJ360" s="781"/>
      <c r="AK360" s="781"/>
      <c r="AL360" s="781"/>
      <c r="AM360" s="781"/>
      <c r="AN360" s="781"/>
      <c r="AO360" s="781"/>
      <c r="AP360" s="781"/>
      <c r="AQ360" s="781"/>
      <c r="AR360" s="781"/>
      <c r="AS360" s="781"/>
      <c r="AT360" s="781"/>
      <c r="AU360" s="781"/>
    </row>
    <row r="361" ht="15.75" customHeight="1">
      <c r="A361" s="786">
        <v>44337.0</v>
      </c>
      <c r="B361" s="787" t="s">
        <v>2730</v>
      </c>
      <c r="C361" s="788" t="s">
        <v>2547</v>
      </c>
      <c r="D361" s="772" t="s">
        <v>6346</v>
      </c>
      <c r="E361" s="784">
        <v>11500.0</v>
      </c>
      <c r="F361" s="772" t="s">
        <v>474</v>
      </c>
      <c r="G361" s="782" t="s">
        <v>18</v>
      </c>
      <c r="H361" s="782" t="s">
        <v>176</v>
      </c>
      <c r="I361" s="782" t="s">
        <v>197</v>
      </c>
      <c r="J361" s="782">
        <v>44333.0</v>
      </c>
      <c r="K361" s="785" t="s">
        <v>3836</v>
      </c>
      <c r="L361" s="781"/>
      <c r="M361" s="781"/>
      <c r="N361" s="781"/>
      <c r="O361" s="781"/>
      <c r="P361" s="781"/>
      <c r="Q361" s="781"/>
      <c r="R361" s="781"/>
      <c r="S361" s="781"/>
      <c r="T361" s="781"/>
      <c r="U361" s="781"/>
      <c r="V361" s="781"/>
      <c r="W361" s="781"/>
      <c r="X361" s="781"/>
      <c r="Y361" s="781"/>
      <c r="Z361" s="781"/>
      <c r="AA361" s="781"/>
      <c r="AB361" s="781"/>
      <c r="AC361" s="781"/>
      <c r="AD361" s="781"/>
      <c r="AE361" s="781"/>
      <c r="AF361" s="781"/>
      <c r="AG361" s="781"/>
      <c r="AH361" s="781"/>
      <c r="AI361" s="781"/>
      <c r="AJ361" s="781"/>
      <c r="AK361" s="781"/>
      <c r="AL361" s="781"/>
      <c r="AM361" s="781"/>
      <c r="AN361" s="781"/>
      <c r="AO361" s="781"/>
      <c r="AP361" s="781"/>
      <c r="AQ361" s="781"/>
      <c r="AR361" s="781"/>
      <c r="AS361" s="781"/>
      <c r="AT361" s="781"/>
      <c r="AU361" s="781"/>
    </row>
    <row r="362" ht="15.75" customHeight="1">
      <c r="A362" s="786">
        <v>44340.0</v>
      </c>
      <c r="B362" s="787" t="s">
        <v>3104</v>
      </c>
      <c r="C362" s="788" t="s">
        <v>2547</v>
      </c>
      <c r="D362" s="772" t="s">
        <v>6346</v>
      </c>
      <c r="E362" s="784">
        <v>98710.87</v>
      </c>
      <c r="F362" s="772" t="s">
        <v>3103</v>
      </c>
      <c r="G362" s="782" t="s">
        <v>2550</v>
      </c>
      <c r="H362" s="782" t="s">
        <v>29</v>
      </c>
      <c r="I362" s="782" t="s">
        <v>2551</v>
      </c>
      <c r="J362" s="782">
        <v>43711.0</v>
      </c>
      <c r="K362" s="785" t="s">
        <v>4206</v>
      </c>
      <c r="L362" s="781"/>
      <c r="M362" s="781"/>
      <c r="N362" s="781"/>
      <c r="O362" s="781"/>
      <c r="P362" s="781"/>
      <c r="Q362" s="781"/>
      <c r="R362" s="781"/>
      <c r="S362" s="781"/>
      <c r="T362" s="781"/>
      <c r="U362" s="781"/>
      <c r="V362" s="781"/>
      <c r="W362" s="781"/>
      <c r="X362" s="781"/>
      <c r="Y362" s="781"/>
      <c r="Z362" s="781"/>
      <c r="AA362" s="781"/>
      <c r="AB362" s="781"/>
      <c r="AC362" s="781"/>
      <c r="AD362" s="781"/>
      <c r="AE362" s="781"/>
      <c r="AF362" s="781"/>
      <c r="AG362" s="781"/>
      <c r="AH362" s="781"/>
      <c r="AI362" s="781"/>
      <c r="AJ362" s="781"/>
      <c r="AK362" s="781"/>
      <c r="AL362" s="781"/>
      <c r="AM362" s="781"/>
      <c r="AN362" s="781"/>
      <c r="AO362" s="781"/>
      <c r="AP362" s="781"/>
      <c r="AQ362" s="781"/>
      <c r="AR362" s="781"/>
      <c r="AS362" s="781"/>
      <c r="AT362" s="781"/>
      <c r="AU362" s="781"/>
    </row>
    <row r="363" ht="15.75" customHeight="1">
      <c r="A363" s="786">
        <v>44340.0</v>
      </c>
      <c r="B363" s="787" t="s">
        <v>6366</v>
      </c>
      <c r="C363" s="788" t="s">
        <v>3820</v>
      </c>
      <c r="D363" s="772" t="s">
        <v>6346</v>
      </c>
      <c r="E363" s="784">
        <v>10000.0</v>
      </c>
      <c r="F363" s="772" t="s">
        <v>4627</v>
      </c>
      <c r="G363" s="772" t="s">
        <v>2550</v>
      </c>
      <c r="H363" s="772" t="s">
        <v>29</v>
      </c>
      <c r="I363" s="772" t="s">
        <v>2550</v>
      </c>
      <c r="J363" s="807">
        <v>43717.0</v>
      </c>
      <c r="K363" s="789" t="s">
        <v>4206</v>
      </c>
      <c r="L363" s="781"/>
      <c r="M363" s="781"/>
      <c r="N363" s="781"/>
      <c r="O363" s="781"/>
      <c r="P363" s="781"/>
      <c r="Q363" s="781"/>
      <c r="R363" s="781"/>
      <c r="S363" s="781"/>
      <c r="T363" s="781"/>
      <c r="U363" s="781"/>
      <c r="V363" s="781"/>
      <c r="W363" s="781"/>
      <c r="X363" s="781"/>
      <c r="Y363" s="781"/>
      <c r="Z363" s="781"/>
      <c r="AA363" s="781"/>
      <c r="AB363" s="781"/>
      <c r="AC363" s="781"/>
      <c r="AD363" s="781"/>
      <c r="AE363" s="781"/>
      <c r="AF363" s="781"/>
      <c r="AG363" s="781"/>
      <c r="AH363" s="781"/>
      <c r="AI363" s="781"/>
      <c r="AJ363" s="781"/>
      <c r="AK363" s="781"/>
      <c r="AL363" s="781"/>
      <c r="AM363" s="781"/>
      <c r="AN363" s="781"/>
      <c r="AO363" s="781"/>
      <c r="AP363" s="781"/>
      <c r="AQ363" s="781"/>
      <c r="AR363" s="781"/>
      <c r="AS363" s="781"/>
      <c r="AT363" s="781"/>
      <c r="AU363" s="781"/>
    </row>
    <row r="364" ht="15.75" customHeight="1">
      <c r="A364" s="786">
        <v>44340.0</v>
      </c>
      <c r="B364" s="787" t="s">
        <v>3104</v>
      </c>
      <c r="C364" s="788" t="s">
        <v>2547</v>
      </c>
      <c r="D364" s="772" t="s">
        <v>1481</v>
      </c>
      <c r="E364" s="784">
        <v>1330000.0</v>
      </c>
      <c r="F364" s="772" t="s">
        <v>3103</v>
      </c>
      <c r="G364" s="782" t="s">
        <v>2550</v>
      </c>
      <c r="H364" s="782" t="s">
        <v>29</v>
      </c>
      <c r="I364" s="782" t="s">
        <v>2551</v>
      </c>
      <c r="J364" s="782">
        <v>43711.0</v>
      </c>
      <c r="K364" s="785" t="s">
        <v>4206</v>
      </c>
      <c r="L364" s="781"/>
      <c r="M364" s="781"/>
      <c r="N364" s="781"/>
      <c r="O364" s="781"/>
      <c r="P364" s="781"/>
      <c r="Q364" s="781"/>
      <c r="R364" s="781"/>
      <c r="S364" s="781"/>
      <c r="T364" s="781"/>
      <c r="U364" s="781"/>
      <c r="V364" s="781"/>
      <c r="W364" s="781"/>
      <c r="X364" s="781"/>
      <c r="Y364" s="781"/>
      <c r="Z364" s="781"/>
      <c r="AA364" s="781"/>
      <c r="AB364" s="781"/>
      <c r="AC364" s="781"/>
      <c r="AD364" s="781"/>
      <c r="AE364" s="781"/>
      <c r="AF364" s="781"/>
      <c r="AG364" s="781"/>
      <c r="AH364" s="781"/>
      <c r="AI364" s="781"/>
      <c r="AJ364" s="781"/>
      <c r="AK364" s="781"/>
      <c r="AL364" s="781"/>
      <c r="AM364" s="781"/>
      <c r="AN364" s="781"/>
      <c r="AO364" s="781"/>
      <c r="AP364" s="781"/>
      <c r="AQ364" s="781"/>
      <c r="AR364" s="781"/>
      <c r="AS364" s="781"/>
      <c r="AT364" s="781"/>
      <c r="AU364" s="781"/>
    </row>
    <row r="365" ht="15.75" customHeight="1">
      <c r="A365" s="786">
        <v>44341.0</v>
      </c>
      <c r="B365" s="787" t="s">
        <v>6395</v>
      </c>
      <c r="C365" s="788" t="s">
        <v>3820</v>
      </c>
      <c r="D365" s="772" t="s">
        <v>6346</v>
      </c>
      <c r="E365" s="784">
        <v>15000.0</v>
      </c>
      <c r="F365" s="772" t="s">
        <v>5271</v>
      </c>
      <c r="G365" s="772" t="s">
        <v>18</v>
      </c>
      <c r="H365" s="772" t="s">
        <v>19</v>
      </c>
      <c r="I365" s="772" t="s">
        <v>256</v>
      </c>
      <c r="J365" s="782">
        <v>44291.0</v>
      </c>
      <c r="K365" s="789" t="s">
        <v>3840</v>
      </c>
      <c r="L365" s="781"/>
      <c r="M365" s="781"/>
      <c r="N365" s="781"/>
      <c r="O365" s="781"/>
      <c r="P365" s="781"/>
      <c r="Q365" s="781"/>
      <c r="R365" s="781"/>
      <c r="S365" s="781"/>
      <c r="T365" s="781"/>
      <c r="U365" s="781"/>
      <c r="V365" s="781"/>
      <c r="W365" s="781"/>
      <c r="X365" s="781"/>
      <c r="Y365" s="781"/>
      <c r="Z365" s="781"/>
      <c r="AA365" s="781"/>
      <c r="AB365" s="781"/>
      <c r="AC365" s="781"/>
      <c r="AD365" s="781"/>
      <c r="AE365" s="781"/>
      <c r="AF365" s="781"/>
      <c r="AG365" s="781"/>
      <c r="AH365" s="781"/>
      <c r="AI365" s="781"/>
      <c r="AJ365" s="781"/>
      <c r="AK365" s="781"/>
      <c r="AL365" s="781"/>
      <c r="AM365" s="781"/>
      <c r="AN365" s="781"/>
      <c r="AO365" s="781"/>
      <c r="AP365" s="781"/>
      <c r="AQ365" s="781"/>
      <c r="AR365" s="781"/>
      <c r="AS365" s="781"/>
      <c r="AT365" s="781"/>
      <c r="AU365" s="781"/>
    </row>
    <row r="366" ht="15.75" customHeight="1">
      <c r="A366" s="786">
        <v>44341.0</v>
      </c>
      <c r="B366" s="787" t="s">
        <v>3412</v>
      </c>
      <c r="C366" s="788" t="s">
        <v>2547</v>
      </c>
      <c r="D366" s="772" t="s">
        <v>6346</v>
      </c>
      <c r="E366" s="784">
        <v>10000.0</v>
      </c>
      <c r="F366" s="772" t="s">
        <v>3411</v>
      </c>
      <c r="G366" s="782" t="s">
        <v>18</v>
      </c>
      <c r="H366" s="782" t="s">
        <v>176</v>
      </c>
      <c r="I366" s="782" t="s">
        <v>197</v>
      </c>
      <c r="J366" s="782">
        <v>44279.0</v>
      </c>
      <c r="K366" s="785" t="s">
        <v>3828</v>
      </c>
      <c r="L366" s="781"/>
      <c r="M366" s="781"/>
      <c r="N366" s="781"/>
      <c r="O366" s="781"/>
      <c r="P366" s="781"/>
      <c r="Q366" s="781"/>
      <c r="R366" s="781"/>
      <c r="S366" s="781"/>
      <c r="T366" s="781"/>
      <c r="U366" s="781"/>
      <c r="V366" s="781"/>
      <c r="W366" s="781"/>
      <c r="X366" s="781"/>
      <c r="Y366" s="781"/>
      <c r="Z366" s="781"/>
      <c r="AA366" s="781"/>
      <c r="AB366" s="781"/>
      <c r="AC366" s="781"/>
      <c r="AD366" s="781"/>
      <c r="AE366" s="781"/>
      <c r="AF366" s="781"/>
      <c r="AG366" s="781"/>
      <c r="AH366" s="781"/>
      <c r="AI366" s="781"/>
      <c r="AJ366" s="781"/>
      <c r="AK366" s="781"/>
      <c r="AL366" s="781"/>
      <c r="AM366" s="781"/>
      <c r="AN366" s="781"/>
      <c r="AO366" s="781"/>
      <c r="AP366" s="781"/>
      <c r="AQ366" s="781"/>
      <c r="AR366" s="781"/>
      <c r="AS366" s="781"/>
      <c r="AT366" s="781"/>
      <c r="AU366" s="781"/>
    </row>
    <row r="367" ht="15.75" customHeight="1">
      <c r="A367" s="786">
        <v>44341.0</v>
      </c>
      <c r="B367" s="787" t="s">
        <v>3117</v>
      </c>
      <c r="C367" s="788" t="s">
        <v>2547</v>
      </c>
      <c r="D367" s="772" t="s">
        <v>6346</v>
      </c>
      <c r="E367" s="784">
        <v>7000.0</v>
      </c>
      <c r="F367" s="772" t="s">
        <v>3116</v>
      </c>
      <c r="G367" s="782" t="s">
        <v>18</v>
      </c>
      <c r="H367" s="782" t="s">
        <v>176</v>
      </c>
      <c r="I367" s="782" t="s">
        <v>197</v>
      </c>
      <c r="J367" s="782">
        <v>44280.0</v>
      </c>
      <c r="K367" s="785" t="s">
        <v>3828</v>
      </c>
      <c r="L367" s="781"/>
      <c r="M367" s="781"/>
      <c r="N367" s="781"/>
      <c r="O367" s="781"/>
      <c r="P367" s="781"/>
      <c r="Q367" s="781"/>
      <c r="R367" s="781"/>
      <c r="S367" s="781"/>
      <c r="T367" s="781"/>
      <c r="U367" s="781"/>
      <c r="V367" s="781"/>
      <c r="W367" s="781"/>
      <c r="X367" s="781"/>
      <c r="Y367" s="781"/>
      <c r="Z367" s="781"/>
      <c r="AA367" s="781"/>
      <c r="AB367" s="781"/>
      <c r="AC367" s="781"/>
      <c r="AD367" s="781"/>
      <c r="AE367" s="781"/>
      <c r="AF367" s="781"/>
      <c r="AG367" s="781"/>
      <c r="AH367" s="781"/>
      <c r="AI367" s="781"/>
      <c r="AJ367" s="781"/>
      <c r="AK367" s="781"/>
      <c r="AL367" s="781"/>
      <c r="AM367" s="781"/>
      <c r="AN367" s="781"/>
      <c r="AO367" s="781"/>
      <c r="AP367" s="781"/>
      <c r="AQ367" s="781"/>
      <c r="AR367" s="781"/>
      <c r="AS367" s="781"/>
      <c r="AT367" s="781"/>
      <c r="AU367" s="781"/>
    </row>
    <row r="368" ht="15.75" customHeight="1">
      <c r="A368" s="786">
        <v>44341.0</v>
      </c>
      <c r="B368" s="787" t="s">
        <v>2666</v>
      </c>
      <c r="C368" s="788" t="s">
        <v>2547</v>
      </c>
      <c r="D368" s="772" t="s">
        <v>6346</v>
      </c>
      <c r="E368" s="784">
        <v>15000.0</v>
      </c>
      <c r="F368" s="772" t="s">
        <v>2665</v>
      </c>
      <c r="G368" s="782" t="s">
        <v>18</v>
      </c>
      <c r="H368" s="782" t="s">
        <v>176</v>
      </c>
      <c r="I368" s="782" t="s">
        <v>197</v>
      </c>
      <c r="J368" s="782">
        <v>44295.0</v>
      </c>
      <c r="K368" s="785" t="s">
        <v>3824</v>
      </c>
      <c r="L368" s="781"/>
      <c r="M368" s="781"/>
      <c r="N368" s="781"/>
      <c r="O368" s="781"/>
      <c r="P368" s="781"/>
      <c r="Q368" s="781"/>
      <c r="R368" s="781"/>
      <c r="S368" s="781"/>
      <c r="T368" s="781"/>
      <c r="U368" s="781"/>
      <c r="V368" s="781"/>
      <c r="W368" s="781"/>
      <c r="X368" s="781"/>
      <c r="Y368" s="781"/>
      <c r="Z368" s="781"/>
      <c r="AA368" s="781"/>
      <c r="AB368" s="781"/>
      <c r="AC368" s="781"/>
      <c r="AD368" s="781"/>
      <c r="AE368" s="781"/>
      <c r="AF368" s="781"/>
      <c r="AG368" s="781"/>
      <c r="AH368" s="781"/>
      <c r="AI368" s="781"/>
      <c r="AJ368" s="781"/>
      <c r="AK368" s="781"/>
      <c r="AL368" s="781"/>
      <c r="AM368" s="781"/>
      <c r="AN368" s="781"/>
      <c r="AO368" s="781"/>
      <c r="AP368" s="781"/>
      <c r="AQ368" s="781"/>
      <c r="AR368" s="781"/>
      <c r="AS368" s="781"/>
      <c r="AT368" s="781"/>
      <c r="AU368" s="781"/>
    </row>
    <row r="369" ht="15.75" customHeight="1">
      <c r="A369" s="786">
        <v>44341.0</v>
      </c>
      <c r="B369" s="787" t="s">
        <v>3041</v>
      </c>
      <c r="C369" s="788" t="s">
        <v>2547</v>
      </c>
      <c r="D369" s="772" t="s">
        <v>6346</v>
      </c>
      <c r="E369" s="784">
        <v>10000.0</v>
      </c>
      <c r="F369" s="772" t="s">
        <v>3040</v>
      </c>
      <c r="G369" s="782" t="s">
        <v>2550</v>
      </c>
      <c r="H369" s="782" t="s">
        <v>29</v>
      </c>
      <c r="I369" s="782" t="s">
        <v>2551</v>
      </c>
      <c r="J369" s="782">
        <v>43605.0</v>
      </c>
      <c r="K369" s="785" t="s">
        <v>3836</v>
      </c>
      <c r="L369" s="781"/>
      <c r="M369" s="781"/>
      <c r="N369" s="781"/>
      <c r="O369" s="781"/>
      <c r="P369" s="781"/>
      <c r="Q369" s="781"/>
      <c r="R369" s="781"/>
      <c r="S369" s="781"/>
      <c r="T369" s="781"/>
      <c r="U369" s="781"/>
      <c r="V369" s="781"/>
      <c r="W369" s="781"/>
      <c r="X369" s="781"/>
      <c r="Y369" s="781"/>
      <c r="Z369" s="781"/>
      <c r="AA369" s="781"/>
      <c r="AB369" s="781"/>
      <c r="AC369" s="781"/>
      <c r="AD369" s="781"/>
      <c r="AE369" s="781"/>
      <c r="AF369" s="781"/>
      <c r="AG369" s="781"/>
      <c r="AH369" s="781"/>
      <c r="AI369" s="781"/>
      <c r="AJ369" s="781"/>
      <c r="AK369" s="781"/>
      <c r="AL369" s="781"/>
      <c r="AM369" s="781"/>
      <c r="AN369" s="781"/>
      <c r="AO369" s="781"/>
      <c r="AP369" s="781"/>
      <c r="AQ369" s="781"/>
      <c r="AR369" s="781"/>
      <c r="AS369" s="781"/>
      <c r="AT369" s="781"/>
      <c r="AU369" s="781"/>
    </row>
    <row r="370" ht="15.75" customHeight="1">
      <c r="A370" s="786">
        <v>44342.0</v>
      </c>
      <c r="B370" s="787" t="s">
        <v>3056</v>
      </c>
      <c r="C370" s="788" t="s">
        <v>2547</v>
      </c>
      <c r="D370" s="772" t="s">
        <v>1481</v>
      </c>
      <c r="E370" s="784">
        <v>4300.0</v>
      </c>
      <c r="F370" s="772" t="s">
        <v>3055</v>
      </c>
      <c r="G370" s="782" t="s">
        <v>2550</v>
      </c>
      <c r="H370" s="782" t="s">
        <v>29</v>
      </c>
      <c r="I370" s="782" t="s">
        <v>2562</v>
      </c>
      <c r="J370" s="782">
        <v>43559.0</v>
      </c>
      <c r="K370" s="785" t="s">
        <v>4206</v>
      </c>
      <c r="L370" s="781"/>
      <c r="M370" s="781"/>
      <c r="N370" s="781"/>
      <c r="O370" s="781"/>
      <c r="P370" s="781"/>
      <c r="Q370" s="781"/>
      <c r="R370" s="781"/>
      <c r="S370" s="781"/>
      <c r="T370" s="781"/>
      <c r="U370" s="781"/>
      <c r="V370" s="781"/>
      <c r="W370" s="781"/>
      <c r="X370" s="781"/>
      <c r="Y370" s="781"/>
      <c r="Z370" s="781"/>
      <c r="AA370" s="781"/>
      <c r="AB370" s="781"/>
      <c r="AC370" s="781"/>
      <c r="AD370" s="781"/>
      <c r="AE370" s="781"/>
      <c r="AF370" s="781"/>
      <c r="AG370" s="781"/>
      <c r="AH370" s="781"/>
      <c r="AI370" s="781"/>
      <c r="AJ370" s="781"/>
      <c r="AK370" s="781"/>
      <c r="AL370" s="781"/>
      <c r="AM370" s="781"/>
      <c r="AN370" s="781"/>
      <c r="AO370" s="781"/>
      <c r="AP370" s="781"/>
      <c r="AQ370" s="781"/>
      <c r="AR370" s="781"/>
      <c r="AS370" s="781"/>
      <c r="AT370" s="781"/>
      <c r="AU370" s="781"/>
    </row>
    <row r="371" ht="15.75" customHeight="1">
      <c r="A371" s="786">
        <v>44342.0</v>
      </c>
      <c r="B371" s="787" t="s">
        <v>3216</v>
      </c>
      <c r="C371" s="788" t="s">
        <v>2547</v>
      </c>
      <c r="D371" s="772" t="s">
        <v>6346</v>
      </c>
      <c r="E371" s="784">
        <v>50000.0</v>
      </c>
      <c r="F371" s="772" t="s">
        <v>3215</v>
      </c>
      <c r="G371" s="782" t="s">
        <v>18</v>
      </c>
      <c r="H371" s="782" t="s">
        <v>176</v>
      </c>
      <c r="I371" s="782" t="s">
        <v>197</v>
      </c>
      <c r="J371" s="782">
        <v>44322.0</v>
      </c>
      <c r="K371" s="785" t="s">
        <v>3828</v>
      </c>
      <c r="L371" s="781"/>
      <c r="M371" s="781"/>
      <c r="N371" s="781"/>
      <c r="O371" s="781"/>
      <c r="P371" s="781"/>
      <c r="Q371" s="781"/>
      <c r="R371" s="781"/>
      <c r="S371" s="781"/>
      <c r="T371" s="781"/>
      <c r="U371" s="781"/>
      <c r="V371" s="781"/>
      <c r="W371" s="781"/>
      <c r="X371" s="781"/>
      <c r="Y371" s="781"/>
      <c r="Z371" s="781"/>
      <c r="AA371" s="781"/>
      <c r="AB371" s="781"/>
      <c r="AC371" s="781"/>
      <c r="AD371" s="781"/>
      <c r="AE371" s="781"/>
      <c r="AF371" s="781"/>
      <c r="AG371" s="781"/>
      <c r="AH371" s="781"/>
      <c r="AI371" s="781"/>
      <c r="AJ371" s="781"/>
      <c r="AK371" s="781"/>
      <c r="AL371" s="781"/>
      <c r="AM371" s="781"/>
      <c r="AN371" s="781"/>
      <c r="AO371" s="781"/>
      <c r="AP371" s="781"/>
      <c r="AQ371" s="781"/>
      <c r="AR371" s="781"/>
      <c r="AS371" s="781"/>
      <c r="AT371" s="781"/>
      <c r="AU371" s="781"/>
    </row>
    <row r="372" ht="15.75" customHeight="1">
      <c r="A372" s="786">
        <v>44342.0</v>
      </c>
      <c r="B372" s="787" t="s">
        <v>3059</v>
      </c>
      <c r="C372" s="788" t="s">
        <v>2547</v>
      </c>
      <c r="D372" s="772" t="s">
        <v>6346</v>
      </c>
      <c r="E372" s="784">
        <v>0.0</v>
      </c>
      <c r="F372" s="772" t="s">
        <v>3058</v>
      </c>
      <c r="G372" s="782" t="s">
        <v>18</v>
      </c>
      <c r="H372" s="782" t="s">
        <v>176</v>
      </c>
      <c r="I372" s="782" t="s">
        <v>2634</v>
      </c>
      <c r="J372" s="782">
        <v>44266.0</v>
      </c>
      <c r="K372" s="785" t="s">
        <v>3836</v>
      </c>
      <c r="L372" s="781"/>
      <c r="M372" s="781"/>
      <c r="N372" s="781"/>
      <c r="O372" s="781"/>
      <c r="P372" s="781"/>
      <c r="Q372" s="781"/>
      <c r="R372" s="781"/>
      <c r="S372" s="781"/>
      <c r="T372" s="781"/>
      <c r="U372" s="781"/>
      <c r="V372" s="781"/>
      <c r="W372" s="781"/>
      <c r="X372" s="781"/>
      <c r="Y372" s="781"/>
      <c r="Z372" s="781"/>
      <c r="AA372" s="781"/>
      <c r="AB372" s="781"/>
      <c r="AC372" s="781"/>
      <c r="AD372" s="781"/>
      <c r="AE372" s="781"/>
      <c r="AF372" s="781"/>
      <c r="AG372" s="781"/>
      <c r="AH372" s="781"/>
      <c r="AI372" s="781"/>
      <c r="AJ372" s="781"/>
      <c r="AK372" s="781"/>
      <c r="AL372" s="781"/>
      <c r="AM372" s="781"/>
      <c r="AN372" s="781"/>
      <c r="AO372" s="781"/>
      <c r="AP372" s="781"/>
      <c r="AQ372" s="781"/>
      <c r="AR372" s="781"/>
      <c r="AS372" s="781"/>
      <c r="AT372" s="781"/>
      <c r="AU372" s="781"/>
    </row>
    <row r="373" ht="15.75" customHeight="1">
      <c r="A373" s="786">
        <v>44342.0</v>
      </c>
      <c r="B373" s="787" t="s">
        <v>2982</v>
      </c>
      <c r="C373" s="788" t="s">
        <v>2547</v>
      </c>
      <c r="D373" s="772" t="s">
        <v>6346</v>
      </c>
      <c r="E373" s="784">
        <v>40000.0</v>
      </c>
      <c r="F373" s="772" t="s">
        <v>2981</v>
      </c>
      <c r="G373" s="782" t="s">
        <v>2550</v>
      </c>
      <c r="H373" s="782" t="s">
        <v>29</v>
      </c>
      <c r="I373" s="782" t="s">
        <v>2551</v>
      </c>
      <c r="J373" s="782">
        <v>43703.0</v>
      </c>
      <c r="K373" s="785" t="s">
        <v>4206</v>
      </c>
      <c r="L373" s="781"/>
      <c r="M373" s="781"/>
      <c r="N373" s="781"/>
      <c r="O373" s="781"/>
      <c r="P373" s="781"/>
      <c r="Q373" s="781"/>
      <c r="R373" s="781"/>
      <c r="S373" s="781"/>
      <c r="T373" s="781"/>
      <c r="U373" s="781"/>
      <c r="V373" s="781"/>
      <c r="W373" s="781"/>
      <c r="X373" s="781"/>
      <c r="Y373" s="781"/>
      <c r="Z373" s="781"/>
      <c r="AA373" s="781"/>
      <c r="AB373" s="781"/>
      <c r="AC373" s="781"/>
      <c r="AD373" s="781"/>
      <c r="AE373" s="781"/>
      <c r="AF373" s="781"/>
      <c r="AG373" s="781"/>
      <c r="AH373" s="781"/>
      <c r="AI373" s="781"/>
      <c r="AJ373" s="781"/>
      <c r="AK373" s="781"/>
      <c r="AL373" s="781"/>
      <c r="AM373" s="781"/>
      <c r="AN373" s="781"/>
      <c r="AO373" s="781"/>
      <c r="AP373" s="781"/>
      <c r="AQ373" s="781"/>
      <c r="AR373" s="781"/>
      <c r="AS373" s="781"/>
      <c r="AT373" s="781"/>
      <c r="AU373" s="781"/>
    </row>
    <row r="374" ht="15.75" customHeight="1">
      <c r="A374" s="786">
        <v>44342.0</v>
      </c>
      <c r="B374" s="787" t="s">
        <v>3056</v>
      </c>
      <c r="C374" s="788" t="s">
        <v>2547</v>
      </c>
      <c r="D374" s="772" t="s">
        <v>6346</v>
      </c>
      <c r="E374" s="784">
        <v>17000.0</v>
      </c>
      <c r="F374" s="772" t="s">
        <v>3055</v>
      </c>
      <c r="G374" s="782" t="s">
        <v>2550</v>
      </c>
      <c r="H374" s="782" t="s">
        <v>29</v>
      </c>
      <c r="I374" s="782" t="s">
        <v>2562</v>
      </c>
      <c r="J374" s="782">
        <v>43559.0</v>
      </c>
      <c r="K374" s="785" t="s">
        <v>4206</v>
      </c>
      <c r="L374" s="781"/>
      <c r="M374" s="781"/>
      <c r="N374" s="781"/>
      <c r="O374" s="781"/>
      <c r="P374" s="781"/>
      <c r="Q374" s="781"/>
      <c r="R374" s="781"/>
      <c r="S374" s="781"/>
      <c r="T374" s="781"/>
      <c r="U374" s="781"/>
      <c r="V374" s="781"/>
      <c r="W374" s="781"/>
      <c r="X374" s="781"/>
      <c r="Y374" s="781"/>
      <c r="Z374" s="781"/>
      <c r="AA374" s="781"/>
      <c r="AB374" s="781"/>
      <c r="AC374" s="781"/>
      <c r="AD374" s="781"/>
      <c r="AE374" s="781"/>
      <c r="AF374" s="781"/>
      <c r="AG374" s="781"/>
      <c r="AH374" s="781"/>
      <c r="AI374" s="781"/>
      <c r="AJ374" s="781"/>
      <c r="AK374" s="781"/>
      <c r="AL374" s="781"/>
      <c r="AM374" s="781"/>
      <c r="AN374" s="781"/>
      <c r="AO374" s="781"/>
      <c r="AP374" s="781"/>
      <c r="AQ374" s="781"/>
      <c r="AR374" s="781"/>
      <c r="AS374" s="781"/>
      <c r="AT374" s="781"/>
      <c r="AU374" s="781"/>
    </row>
    <row r="375" ht="15.75" customHeight="1">
      <c r="A375" s="786">
        <v>44343.0</v>
      </c>
      <c r="B375" s="787" t="s">
        <v>3216</v>
      </c>
      <c r="C375" s="788" t="s">
        <v>2547</v>
      </c>
      <c r="D375" s="772" t="s">
        <v>6346</v>
      </c>
      <c r="E375" s="784">
        <v>40000.0</v>
      </c>
      <c r="F375" s="772" t="s">
        <v>3215</v>
      </c>
      <c r="G375" s="782" t="s">
        <v>18</v>
      </c>
      <c r="H375" s="782" t="s">
        <v>176</v>
      </c>
      <c r="I375" s="782" t="s">
        <v>197</v>
      </c>
      <c r="J375" s="782">
        <v>44322.0</v>
      </c>
      <c r="K375" s="785" t="s">
        <v>3828</v>
      </c>
      <c r="L375" s="781"/>
      <c r="M375" s="781"/>
      <c r="N375" s="781"/>
      <c r="O375" s="781"/>
      <c r="P375" s="781"/>
      <c r="Q375" s="781"/>
      <c r="R375" s="781"/>
      <c r="S375" s="781"/>
      <c r="T375" s="781"/>
      <c r="U375" s="781"/>
      <c r="V375" s="781"/>
      <c r="W375" s="781"/>
      <c r="X375" s="781"/>
      <c r="Y375" s="781"/>
      <c r="Z375" s="781"/>
      <c r="AA375" s="781"/>
      <c r="AB375" s="781"/>
      <c r="AC375" s="781"/>
      <c r="AD375" s="781"/>
      <c r="AE375" s="781"/>
      <c r="AF375" s="781"/>
      <c r="AG375" s="781"/>
      <c r="AH375" s="781"/>
      <c r="AI375" s="781"/>
      <c r="AJ375" s="781"/>
      <c r="AK375" s="781"/>
      <c r="AL375" s="781"/>
      <c r="AM375" s="781"/>
      <c r="AN375" s="781"/>
      <c r="AO375" s="781"/>
      <c r="AP375" s="781"/>
      <c r="AQ375" s="781"/>
      <c r="AR375" s="781"/>
      <c r="AS375" s="781"/>
      <c r="AT375" s="781"/>
      <c r="AU375" s="781"/>
    </row>
    <row r="376" ht="15.75" customHeight="1">
      <c r="A376" s="786">
        <v>44344.0</v>
      </c>
      <c r="B376" s="787" t="s">
        <v>3441</v>
      </c>
      <c r="C376" s="788" t="s">
        <v>2547</v>
      </c>
      <c r="D376" s="772" t="s">
        <v>6346</v>
      </c>
      <c r="E376" s="784">
        <v>150000.0</v>
      </c>
      <c r="F376" s="772" t="s">
        <v>3440</v>
      </c>
      <c r="G376" s="782" t="s">
        <v>18</v>
      </c>
      <c r="H376" s="782" t="s">
        <v>176</v>
      </c>
      <c r="I376" s="782" t="s">
        <v>197</v>
      </c>
      <c r="J376" s="782">
        <v>44319.0</v>
      </c>
      <c r="K376" s="785" t="s">
        <v>3828</v>
      </c>
      <c r="L376" s="781"/>
      <c r="M376" s="781"/>
      <c r="N376" s="781"/>
      <c r="O376" s="781"/>
      <c r="P376" s="781"/>
      <c r="Q376" s="781"/>
      <c r="R376" s="781"/>
      <c r="S376" s="781"/>
      <c r="T376" s="781"/>
      <c r="U376" s="781"/>
      <c r="V376" s="781"/>
      <c r="W376" s="781"/>
      <c r="X376" s="781"/>
      <c r="Y376" s="781"/>
      <c r="Z376" s="781"/>
      <c r="AA376" s="781"/>
      <c r="AB376" s="781"/>
      <c r="AC376" s="781"/>
      <c r="AD376" s="781"/>
      <c r="AE376" s="781"/>
      <c r="AF376" s="781"/>
      <c r="AG376" s="781"/>
      <c r="AH376" s="781"/>
      <c r="AI376" s="781"/>
      <c r="AJ376" s="781"/>
      <c r="AK376" s="781"/>
      <c r="AL376" s="781"/>
      <c r="AM376" s="781"/>
      <c r="AN376" s="781"/>
      <c r="AO376" s="781"/>
      <c r="AP376" s="781"/>
      <c r="AQ376" s="781"/>
      <c r="AR376" s="781"/>
      <c r="AS376" s="781"/>
      <c r="AT376" s="781"/>
      <c r="AU376" s="781"/>
    </row>
    <row r="377" ht="15.75" customHeight="1">
      <c r="A377" s="786">
        <v>44344.0</v>
      </c>
      <c r="B377" s="787" t="s">
        <v>3041</v>
      </c>
      <c r="C377" s="788" t="s">
        <v>2547</v>
      </c>
      <c r="D377" s="772" t="s">
        <v>6346</v>
      </c>
      <c r="E377" s="784">
        <v>280000.0</v>
      </c>
      <c r="F377" s="772" t="s">
        <v>3040</v>
      </c>
      <c r="G377" s="782" t="s">
        <v>2550</v>
      </c>
      <c r="H377" s="782" t="s">
        <v>29</v>
      </c>
      <c r="I377" s="782" t="s">
        <v>2551</v>
      </c>
      <c r="J377" s="782">
        <v>43605.0</v>
      </c>
      <c r="K377" s="785" t="s">
        <v>3836</v>
      </c>
      <c r="L377" s="781"/>
      <c r="M377" s="781"/>
      <c r="N377" s="781"/>
      <c r="O377" s="781"/>
      <c r="P377" s="781"/>
      <c r="Q377" s="781"/>
      <c r="R377" s="781"/>
      <c r="S377" s="781"/>
      <c r="T377" s="781"/>
      <c r="U377" s="781"/>
      <c r="V377" s="781"/>
      <c r="W377" s="781"/>
      <c r="X377" s="781"/>
      <c r="Y377" s="781"/>
      <c r="Z377" s="781"/>
      <c r="AA377" s="781"/>
      <c r="AB377" s="781"/>
      <c r="AC377" s="781"/>
      <c r="AD377" s="781"/>
      <c r="AE377" s="781"/>
      <c r="AF377" s="781"/>
      <c r="AG377" s="781"/>
      <c r="AH377" s="781"/>
      <c r="AI377" s="781"/>
      <c r="AJ377" s="781"/>
      <c r="AK377" s="781"/>
      <c r="AL377" s="781"/>
      <c r="AM377" s="781"/>
      <c r="AN377" s="781"/>
      <c r="AO377" s="781"/>
      <c r="AP377" s="781"/>
      <c r="AQ377" s="781"/>
      <c r="AR377" s="781"/>
      <c r="AS377" s="781"/>
      <c r="AT377" s="781"/>
      <c r="AU377" s="781"/>
    </row>
    <row r="378" ht="15.75" customHeight="1">
      <c r="A378" s="786">
        <v>44347.0</v>
      </c>
      <c r="B378" s="787" t="s">
        <v>3478</v>
      </c>
      <c r="C378" s="788" t="s">
        <v>2547</v>
      </c>
      <c r="D378" s="772" t="s">
        <v>6346</v>
      </c>
      <c r="E378" s="784">
        <v>2000.0</v>
      </c>
      <c r="F378" s="772" t="s">
        <v>2174</v>
      </c>
      <c r="G378" s="782" t="s">
        <v>18</v>
      </c>
      <c r="H378" s="782" t="s">
        <v>176</v>
      </c>
      <c r="I378" s="782" t="s">
        <v>177</v>
      </c>
      <c r="J378" s="782">
        <v>44280.0</v>
      </c>
      <c r="K378" s="785" t="s">
        <v>3824</v>
      </c>
      <c r="L378" s="781"/>
      <c r="M378" s="781"/>
      <c r="N378" s="781"/>
      <c r="O378" s="781"/>
      <c r="P378" s="781"/>
      <c r="Q378" s="781"/>
      <c r="R378" s="781"/>
      <c r="S378" s="781"/>
      <c r="T378" s="781"/>
      <c r="U378" s="781"/>
      <c r="V378" s="781"/>
      <c r="W378" s="781"/>
      <c r="X378" s="781"/>
      <c r="Y378" s="781"/>
      <c r="Z378" s="781"/>
      <c r="AA378" s="781"/>
      <c r="AB378" s="781"/>
      <c r="AC378" s="781"/>
      <c r="AD378" s="781"/>
      <c r="AE378" s="781"/>
      <c r="AF378" s="781"/>
      <c r="AG378" s="781"/>
      <c r="AH378" s="781"/>
      <c r="AI378" s="781"/>
      <c r="AJ378" s="781"/>
      <c r="AK378" s="781"/>
      <c r="AL378" s="781"/>
      <c r="AM378" s="781"/>
      <c r="AN378" s="781"/>
      <c r="AO378" s="781"/>
      <c r="AP378" s="781"/>
      <c r="AQ378" s="781"/>
      <c r="AR378" s="781"/>
      <c r="AS378" s="781"/>
      <c r="AT378" s="781"/>
      <c r="AU378" s="781"/>
    </row>
    <row r="379" ht="15.75" customHeight="1">
      <c r="A379" s="786">
        <v>44347.0</v>
      </c>
      <c r="B379" s="787" t="s">
        <v>3643</v>
      </c>
      <c r="C379" s="788" t="s">
        <v>3632</v>
      </c>
      <c r="D379" s="772" t="s">
        <v>1481</v>
      </c>
      <c r="E379" s="784">
        <v>57300.0</v>
      </c>
      <c r="F379" s="772" t="s">
        <v>3642</v>
      </c>
      <c r="G379" s="782" t="s">
        <v>18</v>
      </c>
      <c r="H379" s="782" t="s">
        <v>29</v>
      </c>
      <c r="I379" s="782" t="s">
        <v>3644</v>
      </c>
      <c r="J379" s="782">
        <v>43759.0</v>
      </c>
      <c r="K379" s="785" t="s">
        <v>5228</v>
      </c>
      <c r="L379" s="781"/>
      <c r="M379" s="781"/>
      <c r="N379" s="781"/>
      <c r="O379" s="781"/>
      <c r="P379" s="781"/>
      <c r="Q379" s="781"/>
      <c r="R379" s="781"/>
      <c r="S379" s="781"/>
      <c r="T379" s="781"/>
      <c r="U379" s="781"/>
      <c r="V379" s="781"/>
      <c r="W379" s="781"/>
      <c r="X379" s="781"/>
      <c r="Y379" s="781"/>
      <c r="Z379" s="781"/>
      <c r="AA379" s="781"/>
      <c r="AB379" s="781"/>
      <c r="AC379" s="781"/>
      <c r="AD379" s="781"/>
      <c r="AE379" s="781"/>
      <c r="AF379" s="781"/>
      <c r="AG379" s="781"/>
      <c r="AH379" s="781"/>
      <c r="AI379" s="781"/>
      <c r="AJ379" s="781"/>
      <c r="AK379" s="781"/>
      <c r="AL379" s="781"/>
      <c r="AM379" s="781"/>
      <c r="AN379" s="781"/>
      <c r="AO379" s="781"/>
      <c r="AP379" s="781"/>
      <c r="AQ379" s="781"/>
      <c r="AR379" s="781"/>
      <c r="AS379" s="781"/>
      <c r="AT379" s="781"/>
      <c r="AU379" s="781"/>
    </row>
    <row r="380" ht="15.75" customHeight="1">
      <c r="A380" s="786">
        <v>44347.0</v>
      </c>
      <c r="B380" s="787" t="s">
        <v>3274</v>
      </c>
      <c r="C380" s="788" t="s">
        <v>2547</v>
      </c>
      <c r="D380" s="772" t="s">
        <v>6346</v>
      </c>
      <c r="E380" s="784">
        <v>13000.0</v>
      </c>
      <c r="F380" s="772" t="s">
        <v>1714</v>
      </c>
      <c r="G380" s="782" t="s">
        <v>18</v>
      </c>
      <c r="H380" s="782" t="s">
        <v>176</v>
      </c>
      <c r="I380" s="782" t="s">
        <v>177</v>
      </c>
      <c r="J380" s="782">
        <v>44322.0</v>
      </c>
      <c r="K380" s="785" t="s">
        <v>3828</v>
      </c>
      <c r="L380" s="781"/>
      <c r="M380" s="781"/>
      <c r="N380" s="781"/>
      <c r="O380" s="781"/>
      <c r="P380" s="781"/>
      <c r="Q380" s="781"/>
      <c r="R380" s="781"/>
      <c r="S380" s="781"/>
      <c r="T380" s="781"/>
      <c r="U380" s="781"/>
      <c r="V380" s="781"/>
      <c r="W380" s="781"/>
      <c r="X380" s="781"/>
      <c r="Y380" s="781"/>
      <c r="Z380" s="781"/>
      <c r="AA380" s="781"/>
      <c r="AB380" s="781"/>
      <c r="AC380" s="781"/>
      <c r="AD380" s="781"/>
      <c r="AE380" s="781"/>
      <c r="AF380" s="781"/>
      <c r="AG380" s="781"/>
      <c r="AH380" s="781"/>
      <c r="AI380" s="781"/>
      <c r="AJ380" s="781"/>
      <c r="AK380" s="781"/>
      <c r="AL380" s="781"/>
      <c r="AM380" s="781"/>
      <c r="AN380" s="781"/>
      <c r="AO380" s="781"/>
      <c r="AP380" s="781"/>
      <c r="AQ380" s="781"/>
      <c r="AR380" s="781"/>
      <c r="AS380" s="781"/>
      <c r="AT380" s="781"/>
      <c r="AU380" s="781"/>
    </row>
    <row r="381" ht="15.75" customHeight="1">
      <c r="A381" s="786">
        <v>44348.0</v>
      </c>
      <c r="B381" s="787" t="s">
        <v>6384</v>
      </c>
      <c r="C381" s="788" t="s">
        <v>3820</v>
      </c>
      <c r="D381" s="772" t="s">
        <v>6346</v>
      </c>
      <c r="E381" s="784">
        <v>50000.0</v>
      </c>
      <c r="F381" s="772" t="s">
        <v>5098</v>
      </c>
      <c r="G381" s="772" t="s">
        <v>105</v>
      </c>
      <c r="H381" s="772" t="s">
        <v>29</v>
      </c>
      <c r="I381" s="772" t="s">
        <v>4486</v>
      </c>
      <c r="J381" s="805">
        <v>44180.0</v>
      </c>
      <c r="K381" s="789" t="s">
        <v>3828</v>
      </c>
      <c r="L381" s="781"/>
      <c r="M381" s="781"/>
      <c r="N381" s="781"/>
      <c r="O381" s="781"/>
      <c r="P381" s="781"/>
      <c r="Q381" s="781"/>
      <c r="R381" s="781"/>
      <c r="S381" s="781"/>
      <c r="T381" s="781"/>
      <c r="U381" s="781"/>
      <c r="V381" s="781"/>
      <c r="W381" s="781"/>
      <c r="X381" s="781"/>
      <c r="Y381" s="781"/>
      <c r="Z381" s="781"/>
      <c r="AA381" s="781"/>
      <c r="AB381" s="781"/>
      <c r="AC381" s="781"/>
      <c r="AD381" s="781"/>
      <c r="AE381" s="781"/>
      <c r="AF381" s="781"/>
      <c r="AG381" s="781"/>
      <c r="AH381" s="781"/>
      <c r="AI381" s="781"/>
      <c r="AJ381" s="781"/>
      <c r="AK381" s="781"/>
      <c r="AL381" s="781"/>
      <c r="AM381" s="781"/>
      <c r="AN381" s="781"/>
      <c r="AO381" s="781"/>
      <c r="AP381" s="781"/>
      <c r="AQ381" s="781"/>
      <c r="AR381" s="781"/>
      <c r="AS381" s="781"/>
      <c r="AT381" s="781"/>
      <c r="AU381" s="781"/>
    </row>
    <row r="382" ht="15.75" customHeight="1">
      <c r="A382" s="786">
        <v>44348.0</v>
      </c>
      <c r="B382" s="787" t="s">
        <v>2847</v>
      </c>
      <c r="C382" s="788" t="s">
        <v>2547</v>
      </c>
      <c r="D382" s="772" t="s">
        <v>6346</v>
      </c>
      <c r="E382" s="784">
        <v>40000.0</v>
      </c>
      <c r="F382" s="772" t="s">
        <v>767</v>
      </c>
      <c r="G382" s="782" t="s">
        <v>18</v>
      </c>
      <c r="H382" s="782" t="s">
        <v>176</v>
      </c>
      <c r="I382" s="782" t="s">
        <v>177</v>
      </c>
      <c r="J382" s="782">
        <v>44321.0</v>
      </c>
      <c r="K382" s="785" t="s">
        <v>3828</v>
      </c>
      <c r="L382" s="781"/>
      <c r="M382" s="781"/>
      <c r="N382" s="781"/>
      <c r="O382" s="781"/>
      <c r="P382" s="781"/>
      <c r="Q382" s="781"/>
      <c r="R382" s="781"/>
      <c r="S382" s="781"/>
      <c r="T382" s="781"/>
      <c r="U382" s="781"/>
      <c r="V382" s="781"/>
      <c r="W382" s="781"/>
      <c r="X382" s="781"/>
      <c r="Y382" s="781"/>
      <c r="Z382" s="781"/>
      <c r="AA382" s="781"/>
      <c r="AB382" s="781"/>
      <c r="AC382" s="781"/>
      <c r="AD382" s="781"/>
      <c r="AE382" s="781"/>
      <c r="AF382" s="781"/>
      <c r="AG382" s="781"/>
      <c r="AH382" s="781"/>
      <c r="AI382" s="781"/>
      <c r="AJ382" s="781"/>
      <c r="AK382" s="781"/>
      <c r="AL382" s="781"/>
      <c r="AM382" s="781"/>
      <c r="AN382" s="781"/>
      <c r="AO382" s="781"/>
      <c r="AP382" s="781"/>
      <c r="AQ382" s="781"/>
      <c r="AR382" s="781"/>
      <c r="AS382" s="781"/>
      <c r="AT382" s="781"/>
      <c r="AU382" s="781"/>
    </row>
    <row r="383" ht="15.75" customHeight="1">
      <c r="A383" s="786">
        <v>44349.0</v>
      </c>
      <c r="B383" s="787" t="s">
        <v>3274</v>
      </c>
      <c r="C383" s="788" t="s">
        <v>2547</v>
      </c>
      <c r="D383" s="772" t="s">
        <v>6346</v>
      </c>
      <c r="E383" s="784">
        <v>10000.0</v>
      </c>
      <c r="F383" s="772" t="s">
        <v>1714</v>
      </c>
      <c r="G383" s="782" t="s">
        <v>18</v>
      </c>
      <c r="H383" s="782" t="s">
        <v>176</v>
      </c>
      <c r="I383" s="782" t="s">
        <v>177</v>
      </c>
      <c r="J383" s="782">
        <v>44322.0</v>
      </c>
      <c r="K383" s="785" t="s">
        <v>3828</v>
      </c>
      <c r="L383" s="781"/>
      <c r="M383" s="781"/>
      <c r="N383" s="781"/>
      <c r="O383" s="781"/>
      <c r="P383" s="781"/>
      <c r="Q383" s="781"/>
      <c r="R383" s="781"/>
      <c r="S383" s="781"/>
      <c r="T383" s="781"/>
      <c r="U383" s="781"/>
      <c r="V383" s="781"/>
      <c r="W383" s="781"/>
      <c r="X383" s="781"/>
      <c r="Y383" s="781"/>
      <c r="Z383" s="781"/>
      <c r="AA383" s="781"/>
      <c r="AB383" s="781"/>
      <c r="AC383" s="781"/>
      <c r="AD383" s="781"/>
      <c r="AE383" s="781"/>
      <c r="AF383" s="781"/>
      <c r="AG383" s="781"/>
      <c r="AH383" s="781"/>
      <c r="AI383" s="781"/>
      <c r="AJ383" s="781"/>
      <c r="AK383" s="781"/>
      <c r="AL383" s="781"/>
      <c r="AM383" s="781"/>
      <c r="AN383" s="781"/>
      <c r="AO383" s="781"/>
      <c r="AP383" s="781"/>
      <c r="AQ383" s="781"/>
      <c r="AR383" s="781"/>
      <c r="AS383" s="781"/>
      <c r="AT383" s="781"/>
      <c r="AU383" s="781"/>
    </row>
    <row r="384" ht="15.75" customHeight="1">
      <c r="A384" s="786">
        <v>44349.0</v>
      </c>
      <c r="B384" s="787" t="s">
        <v>2816</v>
      </c>
      <c r="C384" s="788" t="s">
        <v>2547</v>
      </c>
      <c r="D384" s="772" t="s">
        <v>6346</v>
      </c>
      <c r="E384" s="784">
        <v>31306.96</v>
      </c>
      <c r="F384" s="772" t="s">
        <v>2815</v>
      </c>
      <c r="G384" s="782" t="s">
        <v>18</v>
      </c>
      <c r="H384" s="782" t="s">
        <v>176</v>
      </c>
      <c r="I384" s="782" t="s">
        <v>177</v>
      </c>
      <c r="J384" s="782">
        <v>44328.0</v>
      </c>
      <c r="K384" s="785" t="s">
        <v>3828</v>
      </c>
      <c r="L384" s="781"/>
      <c r="M384" s="781"/>
      <c r="N384" s="781"/>
      <c r="O384" s="781"/>
      <c r="P384" s="781"/>
      <c r="Q384" s="781"/>
      <c r="R384" s="781"/>
      <c r="S384" s="781"/>
      <c r="T384" s="781"/>
      <c r="U384" s="781"/>
      <c r="V384" s="781"/>
      <c r="W384" s="781"/>
      <c r="X384" s="781"/>
      <c r="Y384" s="781"/>
      <c r="Z384" s="781"/>
      <c r="AA384" s="781"/>
      <c r="AB384" s="781"/>
      <c r="AC384" s="781"/>
      <c r="AD384" s="781"/>
      <c r="AE384" s="781"/>
      <c r="AF384" s="781"/>
      <c r="AG384" s="781"/>
      <c r="AH384" s="781"/>
      <c r="AI384" s="781"/>
      <c r="AJ384" s="781"/>
      <c r="AK384" s="781"/>
      <c r="AL384" s="781"/>
      <c r="AM384" s="781"/>
      <c r="AN384" s="781"/>
      <c r="AO384" s="781"/>
      <c r="AP384" s="781"/>
      <c r="AQ384" s="781"/>
      <c r="AR384" s="781"/>
      <c r="AS384" s="781"/>
      <c r="AT384" s="781"/>
      <c r="AU384" s="781"/>
    </row>
    <row r="385" ht="15.75" customHeight="1">
      <c r="A385" s="786">
        <v>44351.0</v>
      </c>
      <c r="B385" s="787" t="s">
        <v>2734</v>
      </c>
      <c r="C385" s="788" t="s">
        <v>2547</v>
      </c>
      <c r="D385" s="772" t="s">
        <v>6346</v>
      </c>
      <c r="E385" s="784">
        <v>9000.0</v>
      </c>
      <c r="F385" s="772" t="s">
        <v>2733</v>
      </c>
      <c r="G385" s="782" t="s">
        <v>18</v>
      </c>
      <c r="H385" s="782" t="s">
        <v>176</v>
      </c>
      <c r="I385" s="782" t="s">
        <v>2634</v>
      </c>
      <c r="J385" s="782">
        <v>44260.0</v>
      </c>
      <c r="K385" s="785" t="s">
        <v>3828</v>
      </c>
      <c r="L385" s="781"/>
      <c r="M385" s="781"/>
      <c r="N385" s="781"/>
      <c r="O385" s="781"/>
      <c r="P385" s="781"/>
      <c r="Q385" s="781"/>
      <c r="R385" s="781"/>
      <c r="S385" s="781"/>
      <c r="T385" s="781"/>
      <c r="U385" s="781"/>
      <c r="V385" s="781"/>
      <c r="W385" s="781"/>
      <c r="X385" s="781"/>
      <c r="Y385" s="781"/>
      <c r="Z385" s="781"/>
      <c r="AA385" s="781"/>
      <c r="AB385" s="781"/>
      <c r="AC385" s="781"/>
      <c r="AD385" s="781"/>
      <c r="AE385" s="781"/>
      <c r="AF385" s="781"/>
      <c r="AG385" s="781"/>
      <c r="AH385" s="781"/>
      <c r="AI385" s="781"/>
      <c r="AJ385" s="781"/>
      <c r="AK385" s="781"/>
      <c r="AL385" s="781"/>
      <c r="AM385" s="781"/>
      <c r="AN385" s="781"/>
      <c r="AO385" s="781"/>
      <c r="AP385" s="781"/>
      <c r="AQ385" s="781"/>
      <c r="AR385" s="781"/>
      <c r="AS385" s="781"/>
      <c r="AT385" s="781"/>
      <c r="AU385" s="781"/>
    </row>
    <row r="386" ht="15.75" customHeight="1">
      <c r="A386" s="786">
        <v>44351.0</v>
      </c>
      <c r="B386" s="787" t="s">
        <v>3246</v>
      </c>
      <c r="C386" s="788" t="s">
        <v>2547</v>
      </c>
      <c r="D386" s="772" t="s">
        <v>6346</v>
      </c>
      <c r="E386" s="784">
        <v>40000.0</v>
      </c>
      <c r="F386" s="772" t="s">
        <v>3245</v>
      </c>
      <c r="G386" s="782" t="s">
        <v>2550</v>
      </c>
      <c r="H386" s="782" t="s">
        <v>29</v>
      </c>
      <c r="I386" s="782" t="s">
        <v>2551</v>
      </c>
      <c r="J386" s="782">
        <v>43564.0</v>
      </c>
      <c r="K386" s="785" t="s">
        <v>3840</v>
      </c>
      <c r="L386" s="781"/>
      <c r="M386" s="781"/>
      <c r="N386" s="781"/>
      <c r="O386" s="781"/>
      <c r="P386" s="781"/>
      <c r="Q386" s="781"/>
      <c r="R386" s="781"/>
      <c r="S386" s="781"/>
      <c r="T386" s="781"/>
      <c r="U386" s="781"/>
      <c r="V386" s="781"/>
      <c r="W386" s="781"/>
      <c r="X386" s="781"/>
      <c r="Y386" s="781"/>
      <c r="Z386" s="781"/>
      <c r="AA386" s="781"/>
      <c r="AB386" s="781"/>
      <c r="AC386" s="781"/>
      <c r="AD386" s="781"/>
      <c r="AE386" s="781"/>
      <c r="AF386" s="781"/>
      <c r="AG386" s="781"/>
      <c r="AH386" s="781"/>
      <c r="AI386" s="781"/>
      <c r="AJ386" s="781"/>
      <c r="AK386" s="781"/>
      <c r="AL386" s="781"/>
      <c r="AM386" s="781"/>
      <c r="AN386" s="781"/>
      <c r="AO386" s="781"/>
      <c r="AP386" s="781"/>
      <c r="AQ386" s="781"/>
      <c r="AR386" s="781"/>
      <c r="AS386" s="781"/>
      <c r="AT386" s="781"/>
      <c r="AU386" s="781"/>
    </row>
    <row r="387" ht="15.75" customHeight="1">
      <c r="A387" s="786">
        <v>44353.0</v>
      </c>
      <c r="B387" s="787" t="s">
        <v>6396</v>
      </c>
      <c r="C387" s="788" t="s">
        <v>3820</v>
      </c>
      <c r="D387" s="772" t="s">
        <v>6346</v>
      </c>
      <c r="E387" s="784">
        <v>506343.93</v>
      </c>
      <c r="F387" s="772" t="s">
        <v>3956</v>
      </c>
      <c r="G387" s="772" t="s">
        <v>18</v>
      </c>
      <c r="H387" s="772" t="s">
        <v>19</v>
      </c>
      <c r="I387" s="772" t="s">
        <v>256</v>
      </c>
      <c r="J387" s="808">
        <v>44298.0</v>
      </c>
      <c r="K387" s="789" t="s">
        <v>3836</v>
      </c>
      <c r="L387" s="781"/>
      <c r="M387" s="781"/>
      <c r="N387" s="781"/>
      <c r="O387" s="781"/>
      <c r="P387" s="781"/>
      <c r="Q387" s="781"/>
      <c r="R387" s="781"/>
      <c r="S387" s="781"/>
      <c r="T387" s="781"/>
      <c r="U387" s="781"/>
      <c r="V387" s="781"/>
      <c r="W387" s="781"/>
      <c r="X387" s="781"/>
      <c r="Y387" s="781"/>
      <c r="Z387" s="781"/>
      <c r="AA387" s="781"/>
      <c r="AB387" s="781"/>
      <c r="AC387" s="781"/>
      <c r="AD387" s="781"/>
      <c r="AE387" s="781"/>
      <c r="AF387" s="781"/>
      <c r="AG387" s="781"/>
      <c r="AH387" s="781"/>
      <c r="AI387" s="781"/>
      <c r="AJ387" s="781"/>
      <c r="AK387" s="781"/>
      <c r="AL387" s="781"/>
      <c r="AM387" s="781"/>
      <c r="AN387" s="781"/>
      <c r="AO387" s="781"/>
      <c r="AP387" s="781"/>
      <c r="AQ387" s="781"/>
      <c r="AR387" s="781"/>
      <c r="AS387" s="781"/>
      <c r="AT387" s="781"/>
      <c r="AU387" s="781"/>
    </row>
    <row r="388" ht="15.75" customHeight="1">
      <c r="A388" s="786">
        <v>44354.0</v>
      </c>
      <c r="B388" s="787" t="s">
        <v>2995</v>
      </c>
      <c r="C388" s="788" t="s">
        <v>2547</v>
      </c>
      <c r="D388" s="772" t="s">
        <v>6346</v>
      </c>
      <c r="E388" s="784">
        <v>5000.0</v>
      </c>
      <c r="F388" s="772" t="s">
        <v>2994</v>
      </c>
      <c r="G388" s="782" t="s">
        <v>2550</v>
      </c>
      <c r="H388" s="782" t="s">
        <v>29</v>
      </c>
      <c r="I388" s="782" t="s">
        <v>2562</v>
      </c>
      <c r="J388" s="782">
        <v>43752.0</v>
      </c>
      <c r="K388" s="785" t="s">
        <v>3828</v>
      </c>
      <c r="L388" s="781"/>
      <c r="M388" s="781"/>
      <c r="N388" s="781"/>
      <c r="O388" s="781"/>
      <c r="P388" s="781"/>
      <c r="Q388" s="781"/>
      <c r="R388" s="781"/>
      <c r="S388" s="781"/>
      <c r="T388" s="781"/>
      <c r="U388" s="781"/>
      <c r="V388" s="781"/>
      <c r="W388" s="781"/>
      <c r="X388" s="781"/>
      <c r="Y388" s="781"/>
      <c r="Z388" s="781"/>
      <c r="AA388" s="781"/>
      <c r="AB388" s="781"/>
      <c r="AC388" s="781"/>
      <c r="AD388" s="781"/>
      <c r="AE388" s="781"/>
      <c r="AF388" s="781"/>
      <c r="AG388" s="781"/>
      <c r="AH388" s="781"/>
      <c r="AI388" s="781"/>
      <c r="AJ388" s="781"/>
      <c r="AK388" s="781"/>
      <c r="AL388" s="781"/>
      <c r="AM388" s="781"/>
      <c r="AN388" s="781"/>
      <c r="AO388" s="781"/>
      <c r="AP388" s="781"/>
      <c r="AQ388" s="781"/>
      <c r="AR388" s="781"/>
      <c r="AS388" s="781"/>
      <c r="AT388" s="781"/>
      <c r="AU388" s="781"/>
    </row>
    <row r="389" ht="15.75" customHeight="1">
      <c r="A389" s="786">
        <v>44355.0</v>
      </c>
      <c r="B389" s="787" t="s">
        <v>3246</v>
      </c>
      <c r="C389" s="788" t="s">
        <v>2547</v>
      </c>
      <c r="D389" s="772" t="s">
        <v>6346</v>
      </c>
      <c r="E389" s="784">
        <v>50000.0</v>
      </c>
      <c r="F389" s="772" t="s">
        <v>3245</v>
      </c>
      <c r="G389" s="782" t="s">
        <v>2550</v>
      </c>
      <c r="H389" s="782" t="s">
        <v>29</v>
      </c>
      <c r="I389" s="782" t="s">
        <v>2551</v>
      </c>
      <c r="J389" s="782">
        <v>43564.0</v>
      </c>
      <c r="K389" s="785" t="s">
        <v>3840</v>
      </c>
      <c r="L389" s="781"/>
      <c r="M389" s="781"/>
      <c r="N389" s="781"/>
      <c r="O389" s="781"/>
      <c r="P389" s="781"/>
      <c r="Q389" s="781"/>
      <c r="R389" s="781"/>
      <c r="S389" s="781"/>
      <c r="T389" s="781"/>
      <c r="U389" s="781"/>
      <c r="V389" s="781"/>
      <c r="W389" s="781"/>
      <c r="X389" s="781"/>
      <c r="Y389" s="781"/>
      <c r="Z389" s="781"/>
      <c r="AA389" s="781"/>
      <c r="AB389" s="781"/>
      <c r="AC389" s="781"/>
      <c r="AD389" s="781"/>
      <c r="AE389" s="781"/>
      <c r="AF389" s="781"/>
      <c r="AG389" s="781"/>
      <c r="AH389" s="781"/>
      <c r="AI389" s="781"/>
      <c r="AJ389" s="781"/>
      <c r="AK389" s="781"/>
      <c r="AL389" s="781"/>
      <c r="AM389" s="781"/>
      <c r="AN389" s="781"/>
      <c r="AO389" s="781"/>
      <c r="AP389" s="781"/>
      <c r="AQ389" s="781"/>
      <c r="AR389" s="781"/>
      <c r="AS389" s="781"/>
      <c r="AT389" s="781"/>
      <c r="AU389" s="781"/>
    </row>
    <row r="390" ht="15.75" customHeight="1">
      <c r="A390" s="786">
        <v>44355.0</v>
      </c>
      <c r="B390" s="787" t="s">
        <v>3091</v>
      </c>
      <c r="C390" s="788" t="s">
        <v>2547</v>
      </c>
      <c r="D390" s="772" t="s">
        <v>6346</v>
      </c>
      <c r="E390" s="784">
        <v>15000.0</v>
      </c>
      <c r="F390" s="772" t="s">
        <v>3090</v>
      </c>
      <c r="G390" s="782" t="s">
        <v>18</v>
      </c>
      <c r="H390" s="782" t="s">
        <v>176</v>
      </c>
      <c r="I390" s="782" t="s">
        <v>177</v>
      </c>
      <c r="J390" s="782">
        <v>44295.0</v>
      </c>
      <c r="K390" s="785" t="s">
        <v>3834</v>
      </c>
      <c r="L390" s="781"/>
      <c r="M390" s="781"/>
      <c r="N390" s="781"/>
      <c r="O390" s="781"/>
      <c r="P390" s="781"/>
      <c r="Q390" s="781"/>
      <c r="R390" s="781"/>
      <c r="S390" s="781"/>
      <c r="T390" s="781"/>
      <c r="U390" s="781"/>
      <c r="V390" s="781"/>
      <c r="W390" s="781"/>
      <c r="X390" s="781"/>
      <c r="Y390" s="781"/>
      <c r="Z390" s="781"/>
      <c r="AA390" s="781"/>
      <c r="AB390" s="781"/>
      <c r="AC390" s="781"/>
      <c r="AD390" s="781"/>
      <c r="AE390" s="781"/>
      <c r="AF390" s="781"/>
      <c r="AG390" s="781"/>
      <c r="AH390" s="781"/>
      <c r="AI390" s="781"/>
      <c r="AJ390" s="781"/>
      <c r="AK390" s="781"/>
      <c r="AL390" s="781"/>
      <c r="AM390" s="781"/>
      <c r="AN390" s="781"/>
      <c r="AO390" s="781"/>
      <c r="AP390" s="781"/>
      <c r="AQ390" s="781"/>
      <c r="AR390" s="781"/>
      <c r="AS390" s="781"/>
      <c r="AT390" s="781"/>
      <c r="AU390" s="781"/>
    </row>
    <row r="391" ht="15.75" customHeight="1">
      <c r="A391" s="786">
        <v>44355.0</v>
      </c>
      <c r="B391" s="787" t="s">
        <v>3239</v>
      </c>
      <c r="C391" s="788" t="s">
        <v>2547</v>
      </c>
      <c r="D391" s="772" t="s">
        <v>1481</v>
      </c>
      <c r="E391" s="784">
        <v>30000.0</v>
      </c>
      <c r="F391" s="772" t="s">
        <v>3238</v>
      </c>
      <c r="G391" s="782" t="s">
        <v>2550</v>
      </c>
      <c r="H391" s="782" t="s">
        <v>29</v>
      </c>
      <c r="I391" s="782" t="s">
        <v>2550</v>
      </c>
      <c r="J391" s="782">
        <v>44036.0</v>
      </c>
      <c r="K391" s="785" t="s">
        <v>3836</v>
      </c>
      <c r="L391" s="781"/>
      <c r="M391" s="781"/>
      <c r="N391" s="781"/>
      <c r="O391" s="781"/>
      <c r="P391" s="781"/>
      <c r="Q391" s="781"/>
      <c r="R391" s="781"/>
      <c r="S391" s="781"/>
      <c r="T391" s="781"/>
      <c r="U391" s="781"/>
      <c r="V391" s="781"/>
      <c r="W391" s="781"/>
      <c r="X391" s="781"/>
      <c r="Y391" s="781"/>
      <c r="Z391" s="781"/>
      <c r="AA391" s="781"/>
      <c r="AB391" s="781"/>
      <c r="AC391" s="781"/>
      <c r="AD391" s="781"/>
      <c r="AE391" s="781"/>
      <c r="AF391" s="781"/>
      <c r="AG391" s="781"/>
      <c r="AH391" s="781"/>
      <c r="AI391" s="781"/>
      <c r="AJ391" s="781"/>
      <c r="AK391" s="781"/>
      <c r="AL391" s="781"/>
      <c r="AM391" s="781"/>
      <c r="AN391" s="781"/>
      <c r="AO391" s="781"/>
      <c r="AP391" s="781"/>
      <c r="AQ391" s="781"/>
      <c r="AR391" s="781"/>
      <c r="AS391" s="781"/>
      <c r="AT391" s="781"/>
      <c r="AU391" s="781"/>
    </row>
    <row r="392" ht="15.75" customHeight="1">
      <c r="A392" s="786">
        <v>44355.0</v>
      </c>
      <c r="B392" s="787" t="s">
        <v>2982</v>
      </c>
      <c r="C392" s="788" t="s">
        <v>2547</v>
      </c>
      <c r="D392" s="772" t="s">
        <v>6346</v>
      </c>
      <c r="E392" s="784">
        <v>600000.0</v>
      </c>
      <c r="F392" s="772" t="s">
        <v>2981</v>
      </c>
      <c r="G392" s="782" t="s">
        <v>2550</v>
      </c>
      <c r="H392" s="782" t="s">
        <v>29</v>
      </c>
      <c r="I392" s="782" t="s">
        <v>2551</v>
      </c>
      <c r="J392" s="782">
        <v>43703.0</v>
      </c>
      <c r="K392" s="785" t="s">
        <v>4206</v>
      </c>
      <c r="L392" s="781"/>
      <c r="M392" s="781"/>
      <c r="N392" s="781"/>
      <c r="O392" s="781"/>
      <c r="P392" s="781"/>
      <c r="Q392" s="781"/>
      <c r="R392" s="781"/>
      <c r="S392" s="781"/>
      <c r="T392" s="781"/>
      <c r="U392" s="781"/>
      <c r="V392" s="781"/>
      <c r="W392" s="781"/>
      <c r="X392" s="781"/>
      <c r="Y392" s="781"/>
      <c r="Z392" s="781"/>
      <c r="AA392" s="781"/>
      <c r="AB392" s="781"/>
      <c r="AC392" s="781"/>
      <c r="AD392" s="781"/>
      <c r="AE392" s="781"/>
      <c r="AF392" s="781"/>
      <c r="AG392" s="781"/>
      <c r="AH392" s="781"/>
      <c r="AI392" s="781"/>
      <c r="AJ392" s="781"/>
      <c r="AK392" s="781"/>
      <c r="AL392" s="781"/>
      <c r="AM392" s="781"/>
      <c r="AN392" s="781"/>
      <c r="AO392" s="781"/>
      <c r="AP392" s="781"/>
      <c r="AQ392" s="781"/>
      <c r="AR392" s="781"/>
      <c r="AS392" s="781"/>
      <c r="AT392" s="781"/>
      <c r="AU392" s="781"/>
    </row>
    <row r="393" ht="15.75" customHeight="1">
      <c r="A393" s="786">
        <v>44355.0</v>
      </c>
      <c r="B393" s="787" t="s">
        <v>6383</v>
      </c>
      <c r="C393" s="788" t="s">
        <v>3820</v>
      </c>
      <c r="D393" s="772" t="s">
        <v>6346</v>
      </c>
      <c r="E393" s="784">
        <v>40000.0</v>
      </c>
      <c r="F393" s="772" t="s">
        <v>5398</v>
      </c>
      <c r="G393" s="772" t="s">
        <v>105</v>
      </c>
      <c r="H393" s="772" t="s">
        <v>29</v>
      </c>
      <c r="I393" s="772" t="s">
        <v>4087</v>
      </c>
      <c r="J393" s="782">
        <v>44134.0</v>
      </c>
      <c r="K393" s="789" t="s">
        <v>3824</v>
      </c>
      <c r="L393" s="781"/>
      <c r="M393" s="781"/>
      <c r="N393" s="781"/>
      <c r="O393" s="781"/>
      <c r="P393" s="781"/>
      <c r="Q393" s="781"/>
      <c r="R393" s="781"/>
      <c r="S393" s="781"/>
      <c r="T393" s="781"/>
      <c r="U393" s="781"/>
      <c r="V393" s="781"/>
      <c r="W393" s="781"/>
      <c r="X393" s="781"/>
      <c r="Y393" s="781"/>
      <c r="Z393" s="781"/>
      <c r="AA393" s="781"/>
      <c r="AB393" s="781"/>
      <c r="AC393" s="781"/>
      <c r="AD393" s="781"/>
      <c r="AE393" s="781"/>
      <c r="AF393" s="781"/>
      <c r="AG393" s="781"/>
      <c r="AH393" s="781"/>
      <c r="AI393" s="781"/>
      <c r="AJ393" s="781"/>
      <c r="AK393" s="781"/>
      <c r="AL393" s="781"/>
      <c r="AM393" s="781"/>
      <c r="AN393" s="781"/>
      <c r="AO393" s="781"/>
      <c r="AP393" s="781"/>
      <c r="AQ393" s="781"/>
      <c r="AR393" s="781"/>
      <c r="AS393" s="781"/>
      <c r="AT393" s="781"/>
      <c r="AU393" s="781"/>
    </row>
    <row r="394" ht="15.75" customHeight="1">
      <c r="A394" s="786">
        <v>44358.0</v>
      </c>
      <c r="B394" s="787" t="s">
        <v>6397</v>
      </c>
      <c r="C394" s="788" t="s">
        <v>3820</v>
      </c>
      <c r="D394" s="772" t="s">
        <v>1481</v>
      </c>
      <c r="E394" s="784">
        <v>15000.0</v>
      </c>
      <c r="F394" s="772" t="s">
        <v>4253</v>
      </c>
      <c r="G394" s="772" t="s">
        <v>105</v>
      </c>
      <c r="H394" s="772" t="s">
        <v>29</v>
      </c>
      <c r="I394" s="772" t="s">
        <v>4087</v>
      </c>
      <c r="J394" s="782">
        <v>44194.0</v>
      </c>
      <c r="K394" s="789" t="s">
        <v>3828</v>
      </c>
      <c r="L394" s="781"/>
      <c r="M394" s="781"/>
      <c r="N394" s="781"/>
      <c r="O394" s="781"/>
      <c r="P394" s="781"/>
      <c r="Q394" s="781"/>
      <c r="R394" s="781"/>
      <c r="S394" s="781"/>
      <c r="T394" s="781"/>
      <c r="U394" s="781"/>
      <c r="V394" s="781"/>
      <c r="W394" s="781"/>
      <c r="X394" s="781"/>
      <c r="Y394" s="781"/>
      <c r="Z394" s="781"/>
      <c r="AA394" s="781"/>
      <c r="AB394" s="781"/>
      <c r="AC394" s="781"/>
      <c r="AD394" s="781"/>
      <c r="AE394" s="781"/>
      <c r="AF394" s="781"/>
      <c r="AG394" s="781"/>
      <c r="AH394" s="781"/>
      <c r="AI394" s="781"/>
      <c r="AJ394" s="781"/>
      <c r="AK394" s="781"/>
      <c r="AL394" s="781"/>
      <c r="AM394" s="781"/>
      <c r="AN394" s="781"/>
      <c r="AO394" s="781"/>
      <c r="AP394" s="781"/>
      <c r="AQ394" s="781"/>
      <c r="AR394" s="781"/>
      <c r="AS394" s="781"/>
      <c r="AT394" s="781"/>
      <c r="AU394" s="781"/>
    </row>
    <row r="395" ht="15.75" customHeight="1">
      <c r="A395" s="786">
        <v>44362.0</v>
      </c>
      <c r="B395" s="787" t="s">
        <v>2982</v>
      </c>
      <c r="C395" s="788" t="s">
        <v>2547</v>
      </c>
      <c r="D395" s="772" t="s">
        <v>6346</v>
      </c>
      <c r="E395" s="784">
        <v>100000.0</v>
      </c>
      <c r="F395" s="772" t="s">
        <v>2981</v>
      </c>
      <c r="G395" s="782" t="s">
        <v>2550</v>
      </c>
      <c r="H395" s="782" t="s">
        <v>29</v>
      </c>
      <c r="I395" s="782" t="s">
        <v>2551</v>
      </c>
      <c r="J395" s="782">
        <v>43703.0</v>
      </c>
      <c r="K395" s="785" t="s">
        <v>4206</v>
      </c>
      <c r="L395" s="781"/>
      <c r="M395" s="781"/>
      <c r="N395" s="781"/>
      <c r="O395" s="781"/>
      <c r="P395" s="781"/>
      <c r="Q395" s="781"/>
      <c r="R395" s="781"/>
      <c r="S395" s="781"/>
      <c r="T395" s="781"/>
      <c r="U395" s="781"/>
      <c r="V395" s="781"/>
      <c r="W395" s="781"/>
      <c r="X395" s="781"/>
      <c r="Y395" s="781"/>
      <c r="Z395" s="781"/>
      <c r="AA395" s="781"/>
      <c r="AB395" s="781"/>
      <c r="AC395" s="781"/>
      <c r="AD395" s="781"/>
      <c r="AE395" s="781"/>
      <c r="AF395" s="781"/>
      <c r="AG395" s="781"/>
      <c r="AH395" s="781"/>
      <c r="AI395" s="781"/>
      <c r="AJ395" s="781"/>
      <c r="AK395" s="781"/>
      <c r="AL395" s="781"/>
      <c r="AM395" s="781"/>
      <c r="AN395" s="781"/>
      <c r="AO395" s="781"/>
      <c r="AP395" s="781"/>
      <c r="AQ395" s="781"/>
      <c r="AR395" s="781"/>
      <c r="AS395" s="781"/>
      <c r="AT395" s="781"/>
      <c r="AU395" s="781"/>
    </row>
    <row r="396" ht="15.75" customHeight="1">
      <c r="A396" s="786">
        <v>44362.0</v>
      </c>
      <c r="B396" s="787" t="s">
        <v>2584</v>
      </c>
      <c r="C396" s="788" t="s">
        <v>2547</v>
      </c>
      <c r="D396" s="772" t="s">
        <v>6346</v>
      </c>
      <c r="E396" s="784">
        <v>5000.0</v>
      </c>
      <c r="F396" s="772" t="s">
        <v>2583</v>
      </c>
      <c r="G396" s="782" t="s">
        <v>2550</v>
      </c>
      <c r="H396" s="782" t="s">
        <v>29</v>
      </c>
      <c r="I396" s="782" t="s">
        <v>2551</v>
      </c>
      <c r="J396" s="782">
        <v>43753.0</v>
      </c>
      <c r="K396" s="785" t="s">
        <v>3828</v>
      </c>
      <c r="L396" s="781"/>
      <c r="M396" s="781"/>
      <c r="N396" s="781"/>
      <c r="O396" s="781"/>
      <c r="P396" s="781"/>
      <c r="Q396" s="781"/>
      <c r="R396" s="781"/>
      <c r="S396" s="781"/>
      <c r="T396" s="781"/>
      <c r="U396" s="781"/>
      <c r="V396" s="781"/>
      <c r="W396" s="781"/>
      <c r="X396" s="781"/>
      <c r="Y396" s="781"/>
      <c r="Z396" s="781"/>
      <c r="AA396" s="781"/>
      <c r="AB396" s="781"/>
      <c r="AC396" s="781"/>
      <c r="AD396" s="781"/>
      <c r="AE396" s="781"/>
      <c r="AF396" s="781"/>
      <c r="AG396" s="781"/>
      <c r="AH396" s="781"/>
      <c r="AI396" s="781"/>
      <c r="AJ396" s="781"/>
      <c r="AK396" s="781"/>
      <c r="AL396" s="781"/>
      <c r="AM396" s="781"/>
      <c r="AN396" s="781"/>
      <c r="AO396" s="781"/>
      <c r="AP396" s="781"/>
      <c r="AQ396" s="781"/>
      <c r="AR396" s="781"/>
      <c r="AS396" s="781"/>
      <c r="AT396" s="781"/>
      <c r="AU396" s="781"/>
    </row>
    <row r="397" ht="15.75" customHeight="1">
      <c r="A397" s="786">
        <v>44362.0</v>
      </c>
      <c r="B397" s="787" t="s">
        <v>3216</v>
      </c>
      <c r="C397" s="788" t="s">
        <v>2547</v>
      </c>
      <c r="D397" s="772" t="s">
        <v>6346</v>
      </c>
      <c r="E397" s="784">
        <v>312377.96</v>
      </c>
      <c r="F397" s="772" t="s">
        <v>3215</v>
      </c>
      <c r="G397" s="782" t="s">
        <v>18</v>
      </c>
      <c r="H397" s="782" t="s">
        <v>176</v>
      </c>
      <c r="I397" s="782" t="s">
        <v>197</v>
      </c>
      <c r="J397" s="782">
        <v>44322.0</v>
      </c>
      <c r="K397" s="785" t="s">
        <v>3828</v>
      </c>
      <c r="L397" s="781"/>
      <c r="M397" s="781"/>
      <c r="N397" s="781"/>
      <c r="O397" s="781"/>
      <c r="P397" s="781"/>
      <c r="Q397" s="781"/>
      <c r="R397" s="781"/>
      <c r="S397" s="781"/>
      <c r="T397" s="781"/>
      <c r="U397" s="781"/>
      <c r="V397" s="781"/>
      <c r="W397" s="781"/>
      <c r="X397" s="781"/>
      <c r="Y397" s="781"/>
      <c r="Z397" s="781"/>
      <c r="AA397" s="781"/>
      <c r="AB397" s="781"/>
      <c r="AC397" s="781"/>
      <c r="AD397" s="781"/>
      <c r="AE397" s="781"/>
      <c r="AF397" s="781"/>
      <c r="AG397" s="781"/>
      <c r="AH397" s="781"/>
      <c r="AI397" s="781"/>
      <c r="AJ397" s="781"/>
      <c r="AK397" s="781"/>
      <c r="AL397" s="781"/>
      <c r="AM397" s="781"/>
      <c r="AN397" s="781"/>
      <c r="AO397" s="781"/>
      <c r="AP397" s="781"/>
      <c r="AQ397" s="781"/>
      <c r="AR397" s="781"/>
      <c r="AS397" s="781"/>
      <c r="AT397" s="781"/>
      <c r="AU397" s="781"/>
    </row>
    <row r="398" ht="15.75" customHeight="1">
      <c r="A398" s="786">
        <v>44362.0</v>
      </c>
      <c r="B398" s="787" t="s">
        <v>3012</v>
      </c>
      <c r="C398" s="788" t="s">
        <v>2547</v>
      </c>
      <c r="D398" s="772" t="s">
        <v>6346</v>
      </c>
      <c r="E398" s="784">
        <v>15000.0</v>
      </c>
      <c r="F398" s="772" t="s">
        <v>1182</v>
      </c>
      <c r="G398" s="782" t="s">
        <v>18</v>
      </c>
      <c r="H398" s="782" t="s">
        <v>176</v>
      </c>
      <c r="I398" s="782" t="s">
        <v>177</v>
      </c>
      <c r="J398" s="782">
        <v>44319.0</v>
      </c>
      <c r="K398" s="785" t="s">
        <v>3828</v>
      </c>
      <c r="L398" s="781"/>
      <c r="M398" s="781"/>
      <c r="N398" s="781"/>
      <c r="O398" s="781"/>
      <c r="P398" s="781"/>
      <c r="Q398" s="781"/>
      <c r="R398" s="781"/>
      <c r="S398" s="781"/>
      <c r="T398" s="781"/>
      <c r="U398" s="781"/>
      <c r="V398" s="781"/>
      <c r="W398" s="781"/>
      <c r="X398" s="781"/>
      <c r="Y398" s="781"/>
      <c r="Z398" s="781"/>
      <c r="AA398" s="781"/>
      <c r="AB398" s="781"/>
      <c r="AC398" s="781"/>
      <c r="AD398" s="781"/>
      <c r="AE398" s="781"/>
      <c r="AF398" s="781"/>
      <c r="AG398" s="781"/>
      <c r="AH398" s="781"/>
      <c r="AI398" s="781"/>
      <c r="AJ398" s="781"/>
      <c r="AK398" s="781"/>
      <c r="AL398" s="781"/>
      <c r="AM398" s="781"/>
      <c r="AN398" s="781"/>
      <c r="AO398" s="781"/>
      <c r="AP398" s="781"/>
      <c r="AQ398" s="781"/>
      <c r="AR398" s="781"/>
      <c r="AS398" s="781"/>
      <c r="AT398" s="781"/>
      <c r="AU398" s="781"/>
    </row>
    <row r="399" ht="15.75" customHeight="1">
      <c r="A399" s="786">
        <v>44362.0</v>
      </c>
      <c r="B399" s="787" t="s">
        <v>6398</v>
      </c>
      <c r="C399" s="788" t="s">
        <v>3820</v>
      </c>
      <c r="D399" s="772" t="s">
        <v>6346</v>
      </c>
      <c r="E399" s="784">
        <v>15000.0</v>
      </c>
      <c r="F399" s="772" t="s">
        <v>4966</v>
      </c>
      <c r="G399" s="772" t="s">
        <v>105</v>
      </c>
      <c r="H399" s="772" t="s">
        <v>29</v>
      </c>
      <c r="I399" s="772" t="s">
        <v>3660</v>
      </c>
      <c r="J399" s="782">
        <v>44090.0</v>
      </c>
      <c r="K399" s="789" t="s">
        <v>3836</v>
      </c>
      <c r="L399" s="781"/>
      <c r="M399" s="781"/>
      <c r="N399" s="781"/>
      <c r="O399" s="781"/>
      <c r="P399" s="781"/>
      <c r="Q399" s="781"/>
      <c r="R399" s="781"/>
      <c r="S399" s="781"/>
      <c r="T399" s="781"/>
      <c r="U399" s="781"/>
      <c r="V399" s="781"/>
      <c r="W399" s="781"/>
      <c r="X399" s="781"/>
      <c r="Y399" s="781"/>
      <c r="Z399" s="781"/>
      <c r="AA399" s="781"/>
      <c r="AB399" s="781"/>
      <c r="AC399" s="781"/>
      <c r="AD399" s="781"/>
      <c r="AE399" s="781"/>
      <c r="AF399" s="781"/>
      <c r="AG399" s="781"/>
      <c r="AH399" s="781"/>
      <c r="AI399" s="781"/>
      <c r="AJ399" s="781"/>
      <c r="AK399" s="781"/>
      <c r="AL399" s="781"/>
      <c r="AM399" s="781"/>
      <c r="AN399" s="781"/>
      <c r="AO399" s="781"/>
      <c r="AP399" s="781"/>
      <c r="AQ399" s="781"/>
      <c r="AR399" s="781"/>
      <c r="AS399" s="781"/>
      <c r="AT399" s="781"/>
      <c r="AU399" s="781"/>
    </row>
    <row r="400" ht="15.75" customHeight="1">
      <c r="A400" s="786">
        <v>44363.0</v>
      </c>
      <c r="B400" s="787" t="s">
        <v>3246</v>
      </c>
      <c r="C400" s="788" t="s">
        <v>2547</v>
      </c>
      <c r="D400" s="772" t="s">
        <v>6346</v>
      </c>
      <c r="E400" s="784">
        <v>40000.0</v>
      </c>
      <c r="F400" s="772" t="s">
        <v>3245</v>
      </c>
      <c r="G400" s="782" t="s">
        <v>2550</v>
      </c>
      <c r="H400" s="782" t="s">
        <v>29</v>
      </c>
      <c r="I400" s="782" t="s">
        <v>2551</v>
      </c>
      <c r="J400" s="782">
        <v>43564.0</v>
      </c>
      <c r="K400" s="785" t="s">
        <v>3840</v>
      </c>
      <c r="L400" s="781"/>
      <c r="M400" s="781"/>
      <c r="N400" s="781"/>
      <c r="O400" s="781"/>
      <c r="P400" s="781"/>
      <c r="Q400" s="781"/>
      <c r="R400" s="781"/>
      <c r="S400" s="781"/>
      <c r="T400" s="781"/>
      <c r="U400" s="781"/>
      <c r="V400" s="781"/>
      <c r="W400" s="781"/>
      <c r="X400" s="781"/>
      <c r="Y400" s="781"/>
      <c r="Z400" s="781"/>
      <c r="AA400" s="781"/>
      <c r="AB400" s="781"/>
      <c r="AC400" s="781"/>
      <c r="AD400" s="781"/>
      <c r="AE400" s="781"/>
      <c r="AF400" s="781"/>
      <c r="AG400" s="781"/>
      <c r="AH400" s="781"/>
      <c r="AI400" s="781"/>
      <c r="AJ400" s="781"/>
      <c r="AK400" s="781"/>
      <c r="AL400" s="781"/>
      <c r="AM400" s="781"/>
      <c r="AN400" s="781"/>
      <c r="AO400" s="781"/>
      <c r="AP400" s="781"/>
      <c r="AQ400" s="781"/>
      <c r="AR400" s="781"/>
      <c r="AS400" s="781"/>
      <c r="AT400" s="781"/>
      <c r="AU400" s="781"/>
    </row>
    <row r="401" ht="15.75" customHeight="1">
      <c r="A401" s="786">
        <v>44364.0</v>
      </c>
      <c r="B401" s="787" t="s">
        <v>3216</v>
      </c>
      <c r="C401" s="788" t="s">
        <v>2547</v>
      </c>
      <c r="D401" s="772" t="s">
        <v>6346</v>
      </c>
      <c r="E401" s="784">
        <v>11500.0</v>
      </c>
      <c r="F401" s="772" t="s">
        <v>3215</v>
      </c>
      <c r="G401" s="782" t="s">
        <v>18</v>
      </c>
      <c r="H401" s="782" t="s">
        <v>176</v>
      </c>
      <c r="I401" s="782" t="s">
        <v>197</v>
      </c>
      <c r="J401" s="782">
        <v>44322.0</v>
      </c>
      <c r="K401" s="785" t="s">
        <v>3828</v>
      </c>
      <c r="L401" s="781"/>
      <c r="M401" s="781"/>
      <c r="N401" s="781"/>
      <c r="O401" s="781"/>
      <c r="P401" s="781"/>
      <c r="Q401" s="781"/>
      <c r="R401" s="781"/>
      <c r="S401" s="781"/>
      <c r="T401" s="781"/>
      <c r="U401" s="781"/>
      <c r="V401" s="781"/>
      <c r="W401" s="781"/>
      <c r="X401" s="781"/>
      <c r="Y401" s="781"/>
      <c r="Z401" s="781"/>
      <c r="AA401" s="781"/>
      <c r="AB401" s="781"/>
      <c r="AC401" s="781"/>
      <c r="AD401" s="781"/>
      <c r="AE401" s="781"/>
      <c r="AF401" s="781"/>
      <c r="AG401" s="781"/>
      <c r="AH401" s="781"/>
      <c r="AI401" s="781"/>
      <c r="AJ401" s="781"/>
      <c r="AK401" s="781"/>
      <c r="AL401" s="781"/>
      <c r="AM401" s="781"/>
      <c r="AN401" s="781"/>
      <c r="AO401" s="781"/>
      <c r="AP401" s="781"/>
      <c r="AQ401" s="781"/>
      <c r="AR401" s="781"/>
      <c r="AS401" s="781"/>
      <c r="AT401" s="781"/>
      <c r="AU401" s="781"/>
    </row>
    <row r="402" ht="15.75" customHeight="1">
      <c r="A402" s="786">
        <v>44365.0</v>
      </c>
      <c r="B402" s="787" t="s">
        <v>2666</v>
      </c>
      <c r="C402" s="788" t="s">
        <v>2547</v>
      </c>
      <c r="D402" s="772" t="s">
        <v>6346</v>
      </c>
      <c r="E402" s="784">
        <v>100000.0</v>
      </c>
      <c r="F402" s="772" t="s">
        <v>2665</v>
      </c>
      <c r="G402" s="782" t="s">
        <v>18</v>
      </c>
      <c r="H402" s="782" t="s">
        <v>176</v>
      </c>
      <c r="I402" s="782" t="s">
        <v>197</v>
      </c>
      <c r="J402" s="782">
        <v>44295.0</v>
      </c>
      <c r="K402" s="785" t="s">
        <v>3824</v>
      </c>
      <c r="L402" s="781"/>
      <c r="M402" s="781"/>
      <c r="N402" s="781"/>
      <c r="O402" s="781"/>
      <c r="P402" s="781"/>
      <c r="Q402" s="781"/>
      <c r="R402" s="781"/>
      <c r="S402" s="781"/>
      <c r="T402" s="781"/>
      <c r="U402" s="781"/>
      <c r="V402" s="781"/>
      <c r="W402" s="781"/>
      <c r="X402" s="781"/>
      <c r="Y402" s="781"/>
      <c r="Z402" s="781"/>
      <c r="AA402" s="781"/>
      <c r="AB402" s="781"/>
      <c r="AC402" s="781"/>
      <c r="AD402" s="781"/>
      <c r="AE402" s="781"/>
      <c r="AF402" s="781"/>
      <c r="AG402" s="781"/>
      <c r="AH402" s="781"/>
      <c r="AI402" s="781"/>
      <c r="AJ402" s="781"/>
      <c r="AK402" s="781"/>
      <c r="AL402" s="781"/>
      <c r="AM402" s="781"/>
      <c r="AN402" s="781"/>
      <c r="AO402" s="781"/>
      <c r="AP402" s="781"/>
      <c r="AQ402" s="781"/>
      <c r="AR402" s="781"/>
      <c r="AS402" s="781"/>
      <c r="AT402" s="781"/>
      <c r="AU402" s="781"/>
    </row>
    <row r="403" ht="15.75" customHeight="1">
      <c r="A403" s="786">
        <v>44368.0</v>
      </c>
      <c r="B403" s="787" t="s">
        <v>3409</v>
      </c>
      <c r="C403" s="788" t="s">
        <v>2547</v>
      </c>
      <c r="D403" s="772" t="s">
        <v>6346</v>
      </c>
      <c r="E403" s="784">
        <v>100000.0</v>
      </c>
      <c r="F403" s="772" t="s">
        <v>3408</v>
      </c>
      <c r="G403" s="782" t="s">
        <v>2550</v>
      </c>
      <c r="H403" s="782" t="s">
        <v>29</v>
      </c>
      <c r="I403" s="782" t="s">
        <v>2551</v>
      </c>
      <c r="J403" s="782">
        <v>43894.0</v>
      </c>
      <c r="K403" s="785" t="s">
        <v>3836</v>
      </c>
      <c r="L403" s="781"/>
      <c r="M403" s="781"/>
      <c r="N403" s="781"/>
      <c r="O403" s="781"/>
      <c r="P403" s="781"/>
      <c r="Q403" s="781"/>
      <c r="R403" s="781"/>
      <c r="S403" s="781"/>
      <c r="T403" s="781"/>
      <c r="U403" s="781"/>
      <c r="V403" s="781"/>
      <c r="W403" s="781"/>
      <c r="X403" s="781"/>
      <c r="Y403" s="781"/>
      <c r="Z403" s="781"/>
      <c r="AA403" s="781"/>
      <c r="AB403" s="781"/>
      <c r="AC403" s="781"/>
      <c r="AD403" s="781"/>
      <c r="AE403" s="781"/>
      <c r="AF403" s="781"/>
      <c r="AG403" s="781"/>
      <c r="AH403" s="781"/>
      <c r="AI403" s="781"/>
      <c r="AJ403" s="781"/>
      <c r="AK403" s="781"/>
      <c r="AL403" s="781"/>
      <c r="AM403" s="781"/>
      <c r="AN403" s="781"/>
      <c r="AO403" s="781"/>
      <c r="AP403" s="781"/>
      <c r="AQ403" s="781"/>
      <c r="AR403" s="781"/>
      <c r="AS403" s="781"/>
      <c r="AT403" s="781"/>
      <c r="AU403" s="781"/>
    </row>
    <row r="404" ht="15.75" customHeight="1">
      <c r="A404" s="786">
        <v>44368.0</v>
      </c>
      <c r="B404" s="787" t="s">
        <v>6399</v>
      </c>
      <c r="C404" s="788" t="s">
        <v>3820</v>
      </c>
      <c r="D404" s="772" t="s">
        <v>1481</v>
      </c>
      <c r="E404" s="784">
        <v>7000.0</v>
      </c>
      <c r="F404" s="772" t="s">
        <v>4255</v>
      </c>
      <c r="G404" s="772" t="s">
        <v>18</v>
      </c>
      <c r="H404" s="772" t="s">
        <v>29</v>
      </c>
      <c r="I404" s="772" t="s">
        <v>3827</v>
      </c>
      <c r="J404" s="782">
        <v>44075.0</v>
      </c>
      <c r="K404" s="789" t="s">
        <v>3828</v>
      </c>
      <c r="L404" s="781"/>
      <c r="M404" s="781"/>
      <c r="N404" s="781"/>
      <c r="O404" s="781"/>
      <c r="P404" s="781"/>
      <c r="Q404" s="781"/>
      <c r="R404" s="781"/>
      <c r="S404" s="781"/>
      <c r="T404" s="781"/>
      <c r="U404" s="781"/>
      <c r="V404" s="781"/>
      <c r="W404" s="781"/>
      <c r="X404" s="781"/>
      <c r="Y404" s="781"/>
      <c r="Z404" s="781"/>
      <c r="AA404" s="781"/>
      <c r="AB404" s="781"/>
      <c r="AC404" s="781"/>
      <c r="AD404" s="781"/>
      <c r="AE404" s="781"/>
      <c r="AF404" s="781"/>
      <c r="AG404" s="781"/>
      <c r="AH404" s="781"/>
      <c r="AI404" s="781"/>
      <c r="AJ404" s="781"/>
      <c r="AK404" s="781"/>
      <c r="AL404" s="781"/>
      <c r="AM404" s="781"/>
      <c r="AN404" s="781"/>
      <c r="AO404" s="781"/>
      <c r="AP404" s="781"/>
      <c r="AQ404" s="781"/>
      <c r="AR404" s="781"/>
      <c r="AS404" s="781"/>
      <c r="AT404" s="781"/>
      <c r="AU404" s="781"/>
    </row>
    <row r="405" ht="15.75" customHeight="1">
      <c r="A405" s="782">
        <v>44369.0</v>
      </c>
      <c r="B405" s="783" t="s">
        <v>6351</v>
      </c>
      <c r="C405" s="772" t="s">
        <v>3820</v>
      </c>
      <c r="D405" s="772" t="s">
        <v>6345</v>
      </c>
      <c r="E405" s="784">
        <v>0.0</v>
      </c>
      <c r="F405" s="772" t="s">
        <v>4691</v>
      </c>
      <c r="G405" s="772" t="s">
        <v>2550</v>
      </c>
      <c r="H405" s="772" t="s">
        <v>29</v>
      </c>
      <c r="I405" s="772" t="s">
        <v>2550</v>
      </c>
      <c r="J405" s="782">
        <v>43872.0</v>
      </c>
      <c r="K405" s="789" t="s">
        <v>3828</v>
      </c>
      <c r="L405" s="781"/>
      <c r="M405" s="781"/>
      <c r="N405" s="781"/>
      <c r="O405" s="781"/>
      <c r="P405" s="781"/>
      <c r="Q405" s="781"/>
      <c r="R405" s="781"/>
      <c r="S405" s="781"/>
      <c r="T405" s="781"/>
      <c r="U405" s="781"/>
      <c r="V405" s="781"/>
      <c r="W405" s="781"/>
      <c r="X405" s="781"/>
      <c r="Y405" s="781"/>
      <c r="Z405" s="781"/>
      <c r="AA405" s="781"/>
      <c r="AB405" s="781"/>
      <c r="AC405" s="781"/>
      <c r="AD405" s="781"/>
      <c r="AE405" s="781"/>
      <c r="AF405" s="781"/>
      <c r="AG405" s="781"/>
      <c r="AH405" s="781"/>
      <c r="AI405" s="781"/>
      <c r="AJ405" s="781"/>
      <c r="AK405" s="781"/>
      <c r="AL405" s="781"/>
      <c r="AM405" s="781"/>
      <c r="AN405" s="781"/>
      <c r="AO405" s="781"/>
      <c r="AP405" s="781"/>
      <c r="AQ405" s="781"/>
      <c r="AR405" s="781"/>
      <c r="AS405" s="781"/>
      <c r="AT405" s="781"/>
      <c r="AU405" s="781"/>
    </row>
    <row r="406" ht="15.75" customHeight="1">
      <c r="A406" s="786">
        <v>44369.0</v>
      </c>
      <c r="B406" s="787" t="s">
        <v>3441</v>
      </c>
      <c r="C406" s="788" t="s">
        <v>2547</v>
      </c>
      <c r="D406" s="772" t="s">
        <v>6346</v>
      </c>
      <c r="E406" s="784">
        <v>30000.0</v>
      </c>
      <c r="F406" s="772" t="s">
        <v>3440</v>
      </c>
      <c r="G406" s="782" t="s">
        <v>18</v>
      </c>
      <c r="H406" s="782" t="s">
        <v>176</v>
      </c>
      <c r="I406" s="782" t="s">
        <v>197</v>
      </c>
      <c r="J406" s="782">
        <v>44319.0</v>
      </c>
      <c r="K406" s="785" t="s">
        <v>3828</v>
      </c>
      <c r="L406" s="781"/>
      <c r="M406" s="781"/>
      <c r="N406" s="781"/>
      <c r="O406" s="781"/>
      <c r="P406" s="781"/>
      <c r="Q406" s="781"/>
      <c r="R406" s="781"/>
      <c r="S406" s="781"/>
      <c r="T406" s="781"/>
      <c r="U406" s="781"/>
      <c r="V406" s="781"/>
      <c r="W406" s="781"/>
      <c r="X406" s="781"/>
      <c r="Y406" s="781"/>
      <c r="Z406" s="781"/>
      <c r="AA406" s="781"/>
      <c r="AB406" s="781"/>
      <c r="AC406" s="781"/>
      <c r="AD406" s="781"/>
      <c r="AE406" s="781"/>
      <c r="AF406" s="781"/>
      <c r="AG406" s="781"/>
      <c r="AH406" s="781"/>
      <c r="AI406" s="781"/>
      <c r="AJ406" s="781"/>
      <c r="AK406" s="781"/>
      <c r="AL406" s="781"/>
      <c r="AM406" s="781"/>
      <c r="AN406" s="781"/>
      <c r="AO406" s="781"/>
      <c r="AP406" s="781"/>
      <c r="AQ406" s="781"/>
      <c r="AR406" s="781"/>
      <c r="AS406" s="781"/>
      <c r="AT406" s="781"/>
      <c r="AU406" s="781"/>
    </row>
    <row r="407" ht="15.75" customHeight="1">
      <c r="A407" s="786">
        <v>44370.0</v>
      </c>
      <c r="B407" s="787" t="s">
        <v>6400</v>
      </c>
      <c r="C407" s="788" t="s">
        <v>3820</v>
      </c>
      <c r="D407" s="772" t="s">
        <v>6346</v>
      </c>
      <c r="E407" s="784">
        <v>10000.0</v>
      </c>
      <c r="F407" s="772" t="s">
        <v>1056</v>
      </c>
      <c r="G407" s="772" t="s">
        <v>105</v>
      </c>
      <c r="H407" s="772" t="s">
        <v>29</v>
      </c>
      <c r="I407" s="772" t="s">
        <v>4122</v>
      </c>
      <c r="J407" s="782">
        <v>44145.0</v>
      </c>
      <c r="K407" s="789" t="s">
        <v>3824</v>
      </c>
      <c r="L407" s="781"/>
      <c r="M407" s="781"/>
      <c r="N407" s="781"/>
      <c r="O407" s="781"/>
      <c r="P407" s="781"/>
      <c r="Q407" s="781"/>
      <c r="R407" s="781"/>
      <c r="S407" s="781"/>
      <c r="T407" s="781"/>
      <c r="U407" s="781"/>
      <c r="V407" s="781"/>
      <c r="W407" s="781"/>
      <c r="X407" s="781"/>
      <c r="Y407" s="781"/>
      <c r="Z407" s="781"/>
      <c r="AA407" s="781"/>
      <c r="AB407" s="781"/>
      <c r="AC407" s="781"/>
      <c r="AD407" s="781"/>
      <c r="AE407" s="781"/>
      <c r="AF407" s="781"/>
      <c r="AG407" s="781"/>
      <c r="AH407" s="781"/>
      <c r="AI407" s="781"/>
      <c r="AJ407" s="781"/>
      <c r="AK407" s="781"/>
      <c r="AL407" s="781"/>
      <c r="AM407" s="781"/>
      <c r="AN407" s="781"/>
      <c r="AO407" s="781"/>
      <c r="AP407" s="781"/>
      <c r="AQ407" s="781"/>
      <c r="AR407" s="781"/>
      <c r="AS407" s="781"/>
      <c r="AT407" s="781"/>
      <c r="AU407" s="781"/>
    </row>
    <row r="408" ht="15.75" customHeight="1">
      <c r="A408" s="786">
        <v>44371.0</v>
      </c>
      <c r="B408" s="787" t="s">
        <v>6401</v>
      </c>
      <c r="C408" s="788" t="s">
        <v>3820</v>
      </c>
      <c r="D408" s="772" t="s">
        <v>6346</v>
      </c>
      <c r="E408" s="784">
        <v>150000.0</v>
      </c>
      <c r="F408" s="772" t="s">
        <v>4993</v>
      </c>
      <c r="G408" s="772" t="s">
        <v>18</v>
      </c>
      <c r="H408" s="772" t="s">
        <v>19</v>
      </c>
      <c r="I408" s="772" t="s">
        <v>256</v>
      </c>
      <c r="J408" s="782">
        <v>44349.0</v>
      </c>
      <c r="K408" s="789" t="s">
        <v>4029</v>
      </c>
      <c r="L408" s="781"/>
      <c r="M408" s="781"/>
      <c r="N408" s="781"/>
      <c r="O408" s="781"/>
      <c r="P408" s="781"/>
      <c r="Q408" s="781"/>
      <c r="R408" s="781"/>
      <c r="S408" s="781"/>
      <c r="T408" s="781"/>
      <c r="U408" s="781"/>
      <c r="V408" s="781"/>
      <c r="W408" s="781"/>
      <c r="X408" s="781"/>
      <c r="Y408" s="781"/>
      <c r="Z408" s="781"/>
      <c r="AA408" s="781"/>
      <c r="AB408" s="781"/>
      <c r="AC408" s="781"/>
      <c r="AD408" s="781"/>
      <c r="AE408" s="781"/>
      <c r="AF408" s="781"/>
      <c r="AG408" s="781"/>
      <c r="AH408" s="781"/>
      <c r="AI408" s="781"/>
      <c r="AJ408" s="781"/>
      <c r="AK408" s="781"/>
      <c r="AL408" s="781"/>
      <c r="AM408" s="781"/>
      <c r="AN408" s="781"/>
      <c r="AO408" s="781"/>
      <c r="AP408" s="781"/>
      <c r="AQ408" s="781"/>
      <c r="AR408" s="781"/>
      <c r="AS408" s="781"/>
      <c r="AT408" s="781"/>
      <c r="AU408" s="781"/>
    </row>
    <row r="409" ht="15.75" customHeight="1">
      <c r="A409" s="786">
        <v>44372.0</v>
      </c>
      <c r="B409" s="787" t="s">
        <v>3041</v>
      </c>
      <c r="C409" s="788" t="s">
        <v>2547</v>
      </c>
      <c r="D409" s="772" t="s">
        <v>6346</v>
      </c>
      <c r="E409" s="784">
        <v>200000.0</v>
      </c>
      <c r="F409" s="772" t="s">
        <v>3040</v>
      </c>
      <c r="G409" s="782" t="s">
        <v>2550</v>
      </c>
      <c r="H409" s="782" t="s">
        <v>29</v>
      </c>
      <c r="I409" s="782" t="s">
        <v>2551</v>
      </c>
      <c r="J409" s="782">
        <v>43605.0</v>
      </c>
      <c r="K409" s="785" t="s">
        <v>3836</v>
      </c>
      <c r="L409" s="781"/>
      <c r="M409" s="781"/>
      <c r="N409" s="781"/>
      <c r="O409" s="781"/>
      <c r="P409" s="781"/>
      <c r="Q409" s="781"/>
      <c r="R409" s="781"/>
      <c r="S409" s="781"/>
      <c r="T409" s="781"/>
      <c r="U409" s="781"/>
      <c r="V409" s="781"/>
      <c r="W409" s="781"/>
      <c r="X409" s="781"/>
      <c r="Y409" s="781"/>
      <c r="Z409" s="781"/>
      <c r="AA409" s="781"/>
      <c r="AB409" s="781"/>
      <c r="AC409" s="781"/>
      <c r="AD409" s="781"/>
      <c r="AE409" s="781"/>
      <c r="AF409" s="781"/>
      <c r="AG409" s="781"/>
      <c r="AH409" s="781"/>
      <c r="AI409" s="781"/>
      <c r="AJ409" s="781"/>
      <c r="AK409" s="781"/>
      <c r="AL409" s="781"/>
      <c r="AM409" s="781"/>
      <c r="AN409" s="781"/>
      <c r="AO409" s="781"/>
      <c r="AP409" s="781"/>
      <c r="AQ409" s="781"/>
      <c r="AR409" s="781"/>
      <c r="AS409" s="781"/>
      <c r="AT409" s="781"/>
      <c r="AU409" s="781"/>
    </row>
    <row r="410" ht="15.75" customHeight="1">
      <c r="A410" s="786">
        <v>44372.0</v>
      </c>
      <c r="B410" s="787" t="s">
        <v>3412</v>
      </c>
      <c r="C410" s="788" t="s">
        <v>2547</v>
      </c>
      <c r="D410" s="772" t="s">
        <v>6346</v>
      </c>
      <c r="E410" s="784">
        <v>60000.0</v>
      </c>
      <c r="F410" s="772" t="s">
        <v>3411</v>
      </c>
      <c r="G410" s="782" t="s">
        <v>18</v>
      </c>
      <c r="H410" s="782" t="s">
        <v>176</v>
      </c>
      <c r="I410" s="782" t="s">
        <v>197</v>
      </c>
      <c r="J410" s="782">
        <v>44279.0</v>
      </c>
      <c r="K410" s="785" t="s">
        <v>3828</v>
      </c>
      <c r="L410" s="781"/>
      <c r="M410" s="781"/>
      <c r="N410" s="781"/>
      <c r="O410" s="781"/>
      <c r="P410" s="781"/>
      <c r="Q410" s="781"/>
      <c r="R410" s="781"/>
      <c r="S410" s="781"/>
      <c r="T410" s="781"/>
      <c r="U410" s="781"/>
      <c r="V410" s="781"/>
      <c r="W410" s="781"/>
      <c r="X410" s="781"/>
      <c r="Y410" s="781"/>
      <c r="Z410" s="781"/>
      <c r="AA410" s="781"/>
      <c r="AB410" s="781"/>
      <c r="AC410" s="781"/>
      <c r="AD410" s="781"/>
      <c r="AE410" s="781"/>
      <c r="AF410" s="781"/>
      <c r="AG410" s="781"/>
      <c r="AH410" s="781"/>
      <c r="AI410" s="781"/>
      <c r="AJ410" s="781"/>
      <c r="AK410" s="781"/>
      <c r="AL410" s="781"/>
      <c r="AM410" s="781"/>
      <c r="AN410" s="781"/>
      <c r="AO410" s="781"/>
      <c r="AP410" s="781"/>
      <c r="AQ410" s="781"/>
      <c r="AR410" s="781"/>
      <c r="AS410" s="781"/>
      <c r="AT410" s="781"/>
      <c r="AU410" s="781"/>
    </row>
    <row r="411" ht="15.75" customHeight="1">
      <c r="A411" s="786">
        <v>44372.0</v>
      </c>
      <c r="B411" s="787" t="s">
        <v>6402</v>
      </c>
      <c r="C411" s="788" t="s">
        <v>3820</v>
      </c>
      <c r="D411" s="772" t="s">
        <v>6346</v>
      </c>
      <c r="E411" s="784">
        <v>30000.0</v>
      </c>
      <c r="F411" s="772" t="s">
        <v>3896</v>
      </c>
      <c r="G411" s="772" t="s">
        <v>105</v>
      </c>
      <c r="H411" s="772" t="s">
        <v>29</v>
      </c>
      <c r="I411" s="763" t="s">
        <v>3897</v>
      </c>
      <c r="J411" s="782">
        <v>44180.0</v>
      </c>
      <c r="K411" s="789" t="s">
        <v>3836</v>
      </c>
      <c r="L411" s="781"/>
      <c r="M411" s="781"/>
      <c r="N411" s="781"/>
      <c r="O411" s="781"/>
      <c r="P411" s="781"/>
      <c r="Q411" s="781"/>
      <c r="R411" s="781"/>
      <c r="S411" s="781"/>
      <c r="T411" s="781"/>
      <c r="U411" s="781"/>
      <c r="V411" s="781"/>
      <c r="W411" s="781"/>
      <c r="X411" s="781"/>
      <c r="Y411" s="781"/>
      <c r="Z411" s="781"/>
      <c r="AA411" s="781"/>
      <c r="AB411" s="781"/>
      <c r="AC411" s="781"/>
      <c r="AD411" s="781"/>
      <c r="AE411" s="781"/>
      <c r="AF411" s="781"/>
      <c r="AG411" s="781"/>
      <c r="AH411" s="781"/>
      <c r="AI411" s="781"/>
      <c r="AJ411" s="781"/>
      <c r="AK411" s="781"/>
      <c r="AL411" s="781"/>
      <c r="AM411" s="781"/>
      <c r="AN411" s="781"/>
      <c r="AO411" s="781"/>
      <c r="AP411" s="781"/>
      <c r="AQ411" s="781"/>
      <c r="AR411" s="781"/>
      <c r="AS411" s="781"/>
      <c r="AT411" s="781"/>
      <c r="AU411" s="781"/>
    </row>
    <row r="412" ht="15.75" customHeight="1">
      <c r="A412" s="782">
        <v>44375.0</v>
      </c>
      <c r="B412" s="783" t="s">
        <v>2896</v>
      </c>
      <c r="C412" s="772" t="s">
        <v>2547</v>
      </c>
      <c r="D412" s="772" t="s">
        <v>6345</v>
      </c>
      <c r="E412" s="784">
        <v>373842.57</v>
      </c>
      <c r="F412" s="772" t="s">
        <v>2895</v>
      </c>
      <c r="G412" s="782" t="s">
        <v>2659</v>
      </c>
      <c r="H412" s="782" t="s">
        <v>29</v>
      </c>
      <c r="I412" s="809" t="s">
        <v>2659</v>
      </c>
      <c r="J412" s="782">
        <v>43829.0</v>
      </c>
      <c r="K412" s="785" t="s">
        <v>3840</v>
      </c>
      <c r="L412" s="781"/>
      <c r="M412" s="781"/>
      <c r="N412" s="781"/>
      <c r="O412" s="781"/>
      <c r="P412" s="781"/>
      <c r="Q412" s="781"/>
      <c r="R412" s="781"/>
      <c r="S412" s="781"/>
      <c r="T412" s="781"/>
      <c r="U412" s="781"/>
      <c r="V412" s="781"/>
      <c r="W412" s="781"/>
      <c r="X412" s="781"/>
      <c r="Y412" s="781"/>
      <c r="Z412" s="781"/>
      <c r="AA412" s="781"/>
      <c r="AB412" s="781"/>
      <c r="AC412" s="781"/>
      <c r="AD412" s="781"/>
      <c r="AE412" s="781"/>
      <c r="AF412" s="781"/>
      <c r="AG412" s="781"/>
      <c r="AH412" s="781"/>
      <c r="AI412" s="781"/>
      <c r="AJ412" s="781"/>
      <c r="AK412" s="781"/>
      <c r="AL412" s="781"/>
      <c r="AM412" s="781"/>
      <c r="AN412" s="781"/>
      <c r="AO412" s="781"/>
      <c r="AP412" s="781"/>
      <c r="AQ412" s="781"/>
      <c r="AR412" s="781"/>
      <c r="AS412" s="781"/>
      <c r="AT412" s="781"/>
      <c r="AU412" s="781"/>
    </row>
    <row r="413" ht="15.75" customHeight="1">
      <c r="A413" s="786">
        <v>44375.0</v>
      </c>
      <c r="B413" s="787" t="s">
        <v>3269</v>
      </c>
      <c r="C413" s="788" t="s">
        <v>2547</v>
      </c>
      <c r="D413" s="772" t="s">
        <v>6346</v>
      </c>
      <c r="E413" s="784">
        <v>8000.0</v>
      </c>
      <c r="F413" s="772" t="s">
        <v>3268</v>
      </c>
      <c r="G413" s="782" t="s">
        <v>2550</v>
      </c>
      <c r="H413" s="782" t="s">
        <v>29</v>
      </c>
      <c r="I413" s="782" t="s">
        <v>2551</v>
      </c>
      <c r="J413" s="782">
        <v>43873.0</v>
      </c>
      <c r="K413" s="785" t="s">
        <v>3828</v>
      </c>
      <c r="L413" s="781"/>
      <c r="M413" s="781"/>
      <c r="N413" s="781"/>
      <c r="O413" s="781"/>
      <c r="P413" s="781"/>
      <c r="Q413" s="781"/>
      <c r="R413" s="781"/>
      <c r="S413" s="781"/>
      <c r="T413" s="781"/>
      <c r="U413" s="781"/>
      <c r="V413" s="781"/>
      <c r="W413" s="781"/>
      <c r="X413" s="781"/>
      <c r="Y413" s="781"/>
      <c r="Z413" s="781"/>
      <c r="AA413" s="781"/>
      <c r="AB413" s="781"/>
      <c r="AC413" s="781"/>
      <c r="AD413" s="781"/>
      <c r="AE413" s="781"/>
      <c r="AF413" s="781"/>
      <c r="AG413" s="781"/>
      <c r="AH413" s="781"/>
      <c r="AI413" s="781"/>
      <c r="AJ413" s="781"/>
      <c r="AK413" s="781"/>
      <c r="AL413" s="781"/>
      <c r="AM413" s="781"/>
      <c r="AN413" s="781"/>
      <c r="AO413" s="781"/>
      <c r="AP413" s="781"/>
      <c r="AQ413" s="781"/>
      <c r="AR413" s="781"/>
      <c r="AS413" s="781"/>
      <c r="AT413" s="781"/>
      <c r="AU413" s="781"/>
    </row>
    <row r="414" ht="15.75" customHeight="1">
      <c r="A414" s="786">
        <v>44375.0</v>
      </c>
      <c r="B414" s="787" t="s">
        <v>2982</v>
      </c>
      <c r="C414" s="788" t="s">
        <v>2547</v>
      </c>
      <c r="D414" s="772" t="s">
        <v>6346</v>
      </c>
      <c r="E414" s="784">
        <v>504274.77</v>
      </c>
      <c r="F414" s="772" t="s">
        <v>2981</v>
      </c>
      <c r="G414" s="782" t="s">
        <v>2550</v>
      </c>
      <c r="H414" s="782" t="s">
        <v>29</v>
      </c>
      <c r="I414" s="782" t="s">
        <v>2551</v>
      </c>
      <c r="J414" s="782">
        <v>43703.0</v>
      </c>
      <c r="K414" s="785" t="s">
        <v>4206</v>
      </c>
      <c r="L414" s="781"/>
      <c r="M414" s="781"/>
      <c r="N414" s="781"/>
      <c r="O414" s="781"/>
      <c r="P414" s="781"/>
      <c r="Q414" s="781"/>
      <c r="R414" s="781"/>
      <c r="S414" s="781"/>
      <c r="T414" s="781"/>
      <c r="U414" s="781"/>
      <c r="V414" s="781"/>
      <c r="W414" s="781"/>
      <c r="X414" s="781"/>
      <c r="Y414" s="781"/>
      <c r="Z414" s="781"/>
      <c r="AA414" s="781"/>
      <c r="AB414" s="781"/>
      <c r="AC414" s="781"/>
      <c r="AD414" s="781"/>
      <c r="AE414" s="781"/>
      <c r="AF414" s="781"/>
      <c r="AG414" s="781"/>
      <c r="AH414" s="781"/>
      <c r="AI414" s="781"/>
      <c r="AJ414" s="781"/>
      <c r="AK414" s="781"/>
      <c r="AL414" s="781"/>
      <c r="AM414" s="781"/>
      <c r="AN414" s="781"/>
      <c r="AO414" s="781"/>
      <c r="AP414" s="781"/>
      <c r="AQ414" s="781"/>
      <c r="AR414" s="781"/>
      <c r="AS414" s="781"/>
      <c r="AT414" s="781"/>
      <c r="AU414" s="781"/>
    </row>
    <row r="415" ht="15.75" customHeight="1">
      <c r="A415" s="786">
        <v>44375.0</v>
      </c>
      <c r="B415" s="787" t="s">
        <v>2982</v>
      </c>
      <c r="C415" s="788" t="s">
        <v>2547</v>
      </c>
      <c r="D415" s="772" t="s">
        <v>6346</v>
      </c>
      <c r="E415" s="784">
        <v>150000.0</v>
      </c>
      <c r="F415" s="772" t="s">
        <v>2981</v>
      </c>
      <c r="G415" s="782" t="s">
        <v>2550</v>
      </c>
      <c r="H415" s="782" t="s">
        <v>29</v>
      </c>
      <c r="I415" s="782" t="s">
        <v>2551</v>
      </c>
      <c r="J415" s="782">
        <v>43703.0</v>
      </c>
      <c r="K415" s="785" t="s">
        <v>4206</v>
      </c>
      <c r="L415" s="781"/>
      <c r="M415" s="781"/>
      <c r="N415" s="781"/>
      <c r="O415" s="781"/>
      <c r="P415" s="781"/>
      <c r="Q415" s="781"/>
      <c r="R415" s="781"/>
      <c r="S415" s="781"/>
      <c r="T415" s="781"/>
      <c r="U415" s="781"/>
      <c r="V415" s="781"/>
      <c r="W415" s="781"/>
      <c r="X415" s="781"/>
      <c r="Y415" s="781"/>
      <c r="Z415" s="781"/>
      <c r="AA415" s="781"/>
      <c r="AB415" s="781"/>
      <c r="AC415" s="781"/>
      <c r="AD415" s="781"/>
      <c r="AE415" s="781"/>
      <c r="AF415" s="781"/>
      <c r="AG415" s="781"/>
      <c r="AH415" s="781"/>
      <c r="AI415" s="781"/>
      <c r="AJ415" s="781"/>
      <c r="AK415" s="781"/>
      <c r="AL415" s="781"/>
      <c r="AM415" s="781"/>
      <c r="AN415" s="781"/>
      <c r="AO415" s="781"/>
      <c r="AP415" s="781"/>
      <c r="AQ415" s="781"/>
      <c r="AR415" s="781"/>
      <c r="AS415" s="781"/>
      <c r="AT415" s="781"/>
      <c r="AU415" s="781"/>
    </row>
    <row r="416" ht="15.75" customHeight="1">
      <c r="A416" s="786">
        <v>44375.0</v>
      </c>
      <c r="B416" s="787" t="s">
        <v>3274</v>
      </c>
      <c r="C416" s="788" t="s">
        <v>2547</v>
      </c>
      <c r="D416" s="772" t="s">
        <v>6346</v>
      </c>
      <c r="E416" s="784">
        <v>399197.6</v>
      </c>
      <c r="F416" s="772" t="s">
        <v>1714</v>
      </c>
      <c r="G416" s="782" t="s">
        <v>18</v>
      </c>
      <c r="H416" s="782" t="s">
        <v>176</v>
      </c>
      <c r="I416" s="782" t="s">
        <v>177</v>
      </c>
      <c r="J416" s="782">
        <v>44322.0</v>
      </c>
      <c r="K416" s="785" t="s">
        <v>3828</v>
      </c>
      <c r="L416" s="781"/>
      <c r="M416" s="781"/>
      <c r="N416" s="781"/>
      <c r="O416" s="781"/>
      <c r="P416" s="781"/>
      <c r="Q416" s="781"/>
      <c r="R416" s="781"/>
      <c r="S416" s="781"/>
      <c r="T416" s="781"/>
      <c r="U416" s="781"/>
      <c r="V416" s="781"/>
      <c r="W416" s="781"/>
      <c r="X416" s="781"/>
      <c r="Y416" s="781"/>
      <c r="Z416" s="781"/>
      <c r="AA416" s="781"/>
      <c r="AB416" s="781"/>
      <c r="AC416" s="781"/>
      <c r="AD416" s="781"/>
      <c r="AE416" s="781"/>
      <c r="AF416" s="781"/>
      <c r="AG416" s="781"/>
      <c r="AH416" s="781"/>
      <c r="AI416" s="781"/>
      <c r="AJ416" s="781"/>
      <c r="AK416" s="781"/>
      <c r="AL416" s="781"/>
      <c r="AM416" s="781"/>
      <c r="AN416" s="781"/>
      <c r="AO416" s="781"/>
      <c r="AP416" s="781"/>
      <c r="AQ416" s="781"/>
      <c r="AR416" s="781"/>
      <c r="AS416" s="781"/>
      <c r="AT416" s="781"/>
      <c r="AU416" s="781"/>
    </row>
    <row r="417" ht="15.75" customHeight="1">
      <c r="A417" s="786">
        <v>44376.0</v>
      </c>
      <c r="B417" s="787" t="s">
        <v>3026</v>
      </c>
      <c r="C417" s="788" t="s">
        <v>2547</v>
      </c>
      <c r="D417" s="772" t="s">
        <v>6346</v>
      </c>
      <c r="E417" s="784">
        <v>45000.0</v>
      </c>
      <c r="F417" s="772" t="s">
        <v>3025</v>
      </c>
      <c r="G417" s="782" t="s">
        <v>18</v>
      </c>
      <c r="H417" s="782" t="s">
        <v>176</v>
      </c>
      <c r="I417" s="782" t="s">
        <v>177</v>
      </c>
      <c r="J417" s="782">
        <v>44313.0</v>
      </c>
      <c r="K417" s="785" t="s">
        <v>3828</v>
      </c>
      <c r="L417" s="781"/>
      <c r="M417" s="781"/>
      <c r="N417" s="781"/>
      <c r="O417" s="781"/>
      <c r="P417" s="781"/>
      <c r="Q417" s="781"/>
      <c r="R417" s="781"/>
      <c r="S417" s="781"/>
      <c r="T417" s="781"/>
      <c r="U417" s="781"/>
      <c r="V417" s="781"/>
      <c r="W417" s="781"/>
      <c r="X417" s="781"/>
      <c r="Y417" s="781"/>
      <c r="Z417" s="781"/>
      <c r="AA417" s="781"/>
      <c r="AB417" s="781"/>
      <c r="AC417" s="781"/>
      <c r="AD417" s="781"/>
      <c r="AE417" s="781"/>
      <c r="AF417" s="781"/>
      <c r="AG417" s="781"/>
      <c r="AH417" s="781"/>
      <c r="AI417" s="781"/>
      <c r="AJ417" s="781"/>
      <c r="AK417" s="781"/>
      <c r="AL417" s="781"/>
      <c r="AM417" s="781"/>
      <c r="AN417" s="781"/>
      <c r="AO417" s="781"/>
      <c r="AP417" s="781"/>
      <c r="AQ417" s="781"/>
      <c r="AR417" s="781"/>
      <c r="AS417" s="781"/>
      <c r="AT417" s="781"/>
      <c r="AU417" s="781"/>
    </row>
    <row r="418" ht="15.75" customHeight="1">
      <c r="A418" s="786">
        <v>44377.0</v>
      </c>
      <c r="B418" s="787" t="s">
        <v>3048</v>
      </c>
      <c r="C418" s="788" t="s">
        <v>2547</v>
      </c>
      <c r="D418" s="772" t="s">
        <v>6346</v>
      </c>
      <c r="E418" s="784">
        <v>40000.0</v>
      </c>
      <c r="F418" s="772" t="s">
        <v>1242</v>
      </c>
      <c r="G418" s="782" t="s">
        <v>18</v>
      </c>
      <c r="H418" s="782" t="s">
        <v>176</v>
      </c>
      <c r="I418" s="782" t="s">
        <v>177</v>
      </c>
      <c r="J418" s="782">
        <v>44280.0</v>
      </c>
      <c r="K418" s="785" t="s">
        <v>3834</v>
      </c>
      <c r="L418" s="781"/>
      <c r="M418" s="781"/>
      <c r="N418" s="781"/>
      <c r="O418" s="781"/>
      <c r="P418" s="781"/>
      <c r="Q418" s="781"/>
      <c r="R418" s="781"/>
      <c r="S418" s="781"/>
      <c r="T418" s="781"/>
      <c r="U418" s="781"/>
      <c r="V418" s="781"/>
      <c r="W418" s="781"/>
      <c r="X418" s="781"/>
      <c r="Y418" s="781"/>
      <c r="Z418" s="781"/>
      <c r="AA418" s="781"/>
      <c r="AB418" s="781"/>
      <c r="AC418" s="781"/>
      <c r="AD418" s="781"/>
      <c r="AE418" s="781"/>
      <c r="AF418" s="781"/>
      <c r="AG418" s="781"/>
      <c r="AH418" s="781"/>
      <c r="AI418" s="781"/>
      <c r="AJ418" s="781"/>
      <c r="AK418" s="781"/>
      <c r="AL418" s="781"/>
      <c r="AM418" s="781"/>
      <c r="AN418" s="781"/>
      <c r="AO418" s="781"/>
      <c r="AP418" s="781"/>
      <c r="AQ418" s="781"/>
      <c r="AR418" s="781"/>
      <c r="AS418" s="781"/>
      <c r="AT418" s="781"/>
      <c r="AU418" s="781"/>
    </row>
    <row r="419" ht="15.75" customHeight="1">
      <c r="A419" s="786">
        <v>44377.0</v>
      </c>
      <c r="B419" s="787" t="s">
        <v>2902</v>
      </c>
      <c r="C419" s="788" t="s">
        <v>2547</v>
      </c>
      <c r="D419" s="772" t="s">
        <v>6346</v>
      </c>
      <c r="E419" s="784">
        <v>10000.0</v>
      </c>
      <c r="F419" s="772" t="s">
        <v>2901</v>
      </c>
      <c r="G419" s="782" t="s">
        <v>18</v>
      </c>
      <c r="H419" s="782" t="s">
        <v>176</v>
      </c>
      <c r="I419" s="782" t="s">
        <v>197</v>
      </c>
      <c r="J419" s="782">
        <v>44298.0</v>
      </c>
      <c r="K419" s="785" t="s">
        <v>3828</v>
      </c>
      <c r="L419" s="781"/>
      <c r="M419" s="781"/>
      <c r="N419" s="781"/>
      <c r="O419" s="781"/>
      <c r="P419" s="781"/>
      <c r="Q419" s="781"/>
      <c r="R419" s="781"/>
      <c r="S419" s="781"/>
      <c r="T419" s="781"/>
      <c r="U419" s="781"/>
      <c r="V419" s="781"/>
      <c r="W419" s="781"/>
      <c r="X419" s="781"/>
      <c r="Y419" s="781"/>
      <c r="Z419" s="781"/>
      <c r="AA419" s="781"/>
      <c r="AB419" s="781"/>
      <c r="AC419" s="781"/>
      <c r="AD419" s="781"/>
      <c r="AE419" s="781"/>
      <c r="AF419" s="781"/>
      <c r="AG419" s="781"/>
      <c r="AH419" s="781"/>
      <c r="AI419" s="781"/>
      <c r="AJ419" s="781"/>
      <c r="AK419" s="781"/>
      <c r="AL419" s="781"/>
      <c r="AM419" s="781"/>
      <c r="AN419" s="781"/>
      <c r="AO419" s="781"/>
      <c r="AP419" s="781"/>
      <c r="AQ419" s="781"/>
      <c r="AR419" s="781"/>
      <c r="AS419" s="781"/>
      <c r="AT419" s="781"/>
      <c r="AU419" s="781"/>
    </row>
    <row r="420" ht="15.75" customHeight="1">
      <c r="A420" s="786">
        <v>44377.0</v>
      </c>
      <c r="B420" s="787" t="s">
        <v>3409</v>
      </c>
      <c r="C420" s="788" t="s">
        <v>2547</v>
      </c>
      <c r="D420" s="772" t="s">
        <v>6346</v>
      </c>
      <c r="E420" s="784">
        <v>62000.0</v>
      </c>
      <c r="F420" s="772" t="s">
        <v>3408</v>
      </c>
      <c r="G420" s="782" t="s">
        <v>2550</v>
      </c>
      <c r="H420" s="782" t="s">
        <v>29</v>
      </c>
      <c r="I420" s="782" t="s">
        <v>2551</v>
      </c>
      <c r="J420" s="782">
        <v>43894.0</v>
      </c>
      <c r="K420" s="785" t="s">
        <v>3836</v>
      </c>
      <c r="L420" s="781"/>
      <c r="M420" s="781"/>
      <c r="N420" s="781"/>
      <c r="O420" s="781"/>
      <c r="P420" s="781"/>
      <c r="Q420" s="781"/>
      <c r="R420" s="781"/>
      <c r="S420" s="781"/>
      <c r="T420" s="781"/>
      <c r="U420" s="781"/>
      <c r="V420" s="781"/>
      <c r="W420" s="781"/>
      <c r="X420" s="781"/>
      <c r="Y420" s="781"/>
      <c r="Z420" s="781"/>
      <c r="AA420" s="781"/>
      <c r="AB420" s="781"/>
      <c r="AC420" s="781"/>
      <c r="AD420" s="781"/>
      <c r="AE420" s="781"/>
      <c r="AF420" s="781"/>
      <c r="AG420" s="781"/>
      <c r="AH420" s="781"/>
      <c r="AI420" s="781"/>
      <c r="AJ420" s="781"/>
      <c r="AK420" s="781"/>
      <c r="AL420" s="781"/>
      <c r="AM420" s="781"/>
      <c r="AN420" s="781"/>
      <c r="AO420" s="781"/>
      <c r="AP420" s="781"/>
      <c r="AQ420" s="781"/>
      <c r="AR420" s="781"/>
      <c r="AS420" s="781"/>
      <c r="AT420" s="781"/>
      <c r="AU420" s="781"/>
    </row>
    <row r="421" ht="15.75" customHeight="1">
      <c r="A421" s="786">
        <v>44377.0</v>
      </c>
      <c r="B421" s="787" t="s">
        <v>6403</v>
      </c>
      <c r="C421" s="788" t="s">
        <v>3820</v>
      </c>
      <c r="D421" s="772" t="s">
        <v>6346</v>
      </c>
      <c r="E421" s="784">
        <v>10000.0</v>
      </c>
      <c r="F421" s="772" t="s">
        <v>4470</v>
      </c>
      <c r="G421" s="772" t="s">
        <v>105</v>
      </c>
      <c r="H421" s="772" t="s">
        <v>29</v>
      </c>
      <c r="I421" s="772" t="s">
        <v>71</v>
      </c>
      <c r="J421" s="782">
        <v>44102.0</v>
      </c>
      <c r="K421" s="789" t="s">
        <v>3828</v>
      </c>
      <c r="L421" s="781"/>
      <c r="M421" s="781"/>
      <c r="N421" s="781"/>
      <c r="O421" s="781"/>
      <c r="P421" s="781"/>
      <c r="Q421" s="781"/>
      <c r="R421" s="781"/>
      <c r="S421" s="781"/>
      <c r="T421" s="781"/>
      <c r="U421" s="781"/>
      <c r="V421" s="781"/>
      <c r="W421" s="781"/>
      <c r="X421" s="781"/>
      <c r="Y421" s="781"/>
      <c r="Z421" s="781"/>
      <c r="AA421" s="781"/>
      <c r="AB421" s="781"/>
      <c r="AC421" s="781"/>
      <c r="AD421" s="781"/>
      <c r="AE421" s="781"/>
      <c r="AF421" s="781"/>
      <c r="AG421" s="781"/>
      <c r="AH421" s="781"/>
      <c r="AI421" s="781"/>
      <c r="AJ421" s="781"/>
      <c r="AK421" s="781"/>
      <c r="AL421" s="781"/>
      <c r="AM421" s="781"/>
      <c r="AN421" s="781"/>
      <c r="AO421" s="781"/>
      <c r="AP421" s="781"/>
      <c r="AQ421" s="781"/>
      <c r="AR421" s="781"/>
      <c r="AS421" s="781"/>
      <c r="AT421" s="781"/>
      <c r="AU421" s="781"/>
    </row>
    <row r="422" ht="15.75" customHeight="1">
      <c r="A422" s="782">
        <v>44378.0</v>
      </c>
      <c r="B422" s="783" t="s">
        <v>6404</v>
      </c>
      <c r="C422" s="772" t="s">
        <v>3820</v>
      </c>
      <c r="D422" s="772" t="s">
        <v>6345</v>
      </c>
      <c r="E422" s="784">
        <v>0.0</v>
      </c>
      <c r="F422" s="772" t="s">
        <v>4315</v>
      </c>
      <c r="G422" s="772" t="s">
        <v>18</v>
      </c>
      <c r="H422" s="772" t="s">
        <v>29</v>
      </c>
      <c r="I422" s="772" t="s">
        <v>4316</v>
      </c>
      <c r="J422" s="782">
        <v>44260.0</v>
      </c>
      <c r="K422" s="789" t="s">
        <v>3840</v>
      </c>
      <c r="L422" s="781"/>
      <c r="M422" s="781"/>
      <c r="N422" s="781"/>
      <c r="O422" s="781"/>
      <c r="P422" s="781"/>
      <c r="Q422" s="781"/>
      <c r="R422" s="781"/>
      <c r="S422" s="781"/>
      <c r="T422" s="781"/>
      <c r="U422" s="781"/>
      <c r="V422" s="781"/>
      <c r="W422" s="781"/>
      <c r="X422" s="781"/>
      <c r="Y422" s="781"/>
      <c r="Z422" s="781"/>
      <c r="AA422" s="781"/>
      <c r="AB422" s="781"/>
      <c r="AC422" s="781"/>
      <c r="AD422" s="781"/>
      <c r="AE422" s="781"/>
      <c r="AF422" s="781"/>
      <c r="AG422" s="781"/>
      <c r="AH422" s="781"/>
      <c r="AI422" s="781"/>
      <c r="AJ422" s="781"/>
      <c r="AK422" s="781"/>
      <c r="AL422" s="781"/>
      <c r="AM422" s="781"/>
      <c r="AN422" s="781"/>
      <c r="AO422" s="781"/>
      <c r="AP422" s="781"/>
      <c r="AQ422" s="781"/>
      <c r="AR422" s="781"/>
      <c r="AS422" s="781"/>
      <c r="AT422" s="781"/>
      <c r="AU422" s="781"/>
    </row>
    <row r="423" ht="15.75" customHeight="1">
      <c r="A423" s="782">
        <v>44378.0</v>
      </c>
      <c r="B423" s="783" t="s">
        <v>6405</v>
      </c>
      <c r="C423" s="772" t="s">
        <v>3820</v>
      </c>
      <c r="D423" s="772" t="s">
        <v>6345</v>
      </c>
      <c r="E423" s="784">
        <v>0.0</v>
      </c>
      <c r="F423" s="772" t="s">
        <v>4548</v>
      </c>
      <c r="G423" s="772" t="s">
        <v>18</v>
      </c>
      <c r="H423" s="772" t="s">
        <v>29</v>
      </c>
      <c r="I423" s="772" t="s">
        <v>4316</v>
      </c>
      <c r="J423" s="782">
        <v>44166.0</v>
      </c>
      <c r="K423" s="789" t="s">
        <v>3828</v>
      </c>
      <c r="L423" s="781"/>
      <c r="M423" s="781"/>
      <c r="N423" s="781"/>
      <c r="O423" s="781"/>
      <c r="P423" s="781"/>
      <c r="Q423" s="781"/>
      <c r="R423" s="781"/>
      <c r="S423" s="781"/>
      <c r="T423" s="781"/>
      <c r="U423" s="781"/>
      <c r="V423" s="781"/>
      <c r="W423" s="781"/>
      <c r="X423" s="781"/>
      <c r="Y423" s="781"/>
      <c r="Z423" s="781"/>
      <c r="AA423" s="781"/>
      <c r="AB423" s="781"/>
      <c r="AC423" s="781"/>
      <c r="AD423" s="781"/>
      <c r="AE423" s="781"/>
      <c r="AF423" s="781"/>
      <c r="AG423" s="781"/>
      <c r="AH423" s="781"/>
      <c r="AI423" s="781"/>
      <c r="AJ423" s="781"/>
      <c r="AK423" s="781"/>
      <c r="AL423" s="781"/>
      <c r="AM423" s="781"/>
      <c r="AN423" s="781"/>
      <c r="AO423" s="781"/>
      <c r="AP423" s="781"/>
      <c r="AQ423" s="781"/>
      <c r="AR423" s="781"/>
      <c r="AS423" s="781"/>
      <c r="AT423" s="781"/>
      <c r="AU423" s="781"/>
    </row>
    <row r="424" ht="15.75" customHeight="1">
      <c r="A424" s="782">
        <v>44378.0</v>
      </c>
      <c r="B424" s="783" t="s">
        <v>6406</v>
      </c>
      <c r="C424" s="772" t="s">
        <v>3820</v>
      </c>
      <c r="D424" s="772" t="s">
        <v>6345</v>
      </c>
      <c r="E424" s="784">
        <v>0.0</v>
      </c>
      <c r="F424" s="772" t="s">
        <v>4932</v>
      </c>
      <c r="G424" s="772" t="s">
        <v>18</v>
      </c>
      <c r="H424" s="772" t="s">
        <v>29</v>
      </c>
      <c r="I424" s="772" t="s">
        <v>4316</v>
      </c>
      <c r="J424" s="782">
        <v>44291.0</v>
      </c>
      <c r="K424" s="789" t="s">
        <v>3840</v>
      </c>
      <c r="L424" s="781"/>
      <c r="M424" s="781"/>
      <c r="N424" s="781"/>
      <c r="O424" s="781"/>
      <c r="P424" s="781"/>
      <c r="Q424" s="781"/>
      <c r="R424" s="781"/>
      <c r="S424" s="781"/>
      <c r="T424" s="781"/>
      <c r="U424" s="781"/>
      <c r="V424" s="781"/>
      <c r="W424" s="781"/>
      <c r="X424" s="781"/>
      <c r="Y424" s="781"/>
      <c r="Z424" s="781"/>
      <c r="AA424" s="781"/>
      <c r="AB424" s="781"/>
      <c r="AC424" s="781"/>
      <c r="AD424" s="781"/>
      <c r="AE424" s="781"/>
      <c r="AF424" s="781"/>
      <c r="AG424" s="781"/>
      <c r="AH424" s="781"/>
      <c r="AI424" s="781"/>
      <c r="AJ424" s="781"/>
      <c r="AK424" s="781"/>
      <c r="AL424" s="781"/>
      <c r="AM424" s="781"/>
      <c r="AN424" s="781"/>
      <c r="AO424" s="781"/>
      <c r="AP424" s="781"/>
      <c r="AQ424" s="781"/>
      <c r="AR424" s="781"/>
      <c r="AS424" s="781"/>
      <c r="AT424" s="781"/>
      <c r="AU424" s="781"/>
    </row>
    <row r="425" ht="15.75" customHeight="1">
      <c r="A425" s="782">
        <v>44378.0</v>
      </c>
      <c r="B425" s="783" t="s">
        <v>6407</v>
      </c>
      <c r="C425" s="772" t="s">
        <v>3820</v>
      </c>
      <c r="D425" s="772" t="s">
        <v>6345</v>
      </c>
      <c r="E425" s="784">
        <v>0.0</v>
      </c>
      <c r="F425" s="772" t="s">
        <v>5377</v>
      </c>
      <c r="G425" s="772" t="s">
        <v>18</v>
      </c>
      <c r="H425" s="772" t="s">
        <v>29</v>
      </c>
      <c r="I425" s="772" t="s">
        <v>4316</v>
      </c>
      <c r="J425" s="782">
        <v>44166.0</v>
      </c>
      <c r="K425" s="789" t="s">
        <v>3828</v>
      </c>
      <c r="L425" s="781"/>
      <c r="M425" s="781"/>
      <c r="N425" s="781"/>
      <c r="O425" s="781"/>
      <c r="P425" s="781"/>
      <c r="Q425" s="781"/>
      <c r="R425" s="781"/>
      <c r="S425" s="781"/>
      <c r="T425" s="781"/>
      <c r="U425" s="781"/>
      <c r="V425" s="781"/>
      <c r="W425" s="781"/>
      <c r="X425" s="781"/>
      <c r="Y425" s="781"/>
      <c r="Z425" s="781"/>
      <c r="AA425" s="781"/>
      <c r="AB425" s="781"/>
      <c r="AC425" s="781"/>
      <c r="AD425" s="781"/>
      <c r="AE425" s="781"/>
      <c r="AF425" s="781"/>
      <c r="AG425" s="781"/>
      <c r="AH425" s="781"/>
      <c r="AI425" s="781"/>
      <c r="AJ425" s="781"/>
      <c r="AK425" s="781"/>
      <c r="AL425" s="781"/>
      <c r="AM425" s="781"/>
      <c r="AN425" s="781"/>
      <c r="AO425" s="781"/>
      <c r="AP425" s="781"/>
      <c r="AQ425" s="781"/>
      <c r="AR425" s="781"/>
      <c r="AS425" s="781"/>
      <c r="AT425" s="781"/>
      <c r="AU425" s="781"/>
    </row>
    <row r="426" ht="15.75" customHeight="1">
      <c r="A426" s="786">
        <v>44378.0</v>
      </c>
      <c r="B426" s="787" t="s">
        <v>2728</v>
      </c>
      <c r="C426" s="788" t="s">
        <v>2547</v>
      </c>
      <c r="D426" s="772" t="s">
        <v>6346</v>
      </c>
      <c r="E426" s="784">
        <v>20000.0</v>
      </c>
      <c r="F426" s="772" t="s">
        <v>468</v>
      </c>
      <c r="G426" s="782" t="s">
        <v>18</v>
      </c>
      <c r="H426" s="782" t="s">
        <v>176</v>
      </c>
      <c r="I426" s="782" t="s">
        <v>177</v>
      </c>
      <c r="J426" s="782">
        <v>44358.0</v>
      </c>
      <c r="K426" s="785" t="s">
        <v>3828</v>
      </c>
      <c r="L426" s="781"/>
      <c r="M426" s="781"/>
      <c r="N426" s="781"/>
      <c r="O426" s="781"/>
      <c r="P426" s="781"/>
      <c r="Q426" s="781"/>
      <c r="R426" s="781"/>
      <c r="S426" s="781"/>
      <c r="T426" s="781"/>
      <c r="U426" s="781"/>
      <c r="V426" s="781"/>
      <c r="W426" s="781"/>
      <c r="X426" s="781"/>
      <c r="Y426" s="781"/>
      <c r="Z426" s="781"/>
      <c r="AA426" s="781"/>
      <c r="AB426" s="781"/>
      <c r="AC426" s="781"/>
      <c r="AD426" s="781"/>
      <c r="AE426" s="781"/>
      <c r="AF426" s="781"/>
      <c r="AG426" s="781"/>
      <c r="AH426" s="781"/>
      <c r="AI426" s="781"/>
      <c r="AJ426" s="781"/>
      <c r="AK426" s="781"/>
      <c r="AL426" s="781"/>
      <c r="AM426" s="781"/>
      <c r="AN426" s="781"/>
      <c r="AO426" s="781"/>
      <c r="AP426" s="781"/>
      <c r="AQ426" s="781"/>
      <c r="AR426" s="781"/>
      <c r="AS426" s="781"/>
      <c r="AT426" s="781"/>
      <c r="AU426" s="781"/>
    </row>
    <row r="427" ht="15.75" customHeight="1">
      <c r="A427" s="786">
        <v>44378.0</v>
      </c>
      <c r="B427" s="787" t="s">
        <v>6408</v>
      </c>
      <c r="C427" s="788" t="s">
        <v>3820</v>
      </c>
      <c r="D427" s="772" t="s">
        <v>6346</v>
      </c>
      <c r="E427" s="784">
        <v>50000.0</v>
      </c>
      <c r="F427" s="772" t="s">
        <v>4823</v>
      </c>
      <c r="G427" s="772" t="s">
        <v>105</v>
      </c>
      <c r="H427" s="772" t="s">
        <v>29</v>
      </c>
      <c r="I427" s="772" t="s">
        <v>4084</v>
      </c>
      <c r="J427" s="782">
        <v>44183.0</v>
      </c>
      <c r="K427" s="789" t="s">
        <v>3828</v>
      </c>
      <c r="L427" s="781"/>
      <c r="M427" s="781"/>
      <c r="N427" s="781"/>
      <c r="O427" s="781"/>
      <c r="P427" s="781"/>
      <c r="Q427" s="781"/>
      <c r="R427" s="781"/>
      <c r="S427" s="781"/>
      <c r="T427" s="781"/>
      <c r="U427" s="781"/>
      <c r="V427" s="781"/>
      <c r="W427" s="781"/>
      <c r="X427" s="781"/>
      <c r="Y427" s="781"/>
      <c r="Z427" s="781"/>
      <c r="AA427" s="781"/>
      <c r="AB427" s="781"/>
      <c r="AC427" s="781"/>
      <c r="AD427" s="781"/>
      <c r="AE427" s="781"/>
      <c r="AF427" s="781"/>
      <c r="AG427" s="781"/>
      <c r="AH427" s="781"/>
      <c r="AI427" s="781"/>
      <c r="AJ427" s="781"/>
      <c r="AK427" s="781"/>
      <c r="AL427" s="781"/>
      <c r="AM427" s="781"/>
      <c r="AN427" s="781"/>
      <c r="AO427" s="781"/>
      <c r="AP427" s="781"/>
      <c r="AQ427" s="781"/>
      <c r="AR427" s="781"/>
      <c r="AS427" s="781"/>
      <c r="AT427" s="781"/>
      <c r="AU427" s="781"/>
    </row>
    <row r="428" ht="15.75" customHeight="1">
      <c r="A428" s="786">
        <v>44378.0</v>
      </c>
      <c r="B428" s="787" t="s">
        <v>2906</v>
      </c>
      <c r="C428" s="788" t="s">
        <v>2547</v>
      </c>
      <c r="D428" s="772" t="s">
        <v>6346</v>
      </c>
      <c r="E428" s="784">
        <v>13000.0</v>
      </c>
      <c r="F428" s="772" t="s">
        <v>2905</v>
      </c>
      <c r="G428" s="782" t="s">
        <v>18</v>
      </c>
      <c r="H428" s="782" t="s">
        <v>176</v>
      </c>
      <c r="I428" s="782" t="s">
        <v>177</v>
      </c>
      <c r="J428" s="782">
        <v>44322.0</v>
      </c>
      <c r="K428" s="785" t="s">
        <v>3828</v>
      </c>
      <c r="L428" s="781"/>
      <c r="M428" s="781"/>
      <c r="N428" s="781"/>
      <c r="O428" s="781"/>
      <c r="P428" s="781"/>
      <c r="Q428" s="781"/>
      <c r="R428" s="781"/>
      <c r="S428" s="781"/>
      <c r="T428" s="781"/>
      <c r="U428" s="781"/>
      <c r="V428" s="781"/>
      <c r="W428" s="781"/>
      <c r="X428" s="781"/>
      <c r="Y428" s="781"/>
      <c r="Z428" s="781"/>
      <c r="AA428" s="781"/>
      <c r="AB428" s="781"/>
      <c r="AC428" s="781"/>
      <c r="AD428" s="781"/>
      <c r="AE428" s="781"/>
      <c r="AF428" s="781"/>
      <c r="AG428" s="781"/>
      <c r="AH428" s="781"/>
      <c r="AI428" s="781"/>
      <c r="AJ428" s="781"/>
      <c r="AK428" s="781"/>
      <c r="AL428" s="781"/>
      <c r="AM428" s="781"/>
      <c r="AN428" s="781"/>
      <c r="AO428" s="781"/>
      <c r="AP428" s="781"/>
      <c r="AQ428" s="781"/>
      <c r="AR428" s="781"/>
      <c r="AS428" s="781"/>
      <c r="AT428" s="781"/>
      <c r="AU428" s="781"/>
    </row>
    <row r="429" ht="15.75" customHeight="1">
      <c r="A429" s="786">
        <v>44378.0</v>
      </c>
      <c r="B429" s="787" t="s">
        <v>2847</v>
      </c>
      <c r="C429" s="788" t="s">
        <v>2547</v>
      </c>
      <c r="D429" s="772" t="s">
        <v>6346</v>
      </c>
      <c r="E429" s="784">
        <v>46000.0</v>
      </c>
      <c r="F429" s="772" t="s">
        <v>767</v>
      </c>
      <c r="G429" s="782" t="s">
        <v>18</v>
      </c>
      <c r="H429" s="782" t="s">
        <v>176</v>
      </c>
      <c r="I429" s="782" t="s">
        <v>177</v>
      </c>
      <c r="J429" s="782">
        <v>44321.0</v>
      </c>
      <c r="K429" s="785" t="s">
        <v>3828</v>
      </c>
      <c r="L429" s="781"/>
      <c r="M429" s="781"/>
      <c r="N429" s="781"/>
      <c r="O429" s="781"/>
      <c r="P429" s="781"/>
      <c r="Q429" s="781"/>
      <c r="R429" s="781"/>
      <c r="S429" s="781"/>
      <c r="T429" s="781"/>
      <c r="U429" s="781"/>
      <c r="V429" s="781"/>
      <c r="W429" s="781"/>
      <c r="X429" s="781"/>
      <c r="Y429" s="781"/>
      <c r="Z429" s="781"/>
      <c r="AA429" s="781"/>
      <c r="AB429" s="781"/>
      <c r="AC429" s="781"/>
      <c r="AD429" s="781"/>
      <c r="AE429" s="781"/>
      <c r="AF429" s="781"/>
      <c r="AG429" s="781"/>
      <c r="AH429" s="781"/>
      <c r="AI429" s="781"/>
      <c r="AJ429" s="781"/>
      <c r="AK429" s="781"/>
      <c r="AL429" s="781"/>
      <c r="AM429" s="781"/>
      <c r="AN429" s="781"/>
      <c r="AO429" s="781"/>
      <c r="AP429" s="781"/>
      <c r="AQ429" s="781"/>
      <c r="AR429" s="781"/>
      <c r="AS429" s="781"/>
      <c r="AT429" s="781"/>
      <c r="AU429" s="781"/>
    </row>
    <row r="430" ht="15.75" customHeight="1">
      <c r="A430" s="786">
        <v>44379.0</v>
      </c>
      <c r="B430" s="787" t="s">
        <v>3216</v>
      </c>
      <c r="C430" s="788" t="s">
        <v>2547</v>
      </c>
      <c r="D430" s="772" t="s">
        <v>6346</v>
      </c>
      <c r="E430" s="784">
        <v>60000.0</v>
      </c>
      <c r="F430" s="772" t="s">
        <v>3215</v>
      </c>
      <c r="G430" s="782" t="s">
        <v>18</v>
      </c>
      <c r="H430" s="782" t="s">
        <v>176</v>
      </c>
      <c r="I430" s="782" t="s">
        <v>197</v>
      </c>
      <c r="J430" s="782">
        <v>44322.0</v>
      </c>
      <c r="K430" s="785" t="s">
        <v>3828</v>
      </c>
      <c r="L430" s="781"/>
      <c r="M430" s="781"/>
      <c r="N430" s="781"/>
      <c r="O430" s="781"/>
      <c r="P430" s="781"/>
      <c r="Q430" s="781"/>
      <c r="R430" s="781"/>
      <c r="S430" s="781"/>
      <c r="T430" s="781"/>
      <c r="U430" s="781"/>
      <c r="V430" s="781"/>
      <c r="W430" s="781"/>
      <c r="X430" s="781"/>
      <c r="Y430" s="781"/>
      <c r="Z430" s="781"/>
      <c r="AA430" s="781"/>
      <c r="AB430" s="781"/>
      <c r="AC430" s="781"/>
      <c r="AD430" s="781"/>
      <c r="AE430" s="781"/>
      <c r="AF430" s="781"/>
      <c r="AG430" s="781"/>
      <c r="AH430" s="781"/>
      <c r="AI430" s="781"/>
      <c r="AJ430" s="781"/>
      <c r="AK430" s="781"/>
      <c r="AL430" s="781"/>
      <c r="AM430" s="781"/>
      <c r="AN430" s="781"/>
      <c r="AO430" s="781"/>
      <c r="AP430" s="781"/>
      <c r="AQ430" s="781"/>
      <c r="AR430" s="781"/>
      <c r="AS430" s="781"/>
      <c r="AT430" s="781"/>
      <c r="AU430" s="781"/>
    </row>
    <row r="431" ht="15.75" customHeight="1">
      <c r="A431" s="786">
        <v>44379.0</v>
      </c>
      <c r="B431" s="787" t="s">
        <v>6386</v>
      </c>
      <c r="C431" s="788" t="s">
        <v>3820</v>
      </c>
      <c r="D431" s="772" t="s">
        <v>6346</v>
      </c>
      <c r="E431" s="784">
        <v>100000.0</v>
      </c>
      <c r="F431" s="772" t="s">
        <v>5341</v>
      </c>
      <c r="G431" s="772" t="s">
        <v>105</v>
      </c>
      <c r="H431" s="772" t="s">
        <v>29</v>
      </c>
      <c r="I431" s="772" t="s">
        <v>4075</v>
      </c>
      <c r="J431" s="782">
        <v>44203.0</v>
      </c>
      <c r="K431" s="789" t="s">
        <v>3828</v>
      </c>
      <c r="L431" s="781"/>
      <c r="M431" s="781"/>
      <c r="N431" s="781"/>
      <c r="O431" s="781"/>
      <c r="P431" s="781"/>
      <c r="Q431" s="781"/>
      <c r="R431" s="781"/>
      <c r="S431" s="781"/>
      <c r="T431" s="781"/>
      <c r="U431" s="781"/>
      <c r="V431" s="781"/>
      <c r="W431" s="781"/>
      <c r="X431" s="781"/>
      <c r="Y431" s="781"/>
      <c r="Z431" s="781"/>
      <c r="AA431" s="781"/>
      <c r="AB431" s="781"/>
      <c r="AC431" s="781"/>
      <c r="AD431" s="781"/>
      <c r="AE431" s="781"/>
      <c r="AF431" s="781"/>
      <c r="AG431" s="781"/>
      <c r="AH431" s="781"/>
      <c r="AI431" s="781"/>
      <c r="AJ431" s="781"/>
      <c r="AK431" s="781"/>
      <c r="AL431" s="781"/>
      <c r="AM431" s="781"/>
      <c r="AN431" s="781"/>
      <c r="AO431" s="781"/>
      <c r="AP431" s="781"/>
      <c r="AQ431" s="781"/>
      <c r="AR431" s="781"/>
      <c r="AS431" s="781"/>
      <c r="AT431" s="781"/>
      <c r="AU431" s="781"/>
    </row>
    <row r="432" ht="15.75" customHeight="1">
      <c r="A432" s="786">
        <v>44383.0</v>
      </c>
      <c r="B432" s="787" t="s">
        <v>2982</v>
      </c>
      <c r="C432" s="788" t="s">
        <v>2547</v>
      </c>
      <c r="D432" s="772" t="s">
        <v>6346</v>
      </c>
      <c r="E432" s="784">
        <v>50000.0</v>
      </c>
      <c r="F432" s="772" t="s">
        <v>2981</v>
      </c>
      <c r="G432" s="782" t="s">
        <v>2550</v>
      </c>
      <c r="H432" s="782" t="s">
        <v>29</v>
      </c>
      <c r="I432" s="782" t="s">
        <v>2551</v>
      </c>
      <c r="J432" s="782">
        <v>43703.0</v>
      </c>
      <c r="K432" s="785" t="s">
        <v>4206</v>
      </c>
      <c r="L432" s="781"/>
      <c r="M432" s="781"/>
      <c r="N432" s="781"/>
      <c r="O432" s="781"/>
      <c r="P432" s="781"/>
      <c r="Q432" s="781"/>
      <c r="R432" s="781"/>
      <c r="S432" s="781"/>
      <c r="T432" s="781"/>
      <c r="U432" s="781"/>
      <c r="V432" s="781"/>
      <c r="W432" s="781"/>
      <c r="X432" s="781"/>
      <c r="Y432" s="781"/>
      <c r="Z432" s="781"/>
      <c r="AA432" s="781"/>
      <c r="AB432" s="781"/>
      <c r="AC432" s="781"/>
      <c r="AD432" s="781"/>
      <c r="AE432" s="781"/>
      <c r="AF432" s="781"/>
      <c r="AG432" s="781"/>
      <c r="AH432" s="781"/>
      <c r="AI432" s="781"/>
      <c r="AJ432" s="781"/>
      <c r="AK432" s="781"/>
      <c r="AL432" s="781"/>
      <c r="AM432" s="781"/>
      <c r="AN432" s="781"/>
      <c r="AO432" s="781"/>
      <c r="AP432" s="781"/>
      <c r="AQ432" s="781"/>
      <c r="AR432" s="781"/>
      <c r="AS432" s="781"/>
      <c r="AT432" s="781"/>
      <c r="AU432" s="781"/>
    </row>
    <row r="433" ht="15.75" customHeight="1">
      <c r="A433" s="786">
        <v>44383.0</v>
      </c>
      <c r="B433" s="787" t="s">
        <v>3216</v>
      </c>
      <c r="C433" s="788" t="s">
        <v>2547</v>
      </c>
      <c r="D433" s="772" t="s">
        <v>6346</v>
      </c>
      <c r="E433" s="784">
        <v>8000.0</v>
      </c>
      <c r="F433" s="772" t="s">
        <v>3215</v>
      </c>
      <c r="G433" s="782" t="s">
        <v>18</v>
      </c>
      <c r="H433" s="782" t="s">
        <v>176</v>
      </c>
      <c r="I433" s="782" t="s">
        <v>197</v>
      </c>
      <c r="J433" s="782">
        <v>44322.0</v>
      </c>
      <c r="K433" s="785" t="s">
        <v>3828</v>
      </c>
      <c r="L433" s="781"/>
      <c r="M433" s="781"/>
      <c r="N433" s="781"/>
      <c r="O433" s="781"/>
      <c r="P433" s="781"/>
      <c r="Q433" s="781"/>
      <c r="R433" s="781"/>
      <c r="S433" s="781"/>
      <c r="T433" s="781"/>
      <c r="U433" s="781"/>
      <c r="V433" s="781"/>
      <c r="W433" s="781"/>
      <c r="X433" s="781"/>
      <c r="Y433" s="781"/>
      <c r="Z433" s="781"/>
      <c r="AA433" s="781"/>
      <c r="AB433" s="781"/>
      <c r="AC433" s="781"/>
      <c r="AD433" s="781"/>
      <c r="AE433" s="781"/>
      <c r="AF433" s="781"/>
      <c r="AG433" s="781"/>
      <c r="AH433" s="781"/>
      <c r="AI433" s="781"/>
      <c r="AJ433" s="781"/>
      <c r="AK433" s="781"/>
      <c r="AL433" s="781"/>
      <c r="AM433" s="781"/>
      <c r="AN433" s="781"/>
      <c r="AO433" s="781"/>
      <c r="AP433" s="781"/>
      <c r="AQ433" s="781"/>
      <c r="AR433" s="781"/>
      <c r="AS433" s="781"/>
      <c r="AT433" s="781"/>
      <c r="AU433" s="781"/>
    </row>
    <row r="434" ht="15.75" customHeight="1">
      <c r="A434" s="782">
        <v>44384.0</v>
      </c>
      <c r="B434" s="783" t="s">
        <v>6409</v>
      </c>
      <c r="C434" s="772" t="s">
        <v>3820</v>
      </c>
      <c r="D434" s="772" t="s">
        <v>6345</v>
      </c>
      <c r="E434" s="784">
        <v>0.0</v>
      </c>
      <c r="F434" s="772" t="s">
        <v>5046</v>
      </c>
      <c r="G434" s="772" t="s">
        <v>18</v>
      </c>
      <c r="H434" s="772" t="s">
        <v>29</v>
      </c>
      <c r="I434" s="772" t="s">
        <v>6410</v>
      </c>
      <c r="J434" s="782">
        <v>44384.0</v>
      </c>
      <c r="K434" s="789" t="s">
        <v>3836</v>
      </c>
      <c r="L434" s="781"/>
      <c r="M434" s="781"/>
      <c r="N434" s="781"/>
      <c r="O434" s="781"/>
      <c r="P434" s="781"/>
      <c r="Q434" s="781"/>
      <c r="R434" s="781"/>
      <c r="S434" s="781"/>
      <c r="T434" s="781"/>
      <c r="U434" s="781"/>
      <c r="V434" s="781"/>
      <c r="W434" s="781"/>
      <c r="X434" s="781"/>
      <c r="Y434" s="781"/>
      <c r="Z434" s="781"/>
      <c r="AA434" s="781"/>
      <c r="AB434" s="781"/>
      <c r="AC434" s="781"/>
      <c r="AD434" s="781"/>
      <c r="AE434" s="781"/>
      <c r="AF434" s="781"/>
      <c r="AG434" s="781"/>
      <c r="AH434" s="781"/>
      <c r="AI434" s="781"/>
      <c r="AJ434" s="781"/>
      <c r="AK434" s="781"/>
      <c r="AL434" s="781"/>
      <c r="AM434" s="781"/>
      <c r="AN434" s="781"/>
      <c r="AO434" s="781"/>
      <c r="AP434" s="781"/>
      <c r="AQ434" s="781"/>
      <c r="AR434" s="781"/>
      <c r="AS434" s="781"/>
      <c r="AT434" s="781"/>
      <c r="AU434" s="781"/>
    </row>
    <row r="435" ht="15.75" customHeight="1">
      <c r="A435" s="786">
        <v>44385.0</v>
      </c>
      <c r="B435" s="787" t="s">
        <v>2568</v>
      </c>
      <c r="C435" s="788" t="s">
        <v>2547</v>
      </c>
      <c r="D435" s="772" t="s">
        <v>6346</v>
      </c>
      <c r="E435" s="784">
        <v>10000.0</v>
      </c>
      <c r="F435" s="772" t="s">
        <v>2567</v>
      </c>
      <c r="G435" s="782" t="s">
        <v>18</v>
      </c>
      <c r="H435" s="782" t="s">
        <v>176</v>
      </c>
      <c r="I435" s="782" t="s">
        <v>197</v>
      </c>
      <c r="J435" s="782">
        <v>44321.0</v>
      </c>
      <c r="K435" s="785" t="s">
        <v>3836</v>
      </c>
      <c r="L435" s="781"/>
      <c r="M435" s="781"/>
      <c r="N435" s="781"/>
      <c r="O435" s="781"/>
      <c r="P435" s="781"/>
      <c r="Q435" s="781"/>
      <c r="R435" s="781"/>
      <c r="S435" s="781"/>
      <c r="T435" s="781"/>
      <c r="U435" s="781"/>
      <c r="V435" s="781"/>
      <c r="W435" s="781"/>
      <c r="X435" s="781"/>
      <c r="Y435" s="781"/>
      <c r="Z435" s="781"/>
      <c r="AA435" s="781"/>
      <c r="AB435" s="781"/>
      <c r="AC435" s="781"/>
      <c r="AD435" s="781"/>
      <c r="AE435" s="781"/>
      <c r="AF435" s="781"/>
      <c r="AG435" s="781"/>
      <c r="AH435" s="781"/>
      <c r="AI435" s="781"/>
      <c r="AJ435" s="781"/>
      <c r="AK435" s="781"/>
      <c r="AL435" s="781"/>
      <c r="AM435" s="781"/>
      <c r="AN435" s="781"/>
      <c r="AO435" s="781"/>
      <c r="AP435" s="781"/>
      <c r="AQ435" s="781"/>
      <c r="AR435" s="781"/>
      <c r="AS435" s="781"/>
      <c r="AT435" s="781"/>
      <c r="AU435" s="781"/>
    </row>
    <row r="436" ht="15.75" customHeight="1">
      <c r="A436" s="786">
        <v>44386.0</v>
      </c>
      <c r="B436" s="787" t="s">
        <v>3656</v>
      </c>
      <c r="C436" s="788" t="s">
        <v>3632</v>
      </c>
      <c r="D436" s="772" t="s">
        <v>6346</v>
      </c>
      <c r="E436" s="784">
        <v>47000.0</v>
      </c>
      <c r="F436" s="772" t="s">
        <v>3655</v>
      </c>
      <c r="G436" s="782" t="s">
        <v>18</v>
      </c>
      <c r="H436" s="782" t="s">
        <v>29</v>
      </c>
      <c r="I436" s="782" t="s">
        <v>18</v>
      </c>
      <c r="J436" s="782">
        <v>44062.0</v>
      </c>
      <c r="K436" s="785" t="s">
        <v>3828</v>
      </c>
      <c r="L436" s="781"/>
      <c r="M436" s="781"/>
      <c r="N436" s="781"/>
      <c r="O436" s="781"/>
      <c r="P436" s="781"/>
      <c r="Q436" s="781"/>
      <c r="R436" s="781"/>
      <c r="S436" s="781"/>
      <c r="T436" s="781"/>
      <c r="U436" s="781"/>
      <c r="V436" s="781"/>
      <c r="W436" s="781"/>
      <c r="X436" s="781"/>
      <c r="Y436" s="781"/>
      <c r="Z436" s="781"/>
      <c r="AA436" s="781"/>
      <c r="AB436" s="781"/>
      <c r="AC436" s="781"/>
      <c r="AD436" s="781"/>
      <c r="AE436" s="781"/>
      <c r="AF436" s="781"/>
      <c r="AG436" s="781"/>
      <c r="AH436" s="781"/>
      <c r="AI436" s="781"/>
      <c r="AJ436" s="781"/>
      <c r="AK436" s="781"/>
      <c r="AL436" s="781"/>
      <c r="AM436" s="781"/>
      <c r="AN436" s="781"/>
      <c r="AO436" s="781"/>
      <c r="AP436" s="781"/>
      <c r="AQ436" s="781"/>
      <c r="AR436" s="781"/>
      <c r="AS436" s="781"/>
      <c r="AT436" s="781"/>
      <c r="AU436" s="781"/>
    </row>
    <row r="437" ht="15.75" customHeight="1">
      <c r="A437" s="786">
        <v>44386.0</v>
      </c>
      <c r="B437" s="787" t="s">
        <v>6400</v>
      </c>
      <c r="C437" s="788" t="s">
        <v>3820</v>
      </c>
      <c r="D437" s="772" t="s">
        <v>6346</v>
      </c>
      <c r="E437" s="784">
        <v>156000.0</v>
      </c>
      <c r="F437" s="810" t="s">
        <v>1056</v>
      </c>
      <c r="G437" s="772" t="s">
        <v>105</v>
      </c>
      <c r="H437" s="772" t="s">
        <v>29</v>
      </c>
      <c r="I437" s="772" t="s">
        <v>4122</v>
      </c>
      <c r="J437" s="805">
        <v>44145.0</v>
      </c>
      <c r="K437" s="789" t="s">
        <v>3824</v>
      </c>
      <c r="L437" s="781"/>
      <c r="M437" s="781"/>
      <c r="N437" s="781"/>
      <c r="O437" s="781"/>
      <c r="P437" s="781"/>
      <c r="Q437" s="781"/>
      <c r="R437" s="781"/>
      <c r="S437" s="781"/>
      <c r="T437" s="781"/>
      <c r="U437" s="781"/>
      <c r="V437" s="781"/>
      <c r="W437" s="781"/>
      <c r="X437" s="781"/>
      <c r="Y437" s="781"/>
      <c r="Z437" s="781"/>
      <c r="AA437" s="781"/>
      <c r="AB437" s="781"/>
      <c r="AC437" s="781"/>
      <c r="AD437" s="781"/>
      <c r="AE437" s="781"/>
      <c r="AF437" s="781"/>
      <c r="AG437" s="781"/>
      <c r="AH437" s="781"/>
      <c r="AI437" s="781"/>
      <c r="AJ437" s="781"/>
      <c r="AK437" s="781"/>
      <c r="AL437" s="781"/>
      <c r="AM437" s="781"/>
      <c r="AN437" s="781"/>
      <c r="AO437" s="781"/>
      <c r="AP437" s="781"/>
      <c r="AQ437" s="781"/>
      <c r="AR437" s="781"/>
      <c r="AS437" s="781"/>
      <c r="AT437" s="781"/>
      <c r="AU437" s="781"/>
    </row>
    <row r="438" ht="15.75" customHeight="1">
      <c r="A438" s="786">
        <v>44389.0</v>
      </c>
      <c r="B438" s="787" t="s">
        <v>3302</v>
      </c>
      <c r="C438" s="788" t="s">
        <v>2547</v>
      </c>
      <c r="D438" s="772" t="s">
        <v>6346</v>
      </c>
      <c r="E438" s="784">
        <v>20000.0</v>
      </c>
      <c r="F438" s="772" t="s">
        <v>3301</v>
      </c>
      <c r="G438" s="782" t="s">
        <v>18</v>
      </c>
      <c r="H438" s="782" t="s">
        <v>176</v>
      </c>
      <c r="I438" s="782" t="s">
        <v>177</v>
      </c>
      <c r="J438" s="782">
        <v>44319.0</v>
      </c>
      <c r="K438" s="785" t="s">
        <v>3828</v>
      </c>
      <c r="L438" s="781"/>
      <c r="M438" s="781"/>
      <c r="N438" s="781"/>
      <c r="O438" s="781"/>
      <c r="P438" s="781"/>
      <c r="Q438" s="781"/>
      <c r="R438" s="781"/>
      <c r="S438" s="781"/>
      <c r="T438" s="781"/>
      <c r="U438" s="781"/>
      <c r="V438" s="781"/>
      <c r="W438" s="781"/>
      <c r="X438" s="781"/>
      <c r="Y438" s="781"/>
      <c r="Z438" s="781"/>
      <c r="AA438" s="781"/>
      <c r="AB438" s="781"/>
      <c r="AC438" s="781"/>
      <c r="AD438" s="781"/>
      <c r="AE438" s="781"/>
      <c r="AF438" s="781"/>
      <c r="AG438" s="781"/>
      <c r="AH438" s="781"/>
      <c r="AI438" s="781"/>
      <c r="AJ438" s="781"/>
      <c r="AK438" s="781"/>
      <c r="AL438" s="781"/>
      <c r="AM438" s="781"/>
      <c r="AN438" s="781"/>
      <c r="AO438" s="781"/>
      <c r="AP438" s="781"/>
      <c r="AQ438" s="781"/>
      <c r="AR438" s="781"/>
      <c r="AS438" s="781"/>
      <c r="AT438" s="781"/>
      <c r="AU438" s="781"/>
    </row>
    <row r="439" ht="15.75" customHeight="1">
      <c r="A439" s="786">
        <v>44389.0</v>
      </c>
      <c r="B439" s="787" t="s">
        <v>3263</v>
      </c>
      <c r="C439" s="788" t="s">
        <v>2547</v>
      </c>
      <c r="D439" s="772" t="s">
        <v>6346</v>
      </c>
      <c r="E439" s="784">
        <v>5000.0</v>
      </c>
      <c r="F439" s="772" t="s">
        <v>3262</v>
      </c>
      <c r="G439" s="782" t="s">
        <v>18</v>
      </c>
      <c r="H439" s="782" t="s">
        <v>176</v>
      </c>
      <c r="I439" s="782" t="s">
        <v>197</v>
      </c>
      <c r="J439" s="782">
        <v>44321.0</v>
      </c>
      <c r="K439" s="785" t="s">
        <v>3834</v>
      </c>
      <c r="L439" s="781"/>
      <c r="M439" s="781"/>
      <c r="N439" s="781"/>
      <c r="O439" s="781"/>
      <c r="P439" s="781"/>
      <c r="Q439" s="781"/>
      <c r="R439" s="781"/>
      <c r="S439" s="781"/>
      <c r="T439" s="781"/>
      <c r="U439" s="781"/>
      <c r="V439" s="781"/>
      <c r="W439" s="781"/>
      <c r="X439" s="781"/>
      <c r="Y439" s="781"/>
      <c r="Z439" s="781"/>
      <c r="AA439" s="781"/>
      <c r="AB439" s="781"/>
      <c r="AC439" s="781"/>
      <c r="AD439" s="781"/>
      <c r="AE439" s="781"/>
      <c r="AF439" s="781"/>
      <c r="AG439" s="781"/>
      <c r="AH439" s="781"/>
      <c r="AI439" s="781"/>
      <c r="AJ439" s="781"/>
      <c r="AK439" s="781"/>
      <c r="AL439" s="781"/>
      <c r="AM439" s="781"/>
      <c r="AN439" s="781"/>
      <c r="AO439" s="781"/>
      <c r="AP439" s="781"/>
      <c r="AQ439" s="781"/>
      <c r="AR439" s="781"/>
      <c r="AS439" s="781"/>
      <c r="AT439" s="781"/>
      <c r="AU439" s="781"/>
    </row>
    <row r="440" ht="15.75" customHeight="1">
      <c r="A440" s="786">
        <v>44389.0</v>
      </c>
      <c r="B440" s="787" t="s">
        <v>3478</v>
      </c>
      <c r="C440" s="788" t="s">
        <v>2547</v>
      </c>
      <c r="D440" s="772" t="s">
        <v>6346</v>
      </c>
      <c r="E440" s="784">
        <v>45000.0</v>
      </c>
      <c r="F440" s="772" t="s">
        <v>2174</v>
      </c>
      <c r="G440" s="782" t="s">
        <v>18</v>
      </c>
      <c r="H440" s="782" t="s">
        <v>176</v>
      </c>
      <c r="I440" s="782" t="s">
        <v>177</v>
      </c>
      <c r="J440" s="782">
        <v>44280.0</v>
      </c>
      <c r="K440" s="785" t="s">
        <v>3824</v>
      </c>
      <c r="L440" s="781"/>
      <c r="M440" s="781"/>
      <c r="N440" s="781"/>
      <c r="O440" s="781"/>
      <c r="P440" s="781"/>
      <c r="Q440" s="781"/>
      <c r="R440" s="781"/>
      <c r="S440" s="781"/>
      <c r="T440" s="781"/>
      <c r="U440" s="781"/>
      <c r="V440" s="781"/>
      <c r="W440" s="781"/>
      <c r="X440" s="781"/>
      <c r="Y440" s="781"/>
      <c r="Z440" s="781"/>
      <c r="AA440" s="781"/>
      <c r="AB440" s="781"/>
      <c r="AC440" s="781"/>
      <c r="AD440" s="781"/>
      <c r="AE440" s="781"/>
      <c r="AF440" s="781"/>
      <c r="AG440" s="781"/>
      <c r="AH440" s="781"/>
      <c r="AI440" s="781"/>
      <c r="AJ440" s="781"/>
      <c r="AK440" s="781"/>
      <c r="AL440" s="781"/>
      <c r="AM440" s="781"/>
      <c r="AN440" s="781"/>
      <c r="AO440" s="781"/>
      <c r="AP440" s="781"/>
      <c r="AQ440" s="781"/>
      <c r="AR440" s="781"/>
      <c r="AS440" s="781"/>
      <c r="AT440" s="781"/>
      <c r="AU440" s="781"/>
    </row>
    <row r="441" ht="15.75" customHeight="1">
      <c r="A441" s="782">
        <v>44390.0</v>
      </c>
      <c r="B441" s="783" t="s">
        <v>6411</v>
      </c>
      <c r="C441" s="772" t="s">
        <v>3820</v>
      </c>
      <c r="D441" s="772" t="s">
        <v>6345</v>
      </c>
      <c r="E441" s="784">
        <v>0.0</v>
      </c>
      <c r="F441" s="772" t="s">
        <v>5082</v>
      </c>
      <c r="G441" s="772" t="s">
        <v>18</v>
      </c>
      <c r="H441" s="772" t="s">
        <v>29</v>
      </c>
      <c r="I441" s="772" t="s">
        <v>3827</v>
      </c>
      <c r="J441" s="782">
        <v>44166.0</v>
      </c>
      <c r="K441" s="789" t="s">
        <v>3828</v>
      </c>
      <c r="L441" s="781"/>
      <c r="M441" s="781"/>
      <c r="N441" s="781"/>
      <c r="O441" s="781"/>
      <c r="P441" s="781"/>
      <c r="Q441" s="781"/>
      <c r="R441" s="781"/>
      <c r="S441" s="781"/>
      <c r="T441" s="781"/>
      <c r="U441" s="781"/>
      <c r="V441" s="781"/>
      <c r="W441" s="781"/>
      <c r="X441" s="781"/>
      <c r="Y441" s="781"/>
      <c r="Z441" s="781"/>
      <c r="AA441" s="781"/>
      <c r="AB441" s="781"/>
      <c r="AC441" s="781"/>
      <c r="AD441" s="781"/>
      <c r="AE441" s="781"/>
      <c r="AF441" s="781"/>
      <c r="AG441" s="781"/>
      <c r="AH441" s="781"/>
      <c r="AI441" s="781"/>
      <c r="AJ441" s="781"/>
      <c r="AK441" s="781"/>
      <c r="AL441" s="781"/>
      <c r="AM441" s="781"/>
      <c r="AN441" s="781"/>
      <c r="AO441" s="781"/>
      <c r="AP441" s="781"/>
      <c r="AQ441" s="781"/>
      <c r="AR441" s="781"/>
      <c r="AS441" s="781"/>
      <c r="AT441" s="781"/>
      <c r="AU441" s="781"/>
    </row>
    <row r="442" ht="15.75" customHeight="1">
      <c r="A442" s="786">
        <v>44390.0</v>
      </c>
      <c r="B442" s="787" t="s">
        <v>3091</v>
      </c>
      <c r="C442" s="788" t="s">
        <v>2547</v>
      </c>
      <c r="D442" s="772" t="s">
        <v>6346</v>
      </c>
      <c r="E442" s="784">
        <v>6000.0</v>
      </c>
      <c r="F442" s="772" t="s">
        <v>3090</v>
      </c>
      <c r="G442" s="782" t="s">
        <v>18</v>
      </c>
      <c r="H442" s="782" t="s">
        <v>176</v>
      </c>
      <c r="I442" s="782" t="s">
        <v>177</v>
      </c>
      <c r="J442" s="782">
        <v>44295.0</v>
      </c>
      <c r="K442" s="785" t="s">
        <v>3834</v>
      </c>
      <c r="L442" s="781"/>
      <c r="M442" s="781"/>
      <c r="N442" s="781"/>
      <c r="O442" s="781"/>
      <c r="P442" s="781"/>
      <c r="Q442" s="781"/>
      <c r="R442" s="781"/>
      <c r="S442" s="781"/>
      <c r="T442" s="781"/>
      <c r="U442" s="781"/>
      <c r="V442" s="781"/>
      <c r="W442" s="781"/>
      <c r="X442" s="781"/>
      <c r="Y442" s="781"/>
      <c r="Z442" s="781"/>
      <c r="AA442" s="781"/>
      <c r="AB442" s="781"/>
      <c r="AC442" s="781"/>
      <c r="AD442" s="781"/>
      <c r="AE442" s="781"/>
      <c r="AF442" s="781"/>
      <c r="AG442" s="781"/>
      <c r="AH442" s="781"/>
      <c r="AI442" s="781"/>
      <c r="AJ442" s="781"/>
      <c r="AK442" s="781"/>
      <c r="AL442" s="781"/>
      <c r="AM442" s="781"/>
      <c r="AN442" s="781"/>
      <c r="AO442" s="781"/>
      <c r="AP442" s="781"/>
      <c r="AQ442" s="781"/>
      <c r="AR442" s="781"/>
      <c r="AS442" s="781"/>
      <c r="AT442" s="781"/>
      <c r="AU442" s="781"/>
    </row>
    <row r="443" ht="15.75" customHeight="1">
      <c r="A443" s="786">
        <v>44391.0</v>
      </c>
      <c r="B443" s="787" t="s">
        <v>2734</v>
      </c>
      <c r="C443" s="788" t="s">
        <v>2547</v>
      </c>
      <c r="D443" s="772" t="s">
        <v>6346</v>
      </c>
      <c r="E443" s="784">
        <v>4000.0</v>
      </c>
      <c r="F443" s="772" t="s">
        <v>2733</v>
      </c>
      <c r="G443" s="782" t="s">
        <v>18</v>
      </c>
      <c r="H443" s="782" t="s">
        <v>176</v>
      </c>
      <c r="I443" s="782" t="s">
        <v>2634</v>
      </c>
      <c r="J443" s="782">
        <v>44260.0</v>
      </c>
      <c r="K443" s="785" t="s">
        <v>3828</v>
      </c>
      <c r="L443" s="781"/>
      <c r="M443" s="781"/>
      <c r="N443" s="781"/>
      <c r="O443" s="781"/>
      <c r="P443" s="781"/>
      <c r="Q443" s="781"/>
      <c r="R443" s="781"/>
      <c r="S443" s="781"/>
      <c r="T443" s="781"/>
      <c r="U443" s="781"/>
      <c r="V443" s="781"/>
      <c r="W443" s="781"/>
      <c r="X443" s="781"/>
      <c r="Y443" s="781"/>
      <c r="Z443" s="781"/>
      <c r="AA443" s="781"/>
      <c r="AB443" s="781"/>
      <c r="AC443" s="781"/>
      <c r="AD443" s="781"/>
      <c r="AE443" s="781"/>
      <c r="AF443" s="781"/>
      <c r="AG443" s="781"/>
      <c r="AH443" s="781"/>
      <c r="AI443" s="781"/>
      <c r="AJ443" s="781"/>
      <c r="AK443" s="781"/>
      <c r="AL443" s="781"/>
      <c r="AM443" s="781"/>
      <c r="AN443" s="781"/>
      <c r="AO443" s="781"/>
      <c r="AP443" s="781"/>
      <c r="AQ443" s="781"/>
      <c r="AR443" s="781"/>
      <c r="AS443" s="781"/>
      <c r="AT443" s="781"/>
      <c r="AU443" s="781"/>
    </row>
    <row r="444" ht="15.75" customHeight="1">
      <c r="A444" s="782">
        <v>44393.0</v>
      </c>
      <c r="B444" s="806" t="s">
        <v>3052</v>
      </c>
      <c r="C444" s="772" t="s">
        <v>2547</v>
      </c>
      <c r="D444" s="772" t="s">
        <v>6345</v>
      </c>
      <c r="E444" s="784">
        <v>156601.32</v>
      </c>
      <c r="F444" s="772" t="s">
        <v>3051</v>
      </c>
      <c r="G444" s="782" t="s">
        <v>18</v>
      </c>
      <c r="H444" s="782" t="s">
        <v>176</v>
      </c>
      <c r="I444" s="782" t="s">
        <v>197</v>
      </c>
      <c r="J444" s="782">
        <v>44280.0</v>
      </c>
      <c r="K444" s="785" t="s">
        <v>3828</v>
      </c>
      <c r="L444" s="781"/>
      <c r="M444" s="781"/>
      <c r="N444" s="781"/>
      <c r="O444" s="781"/>
      <c r="P444" s="781"/>
      <c r="Q444" s="781"/>
      <c r="R444" s="781"/>
      <c r="S444" s="781"/>
      <c r="T444" s="781"/>
      <c r="U444" s="781"/>
      <c r="V444" s="781"/>
      <c r="W444" s="781"/>
      <c r="X444" s="781"/>
      <c r="Y444" s="781"/>
      <c r="Z444" s="781"/>
      <c r="AA444" s="781"/>
      <c r="AB444" s="781"/>
      <c r="AC444" s="781"/>
      <c r="AD444" s="781"/>
      <c r="AE444" s="781"/>
      <c r="AF444" s="781"/>
      <c r="AG444" s="781"/>
      <c r="AH444" s="781"/>
      <c r="AI444" s="781"/>
      <c r="AJ444" s="781"/>
      <c r="AK444" s="781"/>
      <c r="AL444" s="781"/>
      <c r="AM444" s="781"/>
      <c r="AN444" s="781"/>
      <c r="AO444" s="781"/>
      <c r="AP444" s="781"/>
      <c r="AQ444" s="781"/>
      <c r="AR444" s="781"/>
      <c r="AS444" s="781"/>
      <c r="AT444" s="781"/>
      <c r="AU444" s="781"/>
    </row>
    <row r="445" ht="15.75" customHeight="1">
      <c r="A445" s="786">
        <v>44393.0</v>
      </c>
      <c r="B445" s="787" t="s">
        <v>2734</v>
      </c>
      <c r="C445" s="788" t="s">
        <v>2547</v>
      </c>
      <c r="D445" s="772" t="s">
        <v>6346</v>
      </c>
      <c r="E445" s="784">
        <v>107481.43</v>
      </c>
      <c r="F445" s="772" t="s">
        <v>2733</v>
      </c>
      <c r="G445" s="782" t="s">
        <v>18</v>
      </c>
      <c r="H445" s="782" t="s">
        <v>176</v>
      </c>
      <c r="I445" s="782" t="s">
        <v>2634</v>
      </c>
      <c r="J445" s="782">
        <v>44260.0</v>
      </c>
      <c r="K445" s="785" t="s">
        <v>3828</v>
      </c>
      <c r="L445" s="781"/>
      <c r="M445" s="781"/>
      <c r="N445" s="781"/>
      <c r="O445" s="781"/>
      <c r="P445" s="781"/>
      <c r="Q445" s="781"/>
      <c r="R445" s="781"/>
      <c r="S445" s="781"/>
      <c r="T445" s="781"/>
      <c r="U445" s="781"/>
      <c r="V445" s="781"/>
      <c r="W445" s="781"/>
      <c r="X445" s="781"/>
      <c r="Y445" s="781"/>
      <c r="Z445" s="781"/>
      <c r="AA445" s="781"/>
      <c r="AB445" s="781"/>
      <c r="AC445" s="781"/>
      <c r="AD445" s="781"/>
      <c r="AE445" s="781"/>
      <c r="AF445" s="781"/>
      <c r="AG445" s="781"/>
      <c r="AH445" s="781"/>
      <c r="AI445" s="781"/>
      <c r="AJ445" s="781"/>
      <c r="AK445" s="781"/>
      <c r="AL445" s="781"/>
      <c r="AM445" s="781"/>
      <c r="AN445" s="781"/>
      <c r="AO445" s="781"/>
      <c r="AP445" s="781"/>
      <c r="AQ445" s="781"/>
      <c r="AR445" s="781"/>
      <c r="AS445" s="781"/>
      <c r="AT445" s="781"/>
      <c r="AU445" s="781"/>
    </row>
    <row r="446" ht="15.75" customHeight="1">
      <c r="A446" s="786">
        <v>44393.0</v>
      </c>
      <c r="B446" s="787" t="s">
        <v>3052</v>
      </c>
      <c r="C446" s="788" t="s">
        <v>2547</v>
      </c>
      <c r="D446" s="772" t="s">
        <v>6346</v>
      </c>
      <c r="E446" s="784">
        <v>10000.0</v>
      </c>
      <c r="F446" s="772" t="s">
        <v>3051</v>
      </c>
      <c r="G446" s="782" t="s">
        <v>18</v>
      </c>
      <c r="H446" s="782" t="s">
        <v>176</v>
      </c>
      <c r="I446" s="782" t="s">
        <v>197</v>
      </c>
      <c r="J446" s="782">
        <v>44280.0</v>
      </c>
      <c r="K446" s="785" t="s">
        <v>3828</v>
      </c>
      <c r="L446" s="781"/>
      <c r="M446" s="781"/>
      <c r="N446" s="781"/>
      <c r="O446" s="781"/>
      <c r="P446" s="781"/>
      <c r="Q446" s="781"/>
      <c r="R446" s="781"/>
      <c r="S446" s="781"/>
      <c r="T446" s="781"/>
      <c r="U446" s="781"/>
      <c r="V446" s="781"/>
      <c r="W446" s="781"/>
      <c r="X446" s="781"/>
      <c r="Y446" s="781"/>
      <c r="Z446" s="781"/>
      <c r="AA446" s="781"/>
      <c r="AB446" s="781"/>
      <c r="AC446" s="781"/>
      <c r="AD446" s="781"/>
      <c r="AE446" s="781"/>
      <c r="AF446" s="781"/>
      <c r="AG446" s="781"/>
      <c r="AH446" s="781"/>
      <c r="AI446" s="781"/>
      <c r="AJ446" s="781"/>
      <c r="AK446" s="781"/>
      <c r="AL446" s="781"/>
      <c r="AM446" s="781"/>
      <c r="AN446" s="781"/>
      <c r="AO446" s="781"/>
      <c r="AP446" s="781"/>
      <c r="AQ446" s="781"/>
      <c r="AR446" s="781"/>
      <c r="AS446" s="781"/>
      <c r="AT446" s="781"/>
      <c r="AU446" s="781"/>
    </row>
    <row r="447" ht="15.75" customHeight="1">
      <c r="A447" s="786">
        <v>44393.0</v>
      </c>
      <c r="B447" s="787" t="s">
        <v>3156</v>
      </c>
      <c r="C447" s="788" t="s">
        <v>2547</v>
      </c>
      <c r="D447" s="772" t="s">
        <v>6346</v>
      </c>
      <c r="E447" s="784">
        <v>20000.0</v>
      </c>
      <c r="F447" s="772" t="s">
        <v>3155</v>
      </c>
      <c r="G447" s="782" t="s">
        <v>18</v>
      </c>
      <c r="H447" s="782" t="s">
        <v>176</v>
      </c>
      <c r="I447" s="782" t="s">
        <v>177</v>
      </c>
      <c r="J447" s="782">
        <v>44263.0</v>
      </c>
      <c r="K447" s="785" t="s">
        <v>3824</v>
      </c>
      <c r="L447" s="781"/>
      <c r="M447" s="781"/>
      <c r="N447" s="781"/>
      <c r="O447" s="781"/>
      <c r="P447" s="781"/>
      <c r="Q447" s="781"/>
      <c r="R447" s="781"/>
      <c r="S447" s="781"/>
      <c r="T447" s="781"/>
      <c r="U447" s="781"/>
      <c r="V447" s="781"/>
      <c r="W447" s="781"/>
      <c r="X447" s="781"/>
      <c r="Y447" s="781"/>
      <c r="Z447" s="781"/>
      <c r="AA447" s="781"/>
      <c r="AB447" s="781"/>
      <c r="AC447" s="781"/>
      <c r="AD447" s="781"/>
      <c r="AE447" s="781"/>
      <c r="AF447" s="781"/>
      <c r="AG447" s="781"/>
      <c r="AH447" s="781"/>
      <c r="AI447" s="781"/>
      <c r="AJ447" s="781"/>
      <c r="AK447" s="781"/>
      <c r="AL447" s="781"/>
      <c r="AM447" s="781"/>
      <c r="AN447" s="781"/>
      <c r="AO447" s="781"/>
      <c r="AP447" s="781"/>
      <c r="AQ447" s="781"/>
      <c r="AR447" s="781"/>
      <c r="AS447" s="781"/>
      <c r="AT447" s="781"/>
      <c r="AU447" s="781"/>
    </row>
    <row r="448" ht="15.75" customHeight="1">
      <c r="A448" s="786">
        <v>44393.0</v>
      </c>
      <c r="B448" s="787" t="s">
        <v>2982</v>
      </c>
      <c r="C448" s="788" t="s">
        <v>2547</v>
      </c>
      <c r="D448" s="772" t="s">
        <v>6346</v>
      </c>
      <c r="E448" s="784">
        <v>50000.0</v>
      </c>
      <c r="F448" s="772" t="s">
        <v>2981</v>
      </c>
      <c r="G448" s="782" t="s">
        <v>2550</v>
      </c>
      <c r="H448" s="782" t="s">
        <v>29</v>
      </c>
      <c r="I448" s="782" t="s">
        <v>2551</v>
      </c>
      <c r="J448" s="782">
        <v>43703.0</v>
      </c>
      <c r="K448" s="785" t="s">
        <v>4206</v>
      </c>
      <c r="L448" s="781"/>
      <c r="M448" s="781"/>
      <c r="N448" s="781"/>
      <c r="O448" s="781"/>
      <c r="P448" s="781"/>
      <c r="Q448" s="781"/>
      <c r="R448" s="781"/>
      <c r="S448" s="781"/>
      <c r="T448" s="781"/>
      <c r="U448" s="781"/>
      <c r="V448" s="781"/>
      <c r="W448" s="781"/>
      <c r="X448" s="781"/>
      <c r="Y448" s="781"/>
      <c r="Z448" s="781"/>
      <c r="AA448" s="781"/>
      <c r="AB448" s="781"/>
      <c r="AC448" s="781"/>
      <c r="AD448" s="781"/>
      <c r="AE448" s="781"/>
      <c r="AF448" s="781"/>
      <c r="AG448" s="781"/>
      <c r="AH448" s="781"/>
      <c r="AI448" s="781"/>
      <c r="AJ448" s="781"/>
      <c r="AK448" s="781"/>
      <c r="AL448" s="781"/>
      <c r="AM448" s="781"/>
      <c r="AN448" s="781"/>
      <c r="AO448" s="781"/>
      <c r="AP448" s="781"/>
      <c r="AQ448" s="781"/>
      <c r="AR448" s="781"/>
      <c r="AS448" s="781"/>
      <c r="AT448" s="781"/>
      <c r="AU448" s="781"/>
    </row>
    <row r="449" ht="15.75" customHeight="1">
      <c r="A449" s="782">
        <v>44396.0</v>
      </c>
      <c r="B449" s="783" t="s">
        <v>6412</v>
      </c>
      <c r="C449" s="772" t="s">
        <v>3820</v>
      </c>
      <c r="D449" s="772" t="s">
        <v>6345</v>
      </c>
      <c r="E449" s="784">
        <v>0.0</v>
      </c>
      <c r="F449" s="772" t="s">
        <v>3859</v>
      </c>
      <c r="G449" s="772" t="s">
        <v>105</v>
      </c>
      <c r="H449" s="772" t="s">
        <v>29</v>
      </c>
      <c r="I449" s="772" t="s">
        <v>3660</v>
      </c>
      <c r="J449" s="782">
        <v>44085.0</v>
      </c>
      <c r="K449" s="789" t="s">
        <v>3836</v>
      </c>
      <c r="L449" s="781"/>
      <c r="M449" s="781"/>
      <c r="N449" s="781"/>
      <c r="O449" s="781"/>
      <c r="P449" s="781"/>
      <c r="Q449" s="781"/>
      <c r="R449" s="781"/>
      <c r="S449" s="781"/>
      <c r="T449" s="781"/>
      <c r="U449" s="781"/>
      <c r="V449" s="781"/>
      <c r="W449" s="781"/>
      <c r="X449" s="781"/>
      <c r="Y449" s="781"/>
      <c r="Z449" s="781"/>
      <c r="AA449" s="781"/>
      <c r="AB449" s="781"/>
      <c r="AC449" s="781"/>
      <c r="AD449" s="781"/>
      <c r="AE449" s="781"/>
      <c r="AF449" s="781"/>
      <c r="AG449" s="781"/>
      <c r="AH449" s="781"/>
      <c r="AI449" s="781"/>
      <c r="AJ449" s="781"/>
      <c r="AK449" s="781"/>
      <c r="AL449" s="781"/>
      <c r="AM449" s="781"/>
      <c r="AN449" s="781"/>
      <c r="AO449" s="781"/>
      <c r="AP449" s="781"/>
      <c r="AQ449" s="781"/>
      <c r="AR449" s="781"/>
      <c r="AS449" s="781"/>
      <c r="AT449" s="781"/>
      <c r="AU449" s="781"/>
    </row>
    <row r="450" ht="15.75" customHeight="1">
      <c r="A450" s="786">
        <v>44396.0</v>
      </c>
      <c r="B450" s="787" t="s">
        <v>3246</v>
      </c>
      <c r="C450" s="788" t="s">
        <v>2547</v>
      </c>
      <c r="D450" s="772" t="s">
        <v>6346</v>
      </c>
      <c r="E450" s="784">
        <v>10000.0</v>
      </c>
      <c r="F450" s="772" t="s">
        <v>3245</v>
      </c>
      <c r="G450" s="782" t="s">
        <v>2550</v>
      </c>
      <c r="H450" s="782" t="s">
        <v>29</v>
      </c>
      <c r="I450" s="782" t="s">
        <v>2551</v>
      </c>
      <c r="J450" s="782">
        <v>43564.0</v>
      </c>
      <c r="K450" s="785" t="s">
        <v>3840</v>
      </c>
      <c r="L450" s="781"/>
      <c r="M450" s="781"/>
      <c r="N450" s="781"/>
      <c r="O450" s="781"/>
      <c r="P450" s="781"/>
      <c r="Q450" s="781"/>
      <c r="R450" s="781"/>
      <c r="S450" s="781"/>
      <c r="T450" s="781"/>
      <c r="U450" s="781"/>
      <c r="V450" s="781"/>
      <c r="W450" s="781"/>
      <c r="X450" s="781"/>
      <c r="Y450" s="781"/>
      <c r="Z450" s="781"/>
      <c r="AA450" s="781"/>
      <c r="AB450" s="781"/>
      <c r="AC450" s="781"/>
      <c r="AD450" s="781"/>
      <c r="AE450" s="781"/>
      <c r="AF450" s="781"/>
      <c r="AG450" s="781"/>
      <c r="AH450" s="781"/>
      <c r="AI450" s="781"/>
      <c r="AJ450" s="781"/>
      <c r="AK450" s="781"/>
      <c r="AL450" s="781"/>
      <c r="AM450" s="781"/>
      <c r="AN450" s="781"/>
      <c r="AO450" s="781"/>
      <c r="AP450" s="781"/>
      <c r="AQ450" s="781"/>
      <c r="AR450" s="781"/>
      <c r="AS450" s="781"/>
      <c r="AT450" s="781"/>
      <c r="AU450" s="781"/>
    </row>
    <row r="451" ht="15.75" customHeight="1">
      <c r="A451" s="786">
        <v>44396.0</v>
      </c>
      <c r="B451" s="787" t="s">
        <v>3216</v>
      </c>
      <c r="C451" s="788" t="s">
        <v>2547</v>
      </c>
      <c r="D451" s="772" t="s">
        <v>6346</v>
      </c>
      <c r="E451" s="784">
        <v>30000.0</v>
      </c>
      <c r="F451" s="772" t="s">
        <v>3215</v>
      </c>
      <c r="G451" s="782" t="s">
        <v>18</v>
      </c>
      <c r="H451" s="782" t="s">
        <v>176</v>
      </c>
      <c r="I451" s="782" t="s">
        <v>197</v>
      </c>
      <c r="J451" s="782">
        <v>44322.0</v>
      </c>
      <c r="K451" s="785" t="s">
        <v>3828</v>
      </c>
      <c r="L451" s="781"/>
      <c r="M451" s="781"/>
      <c r="N451" s="781"/>
      <c r="O451" s="781"/>
      <c r="P451" s="781"/>
      <c r="Q451" s="781"/>
      <c r="R451" s="781"/>
      <c r="S451" s="781"/>
      <c r="T451" s="781"/>
      <c r="U451" s="781"/>
      <c r="V451" s="781"/>
      <c r="W451" s="781"/>
      <c r="X451" s="781"/>
      <c r="Y451" s="781"/>
      <c r="Z451" s="781"/>
      <c r="AA451" s="781"/>
      <c r="AB451" s="781"/>
      <c r="AC451" s="781"/>
      <c r="AD451" s="781"/>
      <c r="AE451" s="781"/>
      <c r="AF451" s="781"/>
      <c r="AG451" s="781"/>
      <c r="AH451" s="781"/>
      <c r="AI451" s="781"/>
      <c r="AJ451" s="781"/>
      <c r="AK451" s="781"/>
      <c r="AL451" s="781"/>
      <c r="AM451" s="781"/>
      <c r="AN451" s="781"/>
      <c r="AO451" s="781"/>
      <c r="AP451" s="781"/>
      <c r="AQ451" s="781"/>
      <c r="AR451" s="781"/>
      <c r="AS451" s="781"/>
      <c r="AT451" s="781"/>
      <c r="AU451" s="781"/>
    </row>
    <row r="452" ht="15.75" customHeight="1">
      <c r="A452" s="786">
        <v>44397.0</v>
      </c>
      <c r="B452" s="787" t="s">
        <v>3409</v>
      </c>
      <c r="C452" s="788" t="s">
        <v>2547</v>
      </c>
      <c r="D452" s="772" t="s">
        <v>6346</v>
      </c>
      <c r="E452" s="784">
        <v>300000.0</v>
      </c>
      <c r="F452" s="772" t="s">
        <v>3408</v>
      </c>
      <c r="G452" s="782" t="s">
        <v>2550</v>
      </c>
      <c r="H452" s="782" t="s">
        <v>29</v>
      </c>
      <c r="I452" s="782" t="s">
        <v>2551</v>
      </c>
      <c r="J452" s="782">
        <v>43894.0</v>
      </c>
      <c r="K452" s="785" t="s">
        <v>3836</v>
      </c>
      <c r="L452" s="781"/>
      <c r="M452" s="781"/>
      <c r="N452" s="781"/>
      <c r="O452" s="781"/>
      <c r="P452" s="781"/>
      <c r="Q452" s="781"/>
      <c r="R452" s="781"/>
      <c r="S452" s="781"/>
      <c r="T452" s="781"/>
      <c r="U452" s="781"/>
      <c r="V452" s="781"/>
      <c r="W452" s="781"/>
      <c r="X452" s="781"/>
      <c r="Y452" s="781"/>
      <c r="Z452" s="781"/>
      <c r="AA452" s="781"/>
      <c r="AB452" s="781"/>
      <c r="AC452" s="781"/>
      <c r="AD452" s="781"/>
      <c r="AE452" s="781"/>
      <c r="AF452" s="781"/>
      <c r="AG452" s="781"/>
      <c r="AH452" s="781"/>
      <c r="AI452" s="781"/>
      <c r="AJ452" s="781"/>
      <c r="AK452" s="781"/>
      <c r="AL452" s="781"/>
      <c r="AM452" s="781"/>
      <c r="AN452" s="781"/>
      <c r="AO452" s="781"/>
      <c r="AP452" s="781"/>
      <c r="AQ452" s="781"/>
      <c r="AR452" s="781"/>
      <c r="AS452" s="781"/>
      <c r="AT452" s="781"/>
      <c r="AU452" s="781"/>
    </row>
    <row r="453" ht="15.75" customHeight="1">
      <c r="A453" s="786">
        <v>44397.0</v>
      </c>
      <c r="B453" s="787" t="s">
        <v>3091</v>
      </c>
      <c r="C453" s="788" t="s">
        <v>2547</v>
      </c>
      <c r="D453" s="772" t="s">
        <v>6346</v>
      </c>
      <c r="E453" s="784">
        <v>10000.0</v>
      </c>
      <c r="F453" s="772" t="s">
        <v>3090</v>
      </c>
      <c r="G453" s="782" t="s">
        <v>18</v>
      </c>
      <c r="H453" s="782" t="s">
        <v>176</v>
      </c>
      <c r="I453" s="782" t="s">
        <v>177</v>
      </c>
      <c r="J453" s="782">
        <v>44295.0</v>
      </c>
      <c r="K453" s="785" t="s">
        <v>3834</v>
      </c>
      <c r="L453" s="781"/>
      <c r="M453" s="781"/>
      <c r="N453" s="781"/>
      <c r="O453" s="781"/>
      <c r="P453" s="781"/>
      <c r="Q453" s="781"/>
      <c r="R453" s="781"/>
      <c r="S453" s="781"/>
      <c r="T453" s="781"/>
      <c r="U453" s="781"/>
      <c r="V453" s="781"/>
      <c r="W453" s="781"/>
      <c r="X453" s="781"/>
      <c r="Y453" s="781"/>
      <c r="Z453" s="781"/>
      <c r="AA453" s="781"/>
      <c r="AB453" s="781"/>
      <c r="AC453" s="781"/>
      <c r="AD453" s="781"/>
      <c r="AE453" s="781"/>
      <c r="AF453" s="781"/>
      <c r="AG453" s="781"/>
      <c r="AH453" s="781"/>
      <c r="AI453" s="781"/>
      <c r="AJ453" s="781"/>
      <c r="AK453" s="781"/>
      <c r="AL453" s="781"/>
      <c r="AM453" s="781"/>
      <c r="AN453" s="781"/>
      <c r="AO453" s="781"/>
      <c r="AP453" s="781"/>
      <c r="AQ453" s="781"/>
      <c r="AR453" s="781"/>
      <c r="AS453" s="781"/>
      <c r="AT453" s="781"/>
      <c r="AU453" s="781"/>
    </row>
    <row r="454" ht="15.75" customHeight="1">
      <c r="A454" s="786">
        <v>44398.0</v>
      </c>
      <c r="B454" s="787" t="s">
        <v>3216</v>
      </c>
      <c r="C454" s="788" t="s">
        <v>2547</v>
      </c>
      <c r="D454" s="772" t="s">
        <v>6346</v>
      </c>
      <c r="E454" s="784">
        <v>468601.48</v>
      </c>
      <c r="F454" s="772" t="s">
        <v>3215</v>
      </c>
      <c r="G454" s="782" t="s">
        <v>18</v>
      </c>
      <c r="H454" s="782" t="s">
        <v>176</v>
      </c>
      <c r="I454" s="782" t="s">
        <v>197</v>
      </c>
      <c r="J454" s="782">
        <v>44322.0</v>
      </c>
      <c r="K454" s="785" t="s">
        <v>3828</v>
      </c>
      <c r="L454" s="781"/>
      <c r="M454" s="781"/>
      <c r="N454" s="781"/>
      <c r="O454" s="781"/>
      <c r="P454" s="781"/>
      <c r="Q454" s="781"/>
      <c r="R454" s="781"/>
      <c r="S454" s="781"/>
      <c r="T454" s="781"/>
      <c r="U454" s="781"/>
      <c r="V454" s="781"/>
      <c r="W454" s="781"/>
      <c r="X454" s="781"/>
      <c r="Y454" s="781"/>
      <c r="Z454" s="781"/>
      <c r="AA454" s="781"/>
      <c r="AB454" s="781"/>
      <c r="AC454" s="781"/>
      <c r="AD454" s="781"/>
      <c r="AE454" s="781"/>
      <c r="AF454" s="781"/>
      <c r="AG454" s="781"/>
      <c r="AH454" s="781"/>
      <c r="AI454" s="781"/>
      <c r="AJ454" s="781"/>
      <c r="AK454" s="781"/>
      <c r="AL454" s="781"/>
      <c r="AM454" s="781"/>
      <c r="AN454" s="781"/>
      <c r="AO454" s="781"/>
      <c r="AP454" s="781"/>
      <c r="AQ454" s="781"/>
      <c r="AR454" s="781"/>
      <c r="AS454" s="781"/>
      <c r="AT454" s="781"/>
      <c r="AU454" s="781"/>
    </row>
    <row r="455" ht="15.75" customHeight="1">
      <c r="A455" s="786">
        <v>44398.0</v>
      </c>
      <c r="B455" s="787" t="s">
        <v>3274</v>
      </c>
      <c r="C455" s="788" t="s">
        <v>2547</v>
      </c>
      <c r="D455" s="772" t="s">
        <v>6346</v>
      </c>
      <c r="E455" s="791">
        <v>2200.0</v>
      </c>
      <c r="F455" s="772" t="s">
        <v>1714</v>
      </c>
      <c r="G455" s="782" t="s">
        <v>18</v>
      </c>
      <c r="H455" s="782" t="s">
        <v>176</v>
      </c>
      <c r="I455" s="782" t="s">
        <v>177</v>
      </c>
      <c r="J455" s="782">
        <v>44322.0</v>
      </c>
      <c r="K455" s="785" t="s">
        <v>3828</v>
      </c>
      <c r="L455" s="781"/>
      <c r="M455" s="781"/>
      <c r="N455" s="781"/>
      <c r="O455" s="781"/>
      <c r="P455" s="781"/>
      <c r="Q455" s="781"/>
      <c r="R455" s="781"/>
      <c r="S455" s="781"/>
      <c r="T455" s="781"/>
      <c r="U455" s="781"/>
      <c r="V455" s="781"/>
      <c r="W455" s="781"/>
      <c r="X455" s="781"/>
      <c r="Y455" s="781"/>
      <c r="Z455" s="781"/>
      <c r="AA455" s="781"/>
      <c r="AB455" s="781"/>
      <c r="AC455" s="781"/>
      <c r="AD455" s="781"/>
      <c r="AE455" s="781"/>
      <c r="AF455" s="781"/>
      <c r="AG455" s="781"/>
      <c r="AH455" s="781"/>
      <c r="AI455" s="781"/>
      <c r="AJ455" s="781"/>
      <c r="AK455" s="781"/>
      <c r="AL455" s="781"/>
      <c r="AM455" s="781"/>
      <c r="AN455" s="781"/>
      <c r="AO455" s="781"/>
      <c r="AP455" s="781"/>
      <c r="AQ455" s="781"/>
      <c r="AR455" s="781"/>
      <c r="AS455" s="781"/>
      <c r="AT455" s="781"/>
      <c r="AU455" s="781"/>
    </row>
    <row r="456" ht="15.75" customHeight="1">
      <c r="A456" s="786">
        <v>44399.0</v>
      </c>
      <c r="B456" s="787" t="s">
        <v>3216</v>
      </c>
      <c r="C456" s="788" t="s">
        <v>2547</v>
      </c>
      <c r="D456" s="772" t="s">
        <v>6346</v>
      </c>
      <c r="E456" s="784">
        <v>20000.0</v>
      </c>
      <c r="F456" s="772" t="s">
        <v>3215</v>
      </c>
      <c r="G456" s="782" t="s">
        <v>18</v>
      </c>
      <c r="H456" s="782" t="s">
        <v>176</v>
      </c>
      <c r="I456" s="782" t="s">
        <v>197</v>
      </c>
      <c r="J456" s="782">
        <v>44322.0</v>
      </c>
      <c r="K456" s="785" t="s">
        <v>3828</v>
      </c>
      <c r="L456" s="781"/>
      <c r="M456" s="781"/>
      <c r="N456" s="781"/>
      <c r="O456" s="781"/>
      <c r="P456" s="781"/>
      <c r="Q456" s="781"/>
      <c r="R456" s="781"/>
      <c r="S456" s="781"/>
      <c r="T456" s="781"/>
      <c r="U456" s="781"/>
      <c r="V456" s="781"/>
      <c r="W456" s="781"/>
      <c r="X456" s="781"/>
      <c r="Y456" s="781"/>
      <c r="Z456" s="781"/>
      <c r="AA456" s="781"/>
      <c r="AB456" s="781"/>
      <c r="AC456" s="781"/>
      <c r="AD456" s="781"/>
      <c r="AE456" s="781"/>
      <c r="AF456" s="781"/>
      <c r="AG456" s="781"/>
      <c r="AH456" s="781"/>
      <c r="AI456" s="781"/>
      <c r="AJ456" s="781"/>
      <c r="AK456" s="781"/>
      <c r="AL456" s="781"/>
      <c r="AM456" s="781"/>
      <c r="AN456" s="781"/>
      <c r="AO456" s="781"/>
      <c r="AP456" s="781"/>
      <c r="AQ456" s="781"/>
      <c r="AR456" s="781"/>
      <c r="AS456" s="781"/>
      <c r="AT456" s="781"/>
      <c r="AU456" s="781"/>
    </row>
    <row r="457" ht="15.75" customHeight="1">
      <c r="A457" s="786">
        <v>44400.0</v>
      </c>
      <c r="B457" s="787" t="s">
        <v>2995</v>
      </c>
      <c r="C457" s="788" t="s">
        <v>2547</v>
      </c>
      <c r="D457" s="772" t="s">
        <v>6346</v>
      </c>
      <c r="E457" s="784">
        <v>15000.0</v>
      </c>
      <c r="F457" s="772" t="s">
        <v>2994</v>
      </c>
      <c r="G457" s="782" t="s">
        <v>2550</v>
      </c>
      <c r="H457" s="782" t="s">
        <v>29</v>
      </c>
      <c r="I457" s="782" t="s">
        <v>2562</v>
      </c>
      <c r="J457" s="782">
        <v>43752.0</v>
      </c>
      <c r="K457" s="785" t="s">
        <v>3828</v>
      </c>
      <c r="L457" s="781"/>
      <c r="M457" s="781"/>
      <c r="N457" s="781"/>
      <c r="O457" s="781"/>
      <c r="P457" s="781"/>
      <c r="Q457" s="781"/>
      <c r="R457" s="781"/>
      <c r="S457" s="781"/>
      <c r="T457" s="781"/>
      <c r="U457" s="781"/>
      <c r="V457" s="781"/>
      <c r="W457" s="781"/>
      <c r="X457" s="781"/>
      <c r="Y457" s="781"/>
      <c r="Z457" s="781"/>
      <c r="AA457" s="781"/>
      <c r="AB457" s="781"/>
      <c r="AC457" s="781"/>
      <c r="AD457" s="781"/>
      <c r="AE457" s="781"/>
      <c r="AF457" s="781"/>
      <c r="AG457" s="781"/>
      <c r="AH457" s="781"/>
      <c r="AI457" s="781"/>
      <c r="AJ457" s="781"/>
      <c r="AK457" s="781"/>
      <c r="AL457" s="781"/>
      <c r="AM457" s="781"/>
      <c r="AN457" s="781"/>
      <c r="AO457" s="781"/>
      <c r="AP457" s="781"/>
      <c r="AQ457" s="781"/>
      <c r="AR457" s="781"/>
      <c r="AS457" s="781"/>
      <c r="AT457" s="781"/>
      <c r="AU457" s="781"/>
    </row>
    <row r="458" ht="15.75" customHeight="1">
      <c r="A458" s="786">
        <v>44403.0</v>
      </c>
      <c r="B458" s="787" t="s">
        <v>2568</v>
      </c>
      <c r="C458" s="788" t="s">
        <v>2547</v>
      </c>
      <c r="D458" s="772" t="s">
        <v>6346</v>
      </c>
      <c r="E458" s="784">
        <v>30000.0</v>
      </c>
      <c r="F458" s="772" t="s">
        <v>2567</v>
      </c>
      <c r="G458" s="782" t="s">
        <v>18</v>
      </c>
      <c r="H458" s="782" t="s">
        <v>176</v>
      </c>
      <c r="I458" s="782" t="s">
        <v>197</v>
      </c>
      <c r="J458" s="782">
        <v>44321.0</v>
      </c>
      <c r="K458" s="785" t="s">
        <v>3836</v>
      </c>
      <c r="L458" s="781"/>
      <c r="M458" s="781"/>
      <c r="N458" s="781"/>
      <c r="O458" s="781"/>
      <c r="P458" s="781"/>
      <c r="Q458" s="781"/>
      <c r="R458" s="781"/>
      <c r="S458" s="781"/>
      <c r="T458" s="781"/>
      <c r="U458" s="781"/>
      <c r="V458" s="781"/>
      <c r="W458" s="781"/>
      <c r="X458" s="781"/>
      <c r="Y458" s="781"/>
      <c r="Z458" s="781"/>
      <c r="AA458" s="781"/>
      <c r="AB458" s="781"/>
      <c r="AC458" s="781"/>
      <c r="AD458" s="781"/>
      <c r="AE458" s="781"/>
      <c r="AF458" s="781"/>
      <c r="AG458" s="781"/>
      <c r="AH458" s="781"/>
      <c r="AI458" s="781"/>
      <c r="AJ458" s="781"/>
      <c r="AK458" s="781"/>
      <c r="AL458" s="781"/>
      <c r="AM458" s="781"/>
      <c r="AN458" s="781"/>
      <c r="AO458" s="781"/>
      <c r="AP458" s="781"/>
      <c r="AQ458" s="781"/>
      <c r="AR458" s="781"/>
      <c r="AS458" s="781"/>
      <c r="AT458" s="781"/>
      <c r="AU458" s="781"/>
    </row>
    <row r="459" ht="15.75" customHeight="1">
      <c r="A459" s="786">
        <v>44403.0</v>
      </c>
      <c r="B459" s="787" t="s">
        <v>2944</v>
      </c>
      <c r="C459" s="788" t="s">
        <v>2547</v>
      </c>
      <c r="D459" s="772" t="s">
        <v>6346</v>
      </c>
      <c r="E459" s="784">
        <v>40000.0</v>
      </c>
      <c r="F459" s="772" t="s">
        <v>2943</v>
      </c>
      <c r="G459" s="782" t="s">
        <v>18</v>
      </c>
      <c r="H459" s="782" t="s">
        <v>176</v>
      </c>
      <c r="I459" s="782" t="s">
        <v>177</v>
      </c>
      <c r="J459" s="782">
        <v>44272.0</v>
      </c>
      <c r="K459" s="785" t="s">
        <v>6367</v>
      </c>
      <c r="L459" s="781"/>
      <c r="M459" s="781"/>
      <c r="N459" s="781"/>
      <c r="O459" s="781"/>
      <c r="P459" s="781"/>
      <c r="Q459" s="781"/>
      <c r="R459" s="781"/>
      <c r="S459" s="781"/>
      <c r="T459" s="781"/>
      <c r="U459" s="781"/>
      <c r="V459" s="781"/>
      <c r="W459" s="781"/>
      <c r="X459" s="781"/>
      <c r="Y459" s="781"/>
      <c r="Z459" s="781"/>
      <c r="AA459" s="781"/>
      <c r="AB459" s="781"/>
      <c r="AC459" s="781"/>
      <c r="AD459" s="781"/>
      <c r="AE459" s="781"/>
      <c r="AF459" s="781"/>
      <c r="AG459" s="781"/>
      <c r="AH459" s="781"/>
      <c r="AI459" s="781"/>
      <c r="AJ459" s="781"/>
      <c r="AK459" s="781"/>
      <c r="AL459" s="781"/>
      <c r="AM459" s="781"/>
      <c r="AN459" s="781"/>
      <c r="AO459" s="781"/>
      <c r="AP459" s="781"/>
      <c r="AQ459" s="781"/>
      <c r="AR459" s="781"/>
      <c r="AS459" s="781"/>
      <c r="AT459" s="781"/>
      <c r="AU459" s="781"/>
    </row>
    <row r="460" ht="15.75" customHeight="1">
      <c r="A460" s="786">
        <v>44404.0</v>
      </c>
      <c r="B460" s="787" t="s">
        <v>6413</v>
      </c>
      <c r="C460" s="772" t="s">
        <v>3820</v>
      </c>
      <c r="D460" s="772" t="s">
        <v>6345</v>
      </c>
      <c r="E460" s="784">
        <v>0.0</v>
      </c>
      <c r="F460" s="772" t="s">
        <v>4427</v>
      </c>
      <c r="G460" s="772" t="s">
        <v>18</v>
      </c>
      <c r="H460" s="772" t="s">
        <v>19</v>
      </c>
      <c r="I460" s="772" t="s">
        <v>256</v>
      </c>
      <c r="J460" s="782"/>
      <c r="K460" s="789" t="s">
        <v>3828</v>
      </c>
      <c r="L460" s="781"/>
      <c r="M460" s="781"/>
      <c r="N460" s="781"/>
      <c r="O460" s="781"/>
      <c r="P460" s="781"/>
      <c r="Q460" s="781"/>
      <c r="R460" s="781"/>
      <c r="S460" s="781"/>
      <c r="T460" s="781"/>
      <c r="U460" s="781"/>
      <c r="V460" s="781"/>
      <c r="W460" s="781"/>
      <c r="X460" s="781"/>
      <c r="Y460" s="781"/>
      <c r="Z460" s="781"/>
      <c r="AA460" s="781"/>
      <c r="AB460" s="781"/>
      <c r="AC460" s="781"/>
      <c r="AD460" s="781"/>
      <c r="AE460" s="781"/>
      <c r="AF460" s="781"/>
      <c r="AG460" s="781"/>
      <c r="AH460" s="781"/>
      <c r="AI460" s="781"/>
      <c r="AJ460" s="781"/>
      <c r="AK460" s="781"/>
      <c r="AL460" s="781"/>
      <c r="AM460" s="781"/>
      <c r="AN460" s="781"/>
      <c r="AO460" s="781"/>
      <c r="AP460" s="781"/>
      <c r="AQ460" s="781"/>
      <c r="AR460" s="781"/>
      <c r="AS460" s="781"/>
      <c r="AT460" s="781"/>
      <c r="AU460" s="781"/>
    </row>
    <row r="461" ht="15.75" customHeight="1">
      <c r="A461" s="786">
        <v>44405.0</v>
      </c>
      <c r="B461" s="787" t="s">
        <v>3441</v>
      </c>
      <c r="C461" s="788" t="s">
        <v>2547</v>
      </c>
      <c r="D461" s="772" t="s">
        <v>6346</v>
      </c>
      <c r="E461" s="784">
        <v>100000.0</v>
      </c>
      <c r="F461" s="772" t="s">
        <v>3440</v>
      </c>
      <c r="G461" s="782" t="s">
        <v>18</v>
      </c>
      <c r="H461" s="782" t="s">
        <v>176</v>
      </c>
      <c r="I461" s="782" t="s">
        <v>197</v>
      </c>
      <c r="J461" s="782">
        <v>44319.0</v>
      </c>
      <c r="K461" s="785" t="s">
        <v>3828</v>
      </c>
      <c r="L461" s="781"/>
      <c r="M461" s="781"/>
      <c r="N461" s="781"/>
      <c r="O461" s="781"/>
      <c r="P461" s="781"/>
      <c r="Q461" s="781"/>
      <c r="R461" s="781"/>
      <c r="S461" s="781"/>
      <c r="T461" s="781"/>
      <c r="U461" s="781"/>
      <c r="V461" s="781"/>
      <c r="W461" s="781"/>
      <c r="X461" s="781"/>
      <c r="Y461" s="781"/>
      <c r="Z461" s="781"/>
      <c r="AA461" s="781"/>
      <c r="AB461" s="781"/>
      <c r="AC461" s="781"/>
      <c r="AD461" s="781"/>
      <c r="AE461" s="781"/>
      <c r="AF461" s="781"/>
      <c r="AG461" s="781"/>
      <c r="AH461" s="781"/>
      <c r="AI461" s="781"/>
      <c r="AJ461" s="781"/>
      <c r="AK461" s="781"/>
      <c r="AL461" s="781"/>
      <c r="AM461" s="781"/>
      <c r="AN461" s="781"/>
      <c r="AO461" s="781"/>
      <c r="AP461" s="781"/>
      <c r="AQ461" s="781"/>
      <c r="AR461" s="781"/>
      <c r="AS461" s="781"/>
      <c r="AT461" s="781"/>
      <c r="AU461" s="781"/>
    </row>
    <row r="462" ht="15.75" customHeight="1">
      <c r="A462" s="786">
        <v>44406.0</v>
      </c>
      <c r="B462" s="787" t="s">
        <v>2965</v>
      </c>
      <c r="C462" s="788" t="s">
        <v>2547</v>
      </c>
      <c r="D462" s="772" t="s">
        <v>1481</v>
      </c>
      <c r="E462" s="784">
        <v>15000.0</v>
      </c>
      <c r="F462" s="772" t="s">
        <v>2964</v>
      </c>
      <c r="G462" s="782" t="s">
        <v>2550</v>
      </c>
      <c r="H462" s="782" t="s">
        <v>29</v>
      </c>
      <c r="I462" s="782" t="s">
        <v>2551</v>
      </c>
      <c r="J462" s="782">
        <v>43859.0</v>
      </c>
      <c r="K462" s="785" t="s">
        <v>3836</v>
      </c>
      <c r="L462" s="781"/>
      <c r="M462" s="781"/>
      <c r="N462" s="781"/>
      <c r="O462" s="781"/>
      <c r="P462" s="781"/>
      <c r="Q462" s="781"/>
      <c r="R462" s="781"/>
      <c r="S462" s="781"/>
      <c r="T462" s="781"/>
      <c r="U462" s="781"/>
      <c r="V462" s="781"/>
      <c r="W462" s="781"/>
      <c r="X462" s="781"/>
      <c r="Y462" s="781"/>
      <c r="Z462" s="781"/>
      <c r="AA462" s="781"/>
      <c r="AB462" s="781"/>
      <c r="AC462" s="781"/>
      <c r="AD462" s="781"/>
      <c r="AE462" s="781"/>
      <c r="AF462" s="781"/>
      <c r="AG462" s="781"/>
      <c r="AH462" s="781"/>
      <c r="AI462" s="781"/>
      <c r="AJ462" s="781"/>
      <c r="AK462" s="781"/>
      <c r="AL462" s="781"/>
      <c r="AM462" s="781"/>
      <c r="AN462" s="781"/>
      <c r="AO462" s="781"/>
      <c r="AP462" s="781"/>
      <c r="AQ462" s="781"/>
      <c r="AR462" s="781"/>
      <c r="AS462" s="781"/>
      <c r="AT462" s="781"/>
      <c r="AU462" s="781"/>
    </row>
    <row r="463" ht="15.75" customHeight="1">
      <c r="A463" s="786">
        <v>44407.0</v>
      </c>
      <c r="B463" s="787" t="s">
        <v>6414</v>
      </c>
      <c r="C463" s="788" t="s">
        <v>3820</v>
      </c>
      <c r="D463" s="772" t="s">
        <v>6346</v>
      </c>
      <c r="E463" s="784">
        <v>3440319.83</v>
      </c>
      <c r="F463" s="772" t="s">
        <v>4366</v>
      </c>
      <c r="G463" s="772" t="s">
        <v>18</v>
      </c>
      <c r="H463" s="772" t="s">
        <v>29</v>
      </c>
      <c r="I463" s="772" t="s">
        <v>3708</v>
      </c>
      <c r="J463" s="782"/>
      <c r="K463" s="789" t="s">
        <v>3840</v>
      </c>
      <c r="L463" s="781"/>
      <c r="M463" s="781"/>
      <c r="N463" s="781"/>
      <c r="O463" s="781"/>
      <c r="P463" s="781"/>
      <c r="Q463" s="781"/>
      <c r="R463" s="781"/>
      <c r="S463" s="781"/>
      <c r="T463" s="781"/>
      <c r="U463" s="781"/>
      <c r="V463" s="781"/>
      <c r="W463" s="781"/>
      <c r="X463" s="781"/>
      <c r="Y463" s="781"/>
      <c r="Z463" s="781"/>
      <c r="AA463" s="781"/>
      <c r="AB463" s="781"/>
      <c r="AC463" s="781"/>
      <c r="AD463" s="781"/>
      <c r="AE463" s="781"/>
      <c r="AF463" s="781"/>
      <c r="AG463" s="781"/>
      <c r="AH463" s="781"/>
      <c r="AI463" s="781"/>
      <c r="AJ463" s="781"/>
      <c r="AK463" s="781"/>
      <c r="AL463" s="781"/>
      <c r="AM463" s="781"/>
      <c r="AN463" s="781"/>
      <c r="AO463" s="781"/>
      <c r="AP463" s="781"/>
      <c r="AQ463" s="781"/>
      <c r="AR463" s="781"/>
      <c r="AS463" s="781"/>
      <c r="AT463" s="781"/>
      <c r="AU463" s="781"/>
    </row>
    <row r="464" ht="15.75" customHeight="1">
      <c r="A464" s="786">
        <v>44407.0</v>
      </c>
      <c r="B464" s="787" t="s">
        <v>3216</v>
      </c>
      <c r="C464" s="788" t="s">
        <v>2547</v>
      </c>
      <c r="D464" s="772" t="s">
        <v>6346</v>
      </c>
      <c r="E464" s="784">
        <v>10000.0</v>
      </c>
      <c r="F464" s="772" t="s">
        <v>3215</v>
      </c>
      <c r="G464" s="782" t="s">
        <v>18</v>
      </c>
      <c r="H464" s="782" t="s">
        <v>176</v>
      </c>
      <c r="I464" s="782" t="s">
        <v>197</v>
      </c>
      <c r="J464" s="782">
        <v>44322.0</v>
      </c>
      <c r="K464" s="785" t="s">
        <v>3828</v>
      </c>
      <c r="L464" s="781"/>
      <c r="M464" s="781"/>
      <c r="N464" s="781"/>
      <c r="O464" s="781"/>
      <c r="P464" s="781"/>
      <c r="Q464" s="781"/>
      <c r="R464" s="781"/>
      <c r="S464" s="781"/>
      <c r="T464" s="781"/>
      <c r="U464" s="781"/>
      <c r="V464" s="781"/>
      <c r="W464" s="781"/>
      <c r="X464" s="781"/>
      <c r="Y464" s="781"/>
      <c r="Z464" s="781"/>
      <c r="AA464" s="781"/>
      <c r="AB464" s="781"/>
      <c r="AC464" s="781"/>
      <c r="AD464" s="781"/>
      <c r="AE464" s="781"/>
      <c r="AF464" s="781"/>
      <c r="AG464" s="781"/>
      <c r="AH464" s="781"/>
      <c r="AI464" s="781"/>
      <c r="AJ464" s="781"/>
      <c r="AK464" s="781"/>
      <c r="AL464" s="781"/>
      <c r="AM464" s="781"/>
      <c r="AN464" s="781"/>
      <c r="AO464" s="781"/>
      <c r="AP464" s="781"/>
      <c r="AQ464" s="781"/>
      <c r="AR464" s="781"/>
      <c r="AS464" s="781"/>
      <c r="AT464" s="781"/>
      <c r="AU464" s="781"/>
    </row>
    <row r="465" ht="15.75" customHeight="1">
      <c r="A465" s="786">
        <v>44407.0</v>
      </c>
      <c r="B465" s="787" t="s">
        <v>6384</v>
      </c>
      <c r="C465" s="788" t="s">
        <v>3820</v>
      </c>
      <c r="D465" s="772" t="s">
        <v>6346</v>
      </c>
      <c r="E465" s="784">
        <v>155000.0</v>
      </c>
      <c r="F465" s="772" t="s">
        <v>5098</v>
      </c>
      <c r="G465" s="761" t="s">
        <v>105</v>
      </c>
      <c r="H465" s="772" t="s">
        <v>29</v>
      </c>
      <c r="I465" s="761" t="s">
        <v>4486</v>
      </c>
      <c r="J465" s="805">
        <v>44180.0</v>
      </c>
      <c r="K465" s="789" t="s">
        <v>3828</v>
      </c>
      <c r="L465" s="781"/>
      <c r="M465" s="781"/>
      <c r="N465" s="781"/>
      <c r="O465" s="781"/>
      <c r="P465" s="781"/>
      <c r="Q465" s="781"/>
      <c r="R465" s="781"/>
      <c r="S465" s="781"/>
      <c r="T465" s="781"/>
      <c r="U465" s="781"/>
      <c r="V465" s="781"/>
      <c r="W465" s="781"/>
      <c r="X465" s="781"/>
      <c r="Y465" s="781"/>
      <c r="Z465" s="781"/>
      <c r="AA465" s="781"/>
      <c r="AB465" s="781"/>
      <c r="AC465" s="781"/>
      <c r="AD465" s="781"/>
      <c r="AE465" s="781"/>
      <c r="AF465" s="781"/>
      <c r="AG465" s="781"/>
      <c r="AH465" s="781"/>
      <c r="AI465" s="781"/>
      <c r="AJ465" s="781"/>
      <c r="AK465" s="781"/>
      <c r="AL465" s="781"/>
      <c r="AM465" s="781"/>
      <c r="AN465" s="781"/>
      <c r="AO465" s="781"/>
      <c r="AP465" s="781"/>
      <c r="AQ465" s="781"/>
      <c r="AR465" s="781"/>
      <c r="AS465" s="781"/>
      <c r="AT465" s="781"/>
      <c r="AU465" s="781"/>
    </row>
    <row r="466" ht="15.75" customHeight="1">
      <c r="A466" s="811">
        <v>44407.0</v>
      </c>
      <c r="B466" s="812" t="s">
        <v>6415</v>
      </c>
      <c r="C466" s="813" t="s">
        <v>3820</v>
      </c>
      <c r="D466" s="814" t="s">
        <v>6346</v>
      </c>
      <c r="E466" s="815">
        <v>5000.0</v>
      </c>
      <c r="F466" s="814" t="s">
        <v>606</v>
      </c>
      <c r="G466" s="814" t="s">
        <v>18</v>
      </c>
      <c r="H466" s="814" t="s">
        <v>19</v>
      </c>
      <c r="I466" s="814" t="s">
        <v>256</v>
      </c>
      <c r="J466" s="816">
        <v>44407.0</v>
      </c>
      <c r="K466" s="817" t="s">
        <v>3824</v>
      </c>
      <c r="L466" s="781"/>
      <c r="M466" s="781"/>
      <c r="N466" s="781"/>
      <c r="O466" s="781"/>
      <c r="P466" s="781"/>
      <c r="Q466" s="781"/>
      <c r="R466" s="781"/>
      <c r="S466" s="781"/>
      <c r="T466" s="781"/>
      <c r="U466" s="781"/>
      <c r="V466" s="781"/>
      <c r="W466" s="781"/>
      <c r="X466" s="781"/>
      <c r="Y466" s="781"/>
      <c r="Z466" s="781"/>
      <c r="AA466" s="781"/>
      <c r="AB466" s="781"/>
      <c r="AC466" s="781"/>
      <c r="AD466" s="781"/>
      <c r="AE466" s="781"/>
      <c r="AF466" s="781"/>
      <c r="AG466" s="781"/>
      <c r="AH466" s="781"/>
      <c r="AI466" s="781"/>
      <c r="AJ466" s="781"/>
      <c r="AK466" s="781"/>
      <c r="AL466" s="781"/>
      <c r="AM466" s="781"/>
      <c r="AN466" s="781"/>
      <c r="AO466" s="781"/>
      <c r="AP466" s="781"/>
      <c r="AQ466" s="781"/>
      <c r="AR466" s="781"/>
      <c r="AS466" s="781"/>
      <c r="AT466" s="781"/>
      <c r="AU466" s="781"/>
    </row>
    <row r="467" ht="15.75" customHeight="1">
      <c r="A467" s="782">
        <v>44408.0</v>
      </c>
      <c r="B467" s="783" t="s">
        <v>6398</v>
      </c>
      <c r="C467" s="772" t="s">
        <v>3820</v>
      </c>
      <c r="D467" s="772" t="s">
        <v>6345</v>
      </c>
      <c r="E467" s="784">
        <v>0.0</v>
      </c>
      <c r="F467" s="772" t="s">
        <v>4966</v>
      </c>
      <c r="G467" s="772" t="s">
        <v>105</v>
      </c>
      <c r="H467" s="772" t="s">
        <v>29</v>
      </c>
      <c r="I467" s="772" t="s">
        <v>3660</v>
      </c>
      <c r="J467" s="782">
        <v>44090.0</v>
      </c>
      <c r="K467" s="789" t="s">
        <v>3836</v>
      </c>
      <c r="L467" s="781"/>
      <c r="M467" s="781"/>
      <c r="N467" s="781"/>
      <c r="O467" s="781"/>
      <c r="P467" s="781"/>
      <c r="Q467" s="781"/>
      <c r="R467" s="781"/>
      <c r="S467" s="781"/>
      <c r="T467" s="781"/>
      <c r="U467" s="781"/>
      <c r="V467" s="781"/>
      <c r="W467" s="781"/>
      <c r="X467" s="781"/>
      <c r="Y467" s="781"/>
      <c r="Z467" s="781"/>
      <c r="AA467" s="781"/>
      <c r="AB467" s="781"/>
      <c r="AC467" s="781"/>
      <c r="AD467" s="781"/>
      <c r="AE467" s="781"/>
      <c r="AF467" s="781"/>
      <c r="AG467" s="781"/>
      <c r="AH467" s="781"/>
      <c r="AI467" s="781"/>
      <c r="AJ467" s="781"/>
      <c r="AK467" s="781"/>
      <c r="AL467" s="781"/>
      <c r="AM467" s="781"/>
      <c r="AN467" s="781"/>
      <c r="AO467" s="781"/>
      <c r="AP467" s="781"/>
      <c r="AQ467" s="781"/>
      <c r="AR467" s="781"/>
      <c r="AS467" s="781"/>
      <c r="AT467" s="781"/>
      <c r="AU467" s="781"/>
    </row>
    <row r="468" ht="15.75" customHeight="1">
      <c r="A468" s="786">
        <v>44410.0</v>
      </c>
      <c r="B468" s="787" t="s">
        <v>2666</v>
      </c>
      <c r="C468" s="788" t="s">
        <v>2547</v>
      </c>
      <c r="D468" s="772" t="s">
        <v>6346</v>
      </c>
      <c r="E468" s="784">
        <v>150000.0</v>
      </c>
      <c r="F468" s="772" t="s">
        <v>2665</v>
      </c>
      <c r="G468" s="782" t="s">
        <v>18</v>
      </c>
      <c r="H468" s="782" t="s">
        <v>176</v>
      </c>
      <c r="I468" s="782" t="s">
        <v>197</v>
      </c>
      <c r="J468" s="782">
        <v>44295.0</v>
      </c>
      <c r="K468" s="785" t="s">
        <v>3824</v>
      </c>
      <c r="L468" s="781"/>
      <c r="M468" s="781"/>
      <c r="N468" s="781"/>
      <c r="O468" s="781"/>
      <c r="P468" s="781"/>
      <c r="Q468" s="781"/>
      <c r="R468" s="781"/>
      <c r="S468" s="781"/>
      <c r="T468" s="781"/>
      <c r="U468" s="781"/>
      <c r="V468" s="781"/>
      <c r="W468" s="781"/>
      <c r="X468" s="781"/>
      <c r="Y468" s="781"/>
      <c r="Z468" s="781"/>
      <c r="AA468" s="781"/>
      <c r="AB468" s="781"/>
      <c r="AC468" s="781"/>
      <c r="AD468" s="781"/>
      <c r="AE468" s="781"/>
      <c r="AF468" s="781"/>
      <c r="AG468" s="781"/>
      <c r="AH468" s="781"/>
      <c r="AI468" s="781"/>
      <c r="AJ468" s="781"/>
      <c r="AK468" s="781"/>
      <c r="AL468" s="781"/>
      <c r="AM468" s="781"/>
      <c r="AN468" s="781"/>
      <c r="AO468" s="781"/>
      <c r="AP468" s="781"/>
      <c r="AQ468" s="781"/>
      <c r="AR468" s="781"/>
      <c r="AS468" s="781"/>
      <c r="AT468" s="781"/>
      <c r="AU468" s="781"/>
    </row>
    <row r="469" ht="15.75" customHeight="1">
      <c r="A469" s="786">
        <v>44410.0</v>
      </c>
      <c r="B469" s="787" t="s">
        <v>2847</v>
      </c>
      <c r="C469" s="788" t="s">
        <v>2547</v>
      </c>
      <c r="D469" s="772" t="s">
        <v>6346</v>
      </c>
      <c r="E469" s="784">
        <v>13000.0</v>
      </c>
      <c r="F469" s="772" t="s">
        <v>767</v>
      </c>
      <c r="G469" s="782" t="s">
        <v>18</v>
      </c>
      <c r="H469" s="782" t="s">
        <v>176</v>
      </c>
      <c r="I469" s="782" t="s">
        <v>177</v>
      </c>
      <c r="J469" s="782">
        <v>44321.0</v>
      </c>
      <c r="K469" s="785" t="s">
        <v>3828</v>
      </c>
      <c r="L469" s="781"/>
      <c r="M469" s="781"/>
      <c r="N469" s="781"/>
      <c r="O469" s="781"/>
      <c r="P469" s="781"/>
      <c r="Q469" s="781"/>
      <c r="R469" s="781"/>
      <c r="S469" s="781"/>
      <c r="T469" s="781"/>
      <c r="U469" s="781"/>
      <c r="V469" s="781"/>
      <c r="W469" s="781"/>
      <c r="X469" s="781"/>
      <c r="Y469" s="781"/>
      <c r="Z469" s="781"/>
      <c r="AA469" s="781"/>
      <c r="AB469" s="781"/>
      <c r="AC469" s="781"/>
      <c r="AD469" s="781"/>
      <c r="AE469" s="781"/>
      <c r="AF469" s="781"/>
      <c r="AG469" s="781"/>
      <c r="AH469" s="781"/>
      <c r="AI469" s="781"/>
      <c r="AJ469" s="781"/>
      <c r="AK469" s="781"/>
      <c r="AL469" s="781"/>
      <c r="AM469" s="781"/>
      <c r="AN469" s="781"/>
      <c r="AO469" s="781"/>
      <c r="AP469" s="781"/>
      <c r="AQ469" s="781"/>
      <c r="AR469" s="781"/>
      <c r="AS469" s="781"/>
      <c r="AT469" s="781"/>
      <c r="AU469" s="781"/>
    </row>
    <row r="470" ht="15.75" customHeight="1">
      <c r="A470" s="786">
        <v>44410.0</v>
      </c>
      <c r="B470" s="787" t="s">
        <v>6416</v>
      </c>
      <c r="C470" s="788" t="s">
        <v>3820</v>
      </c>
      <c r="D470" s="772" t="s">
        <v>6346</v>
      </c>
      <c r="E470" s="784">
        <v>199844.32</v>
      </c>
      <c r="F470" s="772" t="s">
        <v>4404</v>
      </c>
      <c r="G470" s="772" t="s">
        <v>105</v>
      </c>
      <c r="H470" s="772" t="s">
        <v>29</v>
      </c>
      <c r="I470" s="772" t="s">
        <v>3660</v>
      </c>
      <c r="J470" s="782">
        <v>44228.0</v>
      </c>
      <c r="K470" s="789" t="s">
        <v>3824</v>
      </c>
      <c r="L470" s="781"/>
      <c r="M470" s="781"/>
      <c r="N470" s="781"/>
      <c r="O470" s="781"/>
      <c r="P470" s="781"/>
      <c r="Q470" s="781"/>
      <c r="R470" s="781"/>
      <c r="S470" s="781"/>
      <c r="T470" s="781"/>
      <c r="U470" s="781"/>
      <c r="V470" s="781"/>
      <c r="W470" s="781"/>
      <c r="X470" s="781"/>
      <c r="Y470" s="781"/>
      <c r="Z470" s="781"/>
      <c r="AA470" s="781"/>
      <c r="AB470" s="781"/>
      <c r="AC470" s="781"/>
      <c r="AD470" s="781"/>
      <c r="AE470" s="781"/>
      <c r="AF470" s="781"/>
      <c r="AG470" s="781"/>
      <c r="AH470" s="781"/>
      <c r="AI470" s="781"/>
      <c r="AJ470" s="781"/>
      <c r="AK470" s="781"/>
      <c r="AL470" s="781"/>
      <c r="AM470" s="781"/>
      <c r="AN470" s="781"/>
      <c r="AO470" s="781"/>
      <c r="AP470" s="781"/>
      <c r="AQ470" s="781"/>
      <c r="AR470" s="781"/>
      <c r="AS470" s="781"/>
      <c r="AT470" s="781"/>
      <c r="AU470" s="781"/>
    </row>
    <row r="471" ht="15.75" customHeight="1">
      <c r="A471" s="786">
        <v>44410.0</v>
      </c>
      <c r="B471" s="787" t="s">
        <v>3216</v>
      </c>
      <c r="C471" s="788" t="s">
        <v>2547</v>
      </c>
      <c r="D471" s="772" t="s">
        <v>6346</v>
      </c>
      <c r="E471" s="784">
        <v>10000.0</v>
      </c>
      <c r="F471" s="772" t="s">
        <v>3215</v>
      </c>
      <c r="G471" s="782" t="s">
        <v>18</v>
      </c>
      <c r="H471" s="782" t="s">
        <v>176</v>
      </c>
      <c r="I471" s="782" t="s">
        <v>197</v>
      </c>
      <c r="J471" s="782">
        <v>44322.0</v>
      </c>
      <c r="K471" s="785" t="s">
        <v>3828</v>
      </c>
      <c r="L471" s="781"/>
      <c r="M471" s="781"/>
      <c r="N471" s="781"/>
      <c r="O471" s="781"/>
      <c r="P471" s="781"/>
      <c r="Q471" s="781"/>
      <c r="R471" s="781"/>
      <c r="S471" s="781"/>
      <c r="T471" s="781"/>
      <c r="U471" s="781"/>
      <c r="V471" s="781"/>
      <c r="W471" s="781"/>
      <c r="X471" s="781"/>
      <c r="Y471" s="781"/>
      <c r="Z471" s="781"/>
      <c r="AA471" s="781"/>
      <c r="AB471" s="781"/>
      <c r="AC471" s="781"/>
      <c r="AD471" s="781"/>
      <c r="AE471" s="781"/>
      <c r="AF471" s="781"/>
      <c r="AG471" s="781"/>
      <c r="AH471" s="781"/>
      <c r="AI471" s="781"/>
      <c r="AJ471" s="781"/>
      <c r="AK471" s="781"/>
      <c r="AL471" s="781"/>
      <c r="AM471" s="781"/>
      <c r="AN471" s="781"/>
      <c r="AO471" s="781"/>
      <c r="AP471" s="781"/>
      <c r="AQ471" s="781"/>
      <c r="AR471" s="781"/>
      <c r="AS471" s="781"/>
      <c r="AT471" s="781"/>
      <c r="AU471" s="781"/>
    </row>
    <row r="472" ht="15.75" customHeight="1">
      <c r="A472" s="786">
        <v>44411.0</v>
      </c>
      <c r="B472" s="787" t="s">
        <v>2944</v>
      </c>
      <c r="C472" s="788" t="s">
        <v>2547</v>
      </c>
      <c r="D472" s="772" t="s">
        <v>1481</v>
      </c>
      <c r="E472" s="784">
        <v>30000.0</v>
      </c>
      <c r="F472" s="772" t="s">
        <v>2943</v>
      </c>
      <c r="G472" s="782" t="s">
        <v>18</v>
      </c>
      <c r="H472" s="782" t="s">
        <v>176</v>
      </c>
      <c r="I472" s="782" t="s">
        <v>177</v>
      </c>
      <c r="J472" s="782">
        <v>44272.0</v>
      </c>
      <c r="K472" s="785" t="s">
        <v>6367</v>
      </c>
      <c r="L472" s="781"/>
      <c r="M472" s="781"/>
      <c r="N472" s="781"/>
      <c r="O472" s="781"/>
      <c r="P472" s="781"/>
      <c r="Q472" s="781"/>
      <c r="R472" s="781"/>
      <c r="S472" s="781"/>
      <c r="T472" s="781"/>
      <c r="U472" s="781"/>
      <c r="V472" s="781"/>
      <c r="W472" s="781"/>
      <c r="X472" s="781"/>
      <c r="Y472" s="781"/>
      <c r="Z472" s="781"/>
      <c r="AA472" s="781"/>
      <c r="AB472" s="781"/>
      <c r="AC472" s="781"/>
      <c r="AD472" s="781"/>
      <c r="AE472" s="781"/>
      <c r="AF472" s="781"/>
      <c r="AG472" s="781"/>
      <c r="AH472" s="781"/>
      <c r="AI472" s="781"/>
      <c r="AJ472" s="781"/>
      <c r="AK472" s="781"/>
      <c r="AL472" s="781"/>
      <c r="AM472" s="781"/>
      <c r="AN472" s="781"/>
      <c r="AO472" s="781"/>
      <c r="AP472" s="781"/>
      <c r="AQ472" s="781"/>
      <c r="AR472" s="781"/>
      <c r="AS472" s="781"/>
      <c r="AT472" s="781"/>
      <c r="AU472" s="781"/>
    </row>
    <row r="473" ht="15.75" customHeight="1">
      <c r="A473" s="782">
        <v>44412.0</v>
      </c>
      <c r="B473" s="783" t="s">
        <v>6417</v>
      </c>
      <c r="C473" s="772" t="s">
        <v>3820</v>
      </c>
      <c r="D473" s="772" t="s">
        <v>6345</v>
      </c>
      <c r="E473" s="784">
        <v>0.0</v>
      </c>
      <c r="F473" s="772" t="s">
        <v>4055</v>
      </c>
      <c r="G473" s="772" t="s">
        <v>18</v>
      </c>
      <c r="H473" s="772" t="s">
        <v>29</v>
      </c>
      <c r="I473" s="772" t="s">
        <v>3827</v>
      </c>
      <c r="J473" s="782">
        <v>44141.0</v>
      </c>
      <c r="K473" s="789" t="s">
        <v>3828</v>
      </c>
      <c r="L473" s="781"/>
      <c r="M473" s="781"/>
      <c r="N473" s="781"/>
      <c r="O473" s="781"/>
      <c r="P473" s="781"/>
      <c r="Q473" s="781"/>
      <c r="R473" s="781"/>
      <c r="S473" s="781"/>
      <c r="T473" s="781"/>
      <c r="U473" s="781"/>
      <c r="V473" s="781"/>
      <c r="W473" s="781"/>
      <c r="X473" s="781"/>
      <c r="Y473" s="781"/>
      <c r="Z473" s="781"/>
      <c r="AA473" s="781"/>
      <c r="AB473" s="781"/>
      <c r="AC473" s="781"/>
      <c r="AD473" s="781"/>
      <c r="AE473" s="781"/>
      <c r="AF473" s="781"/>
      <c r="AG473" s="781"/>
      <c r="AH473" s="781"/>
      <c r="AI473" s="781"/>
      <c r="AJ473" s="781"/>
      <c r="AK473" s="781"/>
      <c r="AL473" s="781"/>
      <c r="AM473" s="781"/>
      <c r="AN473" s="781"/>
      <c r="AO473" s="781"/>
      <c r="AP473" s="781"/>
      <c r="AQ473" s="781"/>
      <c r="AR473" s="781"/>
      <c r="AS473" s="781"/>
      <c r="AT473" s="781"/>
      <c r="AU473" s="781"/>
    </row>
    <row r="474" ht="15.75" customHeight="1">
      <c r="A474" s="786">
        <v>44412.0</v>
      </c>
      <c r="B474" s="787" t="s">
        <v>2982</v>
      </c>
      <c r="C474" s="788" t="s">
        <v>2547</v>
      </c>
      <c r="D474" s="772" t="s">
        <v>6346</v>
      </c>
      <c r="E474" s="784">
        <v>6000.0</v>
      </c>
      <c r="F474" s="772" t="s">
        <v>2981</v>
      </c>
      <c r="G474" s="782" t="s">
        <v>2550</v>
      </c>
      <c r="H474" s="782" t="s">
        <v>29</v>
      </c>
      <c r="I474" s="782" t="s">
        <v>2551</v>
      </c>
      <c r="J474" s="782">
        <v>43703.0</v>
      </c>
      <c r="K474" s="785" t="s">
        <v>4206</v>
      </c>
      <c r="L474" s="781"/>
      <c r="M474" s="781"/>
      <c r="N474" s="781"/>
      <c r="O474" s="781"/>
      <c r="P474" s="781"/>
      <c r="Q474" s="781"/>
      <c r="R474" s="781"/>
      <c r="S474" s="781"/>
      <c r="T474" s="781"/>
      <c r="U474" s="781"/>
      <c r="V474" s="781"/>
      <c r="W474" s="781"/>
      <c r="X474" s="781"/>
      <c r="Y474" s="781"/>
      <c r="Z474" s="781"/>
      <c r="AA474" s="781"/>
      <c r="AB474" s="781"/>
      <c r="AC474" s="781"/>
      <c r="AD474" s="781"/>
      <c r="AE474" s="781"/>
      <c r="AF474" s="781"/>
      <c r="AG474" s="781"/>
      <c r="AH474" s="781"/>
      <c r="AI474" s="781"/>
      <c r="AJ474" s="781"/>
      <c r="AK474" s="781"/>
      <c r="AL474" s="781"/>
      <c r="AM474" s="781"/>
      <c r="AN474" s="781"/>
      <c r="AO474" s="781"/>
      <c r="AP474" s="781"/>
      <c r="AQ474" s="781"/>
      <c r="AR474" s="781"/>
      <c r="AS474" s="781"/>
      <c r="AT474" s="781"/>
      <c r="AU474" s="781"/>
    </row>
    <row r="475" ht="15.75" customHeight="1">
      <c r="A475" s="786">
        <v>44412.0</v>
      </c>
      <c r="B475" s="787" t="s">
        <v>6418</v>
      </c>
      <c r="C475" s="788" t="s">
        <v>3820</v>
      </c>
      <c r="D475" s="772" t="s">
        <v>6346</v>
      </c>
      <c r="E475" s="784">
        <v>20000.0</v>
      </c>
      <c r="F475" s="772" t="s">
        <v>4051</v>
      </c>
      <c r="G475" s="772" t="s">
        <v>2550</v>
      </c>
      <c r="H475" s="772" t="s">
        <v>29</v>
      </c>
      <c r="I475" s="772" t="s">
        <v>2550</v>
      </c>
      <c r="J475" s="782">
        <v>44235.0</v>
      </c>
      <c r="K475" s="789" t="s">
        <v>3828</v>
      </c>
      <c r="L475" s="781"/>
      <c r="M475" s="781"/>
      <c r="N475" s="781"/>
      <c r="O475" s="781"/>
      <c r="P475" s="781"/>
      <c r="Q475" s="781"/>
      <c r="R475" s="781"/>
      <c r="S475" s="781"/>
      <c r="T475" s="781"/>
      <c r="U475" s="781"/>
      <c r="V475" s="781"/>
      <c r="W475" s="781"/>
      <c r="X475" s="781"/>
      <c r="Y475" s="781"/>
      <c r="Z475" s="781"/>
      <c r="AA475" s="781"/>
      <c r="AB475" s="781"/>
      <c r="AC475" s="781"/>
      <c r="AD475" s="781"/>
      <c r="AE475" s="781"/>
      <c r="AF475" s="781"/>
      <c r="AG475" s="781"/>
      <c r="AH475" s="781"/>
      <c r="AI475" s="781"/>
      <c r="AJ475" s="781"/>
      <c r="AK475" s="781"/>
      <c r="AL475" s="781"/>
      <c r="AM475" s="781"/>
      <c r="AN475" s="781"/>
      <c r="AO475" s="781"/>
      <c r="AP475" s="781"/>
      <c r="AQ475" s="781"/>
      <c r="AR475" s="781"/>
      <c r="AS475" s="781"/>
      <c r="AT475" s="781"/>
      <c r="AU475" s="781"/>
    </row>
    <row r="476" ht="15.75" customHeight="1">
      <c r="A476" s="786">
        <v>44412.0</v>
      </c>
      <c r="B476" s="787" t="s">
        <v>3590</v>
      </c>
      <c r="C476" s="788" t="s">
        <v>2547</v>
      </c>
      <c r="D476" s="772" t="s">
        <v>6346</v>
      </c>
      <c r="E476" s="784">
        <v>16000.0</v>
      </c>
      <c r="F476" s="772" t="s">
        <v>3589</v>
      </c>
      <c r="G476" s="782" t="s">
        <v>2550</v>
      </c>
      <c r="H476" s="782" t="s">
        <v>29</v>
      </c>
      <c r="I476" s="782" t="s">
        <v>2551</v>
      </c>
      <c r="J476" s="782">
        <v>43567.0</v>
      </c>
      <c r="K476" s="785" t="s">
        <v>3828</v>
      </c>
      <c r="L476" s="781"/>
      <c r="M476" s="781"/>
      <c r="N476" s="781"/>
      <c r="O476" s="781"/>
      <c r="P476" s="781"/>
      <c r="Q476" s="781"/>
      <c r="R476" s="781"/>
      <c r="S476" s="781"/>
      <c r="T476" s="781"/>
      <c r="U476" s="781"/>
      <c r="V476" s="781"/>
      <c r="W476" s="781"/>
      <c r="X476" s="781"/>
      <c r="Y476" s="781"/>
      <c r="Z476" s="781"/>
      <c r="AA476" s="781"/>
      <c r="AB476" s="781"/>
      <c r="AC476" s="781"/>
      <c r="AD476" s="781"/>
      <c r="AE476" s="781"/>
      <c r="AF476" s="781"/>
      <c r="AG476" s="781"/>
      <c r="AH476" s="781"/>
      <c r="AI476" s="781"/>
      <c r="AJ476" s="781"/>
      <c r="AK476" s="781"/>
      <c r="AL476" s="781"/>
      <c r="AM476" s="781"/>
      <c r="AN476" s="781"/>
      <c r="AO476" s="781"/>
      <c r="AP476" s="781"/>
      <c r="AQ476" s="781"/>
      <c r="AR476" s="781"/>
      <c r="AS476" s="781"/>
      <c r="AT476" s="781"/>
      <c r="AU476" s="781"/>
    </row>
    <row r="477" ht="15.75" customHeight="1">
      <c r="A477" s="782">
        <v>44413.0</v>
      </c>
      <c r="B477" s="783" t="s">
        <v>6419</v>
      </c>
      <c r="C477" s="772" t="s">
        <v>3820</v>
      </c>
      <c r="D477" s="772" t="s">
        <v>6345</v>
      </c>
      <c r="E477" s="784">
        <v>0.0</v>
      </c>
      <c r="F477" s="772" t="s">
        <v>3992</v>
      </c>
      <c r="G477" s="772" t="s">
        <v>105</v>
      </c>
      <c r="H477" s="772" t="s">
        <v>29</v>
      </c>
      <c r="I477" s="772" t="s">
        <v>3993</v>
      </c>
      <c r="J477" s="782">
        <v>44120.0</v>
      </c>
      <c r="K477" s="789" t="s">
        <v>3828</v>
      </c>
      <c r="L477" s="781"/>
      <c r="M477" s="781"/>
      <c r="N477" s="781"/>
      <c r="O477" s="781"/>
      <c r="P477" s="781"/>
      <c r="Q477" s="781"/>
      <c r="R477" s="781"/>
      <c r="S477" s="781"/>
      <c r="T477" s="781"/>
      <c r="U477" s="781"/>
      <c r="V477" s="781"/>
      <c r="W477" s="781"/>
      <c r="X477" s="781"/>
      <c r="Y477" s="781"/>
      <c r="Z477" s="781"/>
      <c r="AA477" s="781"/>
      <c r="AB477" s="781"/>
      <c r="AC477" s="781"/>
      <c r="AD477" s="781"/>
      <c r="AE477" s="781"/>
      <c r="AF477" s="781"/>
      <c r="AG477" s="781"/>
      <c r="AH477" s="781"/>
      <c r="AI477" s="781"/>
      <c r="AJ477" s="781"/>
      <c r="AK477" s="781"/>
      <c r="AL477" s="781"/>
      <c r="AM477" s="781"/>
      <c r="AN477" s="781"/>
      <c r="AO477" s="781"/>
      <c r="AP477" s="781"/>
      <c r="AQ477" s="781"/>
      <c r="AR477" s="781"/>
      <c r="AS477" s="781"/>
      <c r="AT477" s="781"/>
      <c r="AU477" s="781"/>
    </row>
    <row r="478" ht="15.75" customHeight="1">
      <c r="A478" s="786">
        <v>44413.0</v>
      </c>
      <c r="B478" s="787" t="s">
        <v>2798</v>
      </c>
      <c r="C478" s="788" t="s">
        <v>2547</v>
      </c>
      <c r="D478" s="772" t="s">
        <v>6346</v>
      </c>
      <c r="E478" s="784">
        <v>500.0</v>
      </c>
      <c r="F478" s="772" t="s">
        <v>649</v>
      </c>
      <c r="G478" s="782" t="s">
        <v>18</v>
      </c>
      <c r="H478" s="782" t="s">
        <v>176</v>
      </c>
      <c r="I478" s="782" t="s">
        <v>177</v>
      </c>
      <c r="J478" s="782">
        <v>44280.0</v>
      </c>
      <c r="K478" s="785" t="s">
        <v>3828</v>
      </c>
      <c r="L478" s="781"/>
      <c r="M478" s="781"/>
      <c r="N478" s="781"/>
      <c r="O478" s="781"/>
      <c r="P478" s="781"/>
      <c r="Q478" s="781"/>
      <c r="R478" s="781"/>
      <c r="S478" s="781"/>
      <c r="T478" s="781"/>
      <c r="U478" s="781"/>
      <c r="V478" s="781"/>
      <c r="W478" s="781"/>
      <c r="X478" s="781"/>
      <c r="Y478" s="781"/>
      <c r="Z478" s="781"/>
      <c r="AA478" s="781"/>
      <c r="AB478" s="781"/>
      <c r="AC478" s="781"/>
      <c r="AD478" s="781"/>
      <c r="AE478" s="781"/>
      <c r="AF478" s="781"/>
      <c r="AG478" s="781"/>
      <c r="AH478" s="781"/>
      <c r="AI478" s="781"/>
      <c r="AJ478" s="781"/>
      <c r="AK478" s="781"/>
      <c r="AL478" s="781"/>
      <c r="AM478" s="781"/>
      <c r="AN478" s="781"/>
      <c r="AO478" s="781"/>
      <c r="AP478" s="781"/>
      <c r="AQ478" s="781"/>
      <c r="AR478" s="781"/>
      <c r="AS478" s="781"/>
      <c r="AT478" s="781"/>
      <c r="AU478" s="781"/>
    </row>
    <row r="479" ht="15.75" customHeight="1">
      <c r="A479" s="786">
        <v>44413.0</v>
      </c>
      <c r="B479" s="787" t="s">
        <v>6419</v>
      </c>
      <c r="C479" s="788" t="s">
        <v>3820</v>
      </c>
      <c r="D479" s="772" t="s">
        <v>1481</v>
      </c>
      <c r="E479" s="784">
        <v>200000.0</v>
      </c>
      <c r="F479" s="772" t="s">
        <v>3992</v>
      </c>
      <c r="G479" s="772" t="s">
        <v>105</v>
      </c>
      <c r="H479" s="772" t="s">
        <v>29</v>
      </c>
      <c r="I479" s="772" t="s">
        <v>3993</v>
      </c>
      <c r="J479" s="782">
        <v>44120.0</v>
      </c>
      <c r="K479" s="789" t="s">
        <v>3828</v>
      </c>
      <c r="L479" s="781"/>
      <c r="M479" s="781"/>
      <c r="N479" s="781"/>
      <c r="O479" s="781"/>
      <c r="P479" s="781"/>
      <c r="Q479" s="781"/>
      <c r="R479" s="781"/>
      <c r="S479" s="781"/>
      <c r="T479" s="781"/>
      <c r="U479" s="781"/>
      <c r="V479" s="781"/>
      <c r="W479" s="781"/>
      <c r="X479" s="781"/>
      <c r="Y479" s="781"/>
      <c r="Z479" s="781"/>
      <c r="AA479" s="781"/>
      <c r="AB479" s="781"/>
      <c r="AC479" s="781"/>
      <c r="AD479" s="781"/>
      <c r="AE479" s="781"/>
      <c r="AF479" s="781"/>
      <c r="AG479" s="781"/>
      <c r="AH479" s="781"/>
      <c r="AI479" s="781"/>
      <c r="AJ479" s="781"/>
      <c r="AK479" s="781"/>
      <c r="AL479" s="781"/>
      <c r="AM479" s="781"/>
      <c r="AN479" s="781"/>
      <c r="AO479" s="781"/>
      <c r="AP479" s="781"/>
      <c r="AQ479" s="781"/>
      <c r="AR479" s="781"/>
      <c r="AS479" s="781"/>
      <c r="AT479" s="781"/>
      <c r="AU479" s="781"/>
    </row>
    <row r="480" ht="15.75" customHeight="1">
      <c r="A480" s="786">
        <v>44413.0</v>
      </c>
      <c r="B480" s="787" t="s">
        <v>2854</v>
      </c>
      <c r="C480" s="788" t="s">
        <v>2547</v>
      </c>
      <c r="D480" s="772" t="s">
        <v>6346</v>
      </c>
      <c r="E480" s="784">
        <v>12000.0</v>
      </c>
      <c r="F480" s="772" t="s">
        <v>831</v>
      </c>
      <c r="G480" s="782" t="s">
        <v>18</v>
      </c>
      <c r="H480" s="782" t="s">
        <v>176</v>
      </c>
      <c r="I480" s="782" t="s">
        <v>197</v>
      </c>
      <c r="J480" s="782">
        <v>44328.0</v>
      </c>
      <c r="K480" s="785" t="s">
        <v>3824</v>
      </c>
      <c r="L480" s="781"/>
      <c r="M480" s="781"/>
      <c r="N480" s="781"/>
      <c r="O480" s="781"/>
      <c r="P480" s="781"/>
      <c r="Q480" s="781"/>
      <c r="R480" s="781"/>
      <c r="S480" s="781"/>
      <c r="T480" s="781"/>
      <c r="U480" s="781"/>
      <c r="V480" s="781"/>
      <c r="W480" s="781"/>
      <c r="X480" s="781"/>
      <c r="Y480" s="781"/>
      <c r="Z480" s="781"/>
      <c r="AA480" s="781"/>
      <c r="AB480" s="781"/>
      <c r="AC480" s="781"/>
      <c r="AD480" s="781"/>
      <c r="AE480" s="781"/>
      <c r="AF480" s="781"/>
      <c r="AG480" s="781"/>
      <c r="AH480" s="781"/>
      <c r="AI480" s="781"/>
      <c r="AJ480" s="781"/>
      <c r="AK480" s="781"/>
      <c r="AL480" s="781"/>
      <c r="AM480" s="781"/>
      <c r="AN480" s="781"/>
      <c r="AO480" s="781"/>
      <c r="AP480" s="781"/>
      <c r="AQ480" s="781"/>
      <c r="AR480" s="781"/>
      <c r="AS480" s="781"/>
      <c r="AT480" s="781"/>
      <c r="AU480" s="781"/>
    </row>
    <row r="481" ht="15.75" customHeight="1">
      <c r="A481" s="786">
        <v>44414.0</v>
      </c>
      <c r="B481" s="787" t="s">
        <v>6420</v>
      </c>
      <c r="C481" s="788" t="s">
        <v>3820</v>
      </c>
      <c r="D481" s="772" t="s">
        <v>6346</v>
      </c>
      <c r="E481" s="784">
        <v>30000.0</v>
      </c>
      <c r="F481" s="772" t="s">
        <v>4737</v>
      </c>
      <c r="G481" s="772" t="s">
        <v>105</v>
      </c>
      <c r="H481" s="772" t="s">
        <v>29</v>
      </c>
      <c r="I481" s="818" t="s">
        <v>4738</v>
      </c>
      <c r="J481" s="782">
        <v>44130.0</v>
      </c>
      <c r="K481" s="789" t="s">
        <v>3828</v>
      </c>
      <c r="L481" s="781"/>
      <c r="M481" s="781"/>
      <c r="N481" s="781"/>
      <c r="O481" s="781"/>
      <c r="P481" s="781"/>
      <c r="Q481" s="781"/>
      <c r="R481" s="781"/>
      <c r="S481" s="781"/>
      <c r="T481" s="781"/>
      <c r="U481" s="781"/>
      <c r="V481" s="781"/>
      <c r="W481" s="781"/>
      <c r="X481" s="781"/>
      <c r="Y481" s="781"/>
      <c r="Z481" s="781"/>
      <c r="AA481" s="781"/>
      <c r="AB481" s="781"/>
      <c r="AC481" s="781"/>
      <c r="AD481" s="781"/>
      <c r="AE481" s="781"/>
      <c r="AF481" s="781"/>
      <c r="AG481" s="781"/>
      <c r="AH481" s="781"/>
      <c r="AI481" s="781"/>
      <c r="AJ481" s="781"/>
      <c r="AK481" s="781"/>
      <c r="AL481" s="781"/>
      <c r="AM481" s="781"/>
      <c r="AN481" s="781"/>
      <c r="AO481" s="781"/>
      <c r="AP481" s="781"/>
      <c r="AQ481" s="781"/>
      <c r="AR481" s="781"/>
      <c r="AS481" s="781"/>
      <c r="AT481" s="781"/>
      <c r="AU481" s="781"/>
    </row>
    <row r="482" ht="15.75" customHeight="1">
      <c r="A482" s="786">
        <v>44417.0</v>
      </c>
      <c r="B482" s="787" t="s">
        <v>2982</v>
      </c>
      <c r="C482" s="788" t="s">
        <v>2547</v>
      </c>
      <c r="D482" s="772" t="s">
        <v>6346</v>
      </c>
      <c r="E482" s="784">
        <v>2000.0</v>
      </c>
      <c r="F482" s="772" t="s">
        <v>2981</v>
      </c>
      <c r="G482" s="782" t="s">
        <v>2550</v>
      </c>
      <c r="H482" s="782" t="s">
        <v>29</v>
      </c>
      <c r="I482" s="782" t="s">
        <v>2551</v>
      </c>
      <c r="J482" s="782">
        <v>43703.0</v>
      </c>
      <c r="K482" s="785" t="s">
        <v>4206</v>
      </c>
      <c r="L482" s="781"/>
      <c r="M482" s="781"/>
      <c r="N482" s="781"/>
      <c r="O482" s="781"/>
      <c r="P482" s="781"/>
      <c r="Q482" s="781"/>
      <c r="R482" s="781"/>
      <c r="S482" s="781"/>
      <c r="T482" s="781"/>
      <c r="U482" s="781"/>
      <c r="V482" s="781"/>
      <c r="W482" s="781"/>
      <c r="X482" s="781"/>
      <c r="Y482" s="781"/>
      <c r="Z482" s="781"/>
      <c r="AA482" s="781"/>
      <c r="AB482" s="781"/>
      <c r="AC482" s="781"/>
      <c r="AD482" s="781"/>
      <c r="AE482" s="781"/>
      <c r="AF482" s="781"/>
      <c r="AG482" s="781"/>
      <c r="AH482" s="781"/>
      <c r="AI482" s="781"/>
      <c r="AJ482" s="781"/>
      <c r="AK482" s="781"/>
      <c r="AL482" s="781"/>
      <c r="AM482" s="781"/>
      <c r="AN482" s="781"/>
      <c r="AO482" s="781"/>
      <c r="AP482" s="781"/>
      <c r="AQ482" s="781"/>
      <c r="AR482" s="781"/>
      <c r="AS482" s="781"/>
      <c r="AT482" s="781"/>
      <c r="AU482" s="781"/>
    </row>
    <row r="483" ht="15.75" customHeight="1">
      <c r="A483" s="786">
        <v>44417.0</v>
      </c>
      <c r="B483" s="787" t="s">
        <v>3091</v>
      </c>
      <c r="C483" s="788" t="s">
        <v>2547</v>
      </c>
      <c r="D483" s="772" t="s">
        <v>6346</v>
      </c>
      <c r="E483" s="784">
        <v>15000.0</v>
      </c>
      <c r="F483" s="772" t="s">
        <v>3090</v>
      </c>
      <c r="G483" s="782" t="s">
        <v>18</v>
      </c>
      <c r="H483" s="782" t="s">
        <v>176</v>
      </c>
      <c r="I483" s="782" t="s">
        <v>177</v>
      </c>
      <c r="J483" s="782">
        <v>44295.0</v>
      </c>
      <c r="K483" s="785" t="s">
        <v>3834</v>
      </c>
      <c r="L483" s="781"/>
      <c r="M483" s="781"/>
      <c r="N483" s="781"/>
      <c r="O483" s="781"/>
      <c r="P483" s="781"/>
      <c r="Q483" s="781"/>
      <c r="R483" s="781"/>
      <c r="S483" s="781"/>
      <c r="T483" s="781"/>
      <c r="U483" s="781"/>
      <c r="V483" s="781"/>
      <c r="W483" s="781"/>
      <c r="X483" s="781"/>
      <c r="Y483" s="781"/>
      <c r="Z483" s="781"/>
      <c r="AA483" s="781"/>
      <c r="AB483" s="781"/>
      <c r="AC483" s="781"/>
      <c r="AD483" s="781"/>
      <c r="AE483" s="781"/>
      <c r="AF483" s="781"/>
      <c r="AG483" s="781"/>
      <c r="AH483" s="781"/>
      <c r="AI483" s="781"/>
      <c r="AJ483" s="781"/>
      <c r="AK483" s="781"/>
      <c r="AL483" s="781"/>
      <c r="AM483" s="781"/>
      <c r="AN483" s="781"/>
      <c r="AO483" s="781"/>
      <c r="AP483" s="781"/>
      <c r="AQ483" s="781"/>
      <c r="AR483" s="781"/>
      <c r="AS483" s="781"/>
      <c r="AT483" s="781"/>
      <c r="AU483" s="781"/>
    </row>
    <row r="484" ht="15.75" customHeight="1">
      <c r="A484" s="786">
        <v>44417.0</v>
      </c>
      <c r="B484" s="787" t="s">
        <v>3059</v>
      </c>
      <c r="C484" s="788" t="s">
        <v>2547</v>
      </c>
      <c r="D484" s="772" t="s">
        <v>6346</v>
      </c>
      <c r="E484" s="784">
        <v>2000.0</v>
      </c>
      <c r="F484" s="772" t="s">
        <v>3058</v>
      </c>
      <c r="G484" s="782" t="s">
        <v>18</v>
      </c>
      <c r="H484" s="782" t="s">
        <v>176</v>
      </c>
      <c r="I484" s="782" t="s">
        <v>2634</v>
      </c>
      <c r="J484" s="782">
        <v>44266.0</v>
      </c>
      <c r="K484" s="785" t="s">
        <v>3836</v>
      </c>
      <c r="L484" s="781"/>
      <c r="M484" s="781"/>
      <c r="N484" s="781"/>
      <c r="O484" s="781"/>
      <c r="P484" s="781"/>
      <c r="Q484" s="781"/>
      <c r="R484" s="781"/>
      <c r="S484" s="781"/>
      <c r="T484" s="781"/>
      <c r="U484" s="781"/>
      <c r="V484" s="781"/>
      <c r="W484" s="781"/>
      <c r="X484" s="781"/>
      <c r="Y484" s="781"/>
      <c r="Z484" s="781"/>
      <c r="AA484" s="781"/>
      <c r="AB484" s="781"/>
      <c r="AC484" s="781"/>
      <c r="AD484" s="781"/>
      <c r="AE484" s="781"/>
      <c r="AF484" s="781"/>
      <c r="AG484" s="781"/>
      <c r="AH484" s="781"/>
      <c r="AI484" s="781"/>
      <c r="AJ484" s="781"/>
      <c r="AK484" s="781"/>
      <c r="AL484" s="781"/>
      <c r="AM484" s="781"/>
      <c r="AN484" s="781"/>
      <c r="AO484" s="781"/>
      <c r="AP484" s="781"/>
      <c r="AQ484" s="781"/>
      <c r="AR484" s="781"/>
      <c r="AS484" s="781"/>
      <c r="AT484" s="781"/>
      <c r="AU484" s="781"/>
    </row>
    <row r="485" ht="15.75" customHeight="1">
      <c r="A485" s="786">
        <v>44417.0</v>
      </c>
      <c r="B485" s="787" t="s">
        <v>2684</v>
      </c>
      <c r="C485" s="788" t="s">
        <v>2547</v>
      </c>
      <c r="D485" s="772" t="s">
        <v>6346</v>
      </c>
      <c r="E485" s="784">
        <v>1000000.0</v>
      </c>
      <c r="F485" s="772" t="s">
        <v>359</v>
      </c>
      <c r="G485" s="782" t="s">
        <v>18</v>
      </c>
      <c r="H485" s="782" t="s">
        <v>176</v>
      </c>
      <c r="I485" s="782" t="s">
        <v>177</v>
      </c>
      <c r="J485" s="782">
        <v>44263.0</v>
      </c>
      <c r="K485" s="785" t="s">
        <v>3828</v>
      </c>
      <c r="L485" s="781"/>
      <c r="M485" s="781"/>
      <c r="N485" s="781"/>
      <c r="O485" s="781"/>
      <c r="P485" s="781"/>
      <c r="Q485" s="781"/>
      <c r="R485" s="781"/>
      <c r="S485" s="781"/>
      <c r="T485" s="781"/>
      <c r="U485" s="781"/>
      <c r="V485" s="781"/>
      <c r="W485" s="781"/>
      <c r="X485" s="781"/>
      <c r="Y485" s="781"/>
      <c r="Z485" s="781"/>
      <c r="AA485" s="781"/>
      <c r="AB485" s="781"/>
      <c r="AC485" s="781"/>
      <c r="AD485" s="781"/>
      <c r="AE485" s="781"/>
      <c r="AF485" s="781"/>
      <c r="AG485" s="781"/>
      <c r="AH485" s="781"/>
      <c r="AI485" s="781"/>
      <c r="AJ485" s="781"/>
      <c r="AK485" s="781"/>
      <c r="AL485" s="781"/>
      <c r="AM485" s="781"/>
      <c r="AN485" s="781"/>
      <c r="AO485" s="781"/>
      <c r="AP485" s="781"/>
      <c r="AQ485" s="781"/>
      <c r="AR485" s="781"/>
      <c r="AS485" s="781"/>
      <c r="AT485" s="781"/>
      <c r="AU485" s="781"/>
    </row>
    <row r="486" ht="15.75" customHeight="1">
      <c r="A486" s="782">
        <v>44418.0</v>
      </c>
      <c r="B486" s="787" t="s">
        <v>6421</v>
      </c>
      <c r="C486" s="772" t="s">
        <v>3820</v>
      </c>
      <c r="D486" s="772" t="s">
        <v>6345</v>
      </c>
      <c r="E486" s="784">
        <v>0.0</v>
      </c>
      <c r="F486" s="772" t="s">
        <v>4813</v>
      </c>
      <c r="G486" s="772" t="s">
        <v>105</v>
      </c>
      <c r="H486" s="772" t="s">
        <v>29</v>
      </c>
      <c r="I486" s="772" t="s">
        <v>4084</v>
      </c>
      <c r="J486" s="782">
        <v>44775.0</v>
      </c>
      <c r="K486" s="789" t="s">
        <v>3840</v>
      </c>
      <c r="L486" s="781"/>
      <c r="M486" s="781"/>
      <c r="N486" s="781"/>
      <c r="O486" s="781"/>
      <c r="P486" s="781"/>
      <c r="Q486" s="781"/>
      <c r="R486" s="781"/>
      <c r="S486" s="781"/>
      <c r="T486" s="781"/>
      <c r="U486" s="781"/>
      <c r="V486" s="781"/>
      <c r="W486" s="781"/>
      <c r="X486" s="781"/>
      <c r="Y486" s="781"/>
      <c r="Z486" s="781"/>
      <c r="AA486" s="781"/>
      <c r="AB486" s="781"/>
      <c r="AC486" s="781"/>
      <c r="AD486" s="781"/>
      <c r="AE486" s="781"/>
      <c r="AF486" s="781"/>
      <c r="AG486" s="781"/>
      <c r="AH486" s="781"/>
      <c r="AI486" s="781"/>
      <c r="AJ486" s="781"/>
      <c r="AK486" s="781"/>
      <c r="AL486" s="781"/>
      <c r="AM486" s="781"/>
      <c r="AN486" s="781"/>
      <c r="AO486" s="781"/>
      <c r="AP486" s="781"/>
      <c r="AQ486" s="781"/>
      <c r="AR486" s="781"/>
      <c r="AS486" s="781"/>
      <c r="AT486" s="781"/>
      <c r="AU486" s="781"/>
    </row>
    <row r="487" ht="15.75" customHeight="1">
      <c r="A487" s="782">
        <v>44418.0</v>
      </c>
      <c r="B487" s="783" t="s">
        <v>2965</v>
      </c>
      <c r="C487" s="772" t="s">
        <v>2547</v>
      </c>
      <c r="D487" s="772" t="s">
        <v>6345</v>
      </c>
      <c r="E487" s="784">
        <v>467689.84</v>
      </c>
      <c r="F487" s="772" t="s">
        <v>2964</v>
      </c>
      <c r="G487" s="782" t="s">
        <v>2550</v>
      </c>
      <c r="H487" s="782" t="s">
        <v>29</v>
      </c>
      <c r="I487" s="782" t="s">
        <v>2551</v>
      </c>
      <c r="J487" s="782">
        <v>43859.0</v>
      </c>
      <c r="K487" s="785" t="s">
        <v>3836</v>
      </c>
      <c r="L487" s="781"/>
      <c r="M487" s="781"/>
      <c r="N487" s="781"/>
      <c r="O487" s="781"/>
      <c r="P487" s="781"/>
      <c r="Q487" s="781"/>
      <c r="R487" s="781"/>
      <c r="S487" s="781"/>
      <c r="T487" s="781"/>
      <c r="U487" s="781"/>
      <c r="V487" s="781"/>
      <c r="W487" s="781"/>
      <c r="X487" s="781"/>
      <c r="Y487" s="781"/>
      <c r="Z487" s="781"/>
      <c r="AA487" s="781"/>
      <c r="AB487" s="781"/>
      <c r="AC487" s="781"/>
      <c r="AD487" s="781"/>
      <c r="AE487" s="781"/>
      <c r="AF487" s="781"/>
      <c r="AG487" s="781"/>
      <c r="AH487" s="781"/>
      <c r="AI487" s="781"/>
      <c r="AJ487" s="781"/>
      <c r="AK487" s="781"/>
      <c r="AL487" s="781"/>
      <c r="AM487" s="781"/>
      <c r="AN487" s="781"/>
      <c r="AO487" s="781"/>
      <c r="AP487" s="781"/>
      <c r="AQ487" s="781"/>
      <c r="AR487" s="781"/>
      <c r="AS487" s="781"/>
      <c r="AT487" s="781"/>
      <c r="AU487" s="781"/>
    </row>
    <row r="488" ht="15.75" customHeight="1">
      <c r="A488" s="782">
        <v>44418.0</v>
      </c>
      <c r="B488" s="783" t="s">
        <v>6392</v>
      </c>
      <c r="C488" s="772" t="s">
        <v>3820</v>
      </c>
      <c r="D488" s="772" t="s">
        <v>6345</v>
      </c>
      <c r="E488" s="784">
        <v>0.0</v>
      </c>
      <c r="F488" s="772" t="s">
        <v>4040</v>
      </c>
      <c r="G488" s="772" t="s">
        <v>105</v>
      </c>
      <c r="H488" s="772" t="s">
        <v>29</v>
      </c>
      <c r="I488" s="772" t="s">
        <v>3660</v>
      </c>
      <c r="J488" s="782">
        <v>44228.0</v>
      </c>
      <c r="K488" s="789" t="s">
        <v>3824</v>
      </c>
      <c r="L488" s="781"/>
      <c r="M488" s="781"/>
      <c r="N488" s="781"/>
      <c r="O488" s="781"/>
      <c r="P488" s="781"/>
      <c r="Q488" s="781"/>
      <c r="R488" s="781"/>
      <c r="S488" s="781"/>
      <c r="T488" s="781"/>
      <c r="U488" s="781"/>
      <c r="V488" s="781"/>
      <c r="W488" s="781"/>
      <c r="X488" s="781"/>
      <c r="Y488" s="781"/>
      <c r="Z488" s="781"/>
      <c r="AA488" s="781"/>
      <c r="AB488" s="781"/>
      <c r="AC488" s="781"/>
      <c r="AD488" s="781"/>
      <c r="AE488" s="781"/>
      <c r="AF488" s="781"/>
      <c r="AG488" s="781"/>
      <c r="AH488" s="781"/>
      <c r="AI488" s="781"/>
      <c r="AJ488" s="781"/>
      <c r="AK488" s="781"/>
      <c r="AL488" s="781"/>
      <c r="AM488" s="781"/>
      <c r="AN488" s="781"/>
      <c r="AO488" s="781"/>
      <c r="AP488" s="781"/>
      <c r="AQ488" s="781"/>
      <c r="AR488" s="781"/>
      <c r="AS488" s="781"/>
      <c r="AT488" s="781"/>
      <c r="AU488" s="781"/>
    </row>
    <row r="489" ht="15.75" customHeight="1">
      <c r="A489" s="786">
        <v>44418.0</v>
      </c>
      <c r="B489" s="787" t="s">
        <v>6422</v>
      </c>
      <c r="C489" s="788" t="s">
        <v>3820</v>
      </c>
      <c r="D489" s="772" t="s">
        <v>6346</v>
      </c>
      <c r="E489" s="784">
        <v>387869.72</v>
      </c>
      <c r="F489" s="772" t="s">
        <v>6423</v>
      </c>
      <c r="G489" s="772" t="s">
        <v>2550</v>
      </c>
      <c r="H489" s="772" t="s">
        <v>29</v>
      </c>
      <c r="I489" s="772" t="s">
        <v>2550</v>
      </c>
      <c r="J489" s="782">
        <v>44195.0</v>
      </c>
      <c r="K489" s="789" t="s">
        <v>3836</v>
      </c>
      <c r="L489" s="781"/>
      <c r="M489" s="781"/>
      <c r="N489" s="781"/>
      <c r="O489" s="781"/>
      <c r="P489" s="781"/>
      <c r="Q489" s="781"/>
      <c r="R489" s="781"/>
      <c r="S489" s="781"/>
      <c r="T489" s="781"/>
      <c r="U489" s="781"/>
      <c r="V489" s="781"/>
      <c r="W489" s="781"/>
      <c r="X489" s="781"/>
      <c r="Y489" s="781"/>
      <c r="Z489" s="781"/>
      <c r="AA489" s="781"/>
      <c r="AB489" s="781"/>
      <c r="AC489" s="781"/>
      <c r="AD489" s="781"/>
      <c r="AE489" s="781"/>
      <c r="AF489" s="781"/>
      <c r="AG489" s="781"/>
      <c r="AH489" s="781"/>
      <c r="AI489" s="781"/>
      <c r="AJ489" s="781"/>
      <c r="AK489" s="781"/>
      <c r="AL489" s="781"/>
      <c r="AM489" s="781"/>
      <c r="AN489" s="781"/>
      <c r="AO489" s="781"/>
      <c r="AP489" s="781"/>
      <c r="AQ489" s="781"/>
      <c r="AR489" s="781"/>
      <c r="AS489" s="781"/>
      <c r="AT489" s="781"/>
      <c r="AU489" s="781"/>
    </row>
    <row r="490" ht="15.75" customHeight="1">
      <c r="A490" s="786">
        <v>44420.0</v>
      </c>
      <c r="B490" s="787" t="s">
        <v>6384</v>
      </c>
      <c r="C490" s="788" t="s">
        <v>3820</v>
      </c>
      <c r="D490" s="772" t="s">
        <v>6346</v>
      </c>
      <c r="E490" s="784">
        <v>169129.47</v>
      </c>
      <c r="F490" s="772" t="s">
        <v>5098</v>
      </c>
      <c r="G490" s="772" t="s">
        <v>105</v>
      </c>
      <c r="H490" s="772" t="s">
        <v>29</v>
      </c>
      <c r="I490" s="772" t="s">
        <v>4486</v>
      </c>
      <c r="J490" s="782">
        <v>44180.0</v>
      </c>
      <c r="K490" s="789" t="s">
        <v>3828</v>
      </c>
      <c r="L490" s="781"/>
      <c r="M490" s="781"/>
      <c r="N490" s="781"/>
      <c r="O490" s="781"/>
      <c r="P490" s="781"/>
      <c r="Q490" s="781"/>
      <c r="R490" s="781"/>
      <c r="S490" s="781"/>
      <c r="T490" s="781"/>
      <c r="U490" s="781"/>
      <c r="V490" s="781"/>
      <c r="W490" s="781"/>
      <c r="X490" s="781"/>
      <c r="Y490" s="781"/>
      <c r="Z490" s="781"/>
      <c r="AA490" s="781"/>
      <c r="AB490" s="781"/>
      <c r="AC490" s="781"/>
      <c r="AD490" s="781"/>
      <c r="AE490" s="781"/>
      <c r="AF490" s="781"/>
      <c r="AG490" s="781"/>
      <c r="AH490" s="781"/>
      <c r="AI490" s="781"/>
      <c r="AJ490" s="781"/>
      <c r="AK490" s="781"/>
      <c r="AL490" s="781"/>
      <c r="AM490" s="781"/>
      <c r="AN490" s="781"/>
      <c r="AO490" s="781"/>
      <c r="AP490" s="781"/>
      <c r="AQ490" s="781"/>
      <c r="AR490" s="781"/>
      <c r="AS490" s="781"/>
      <c r="AT490" s="781"/>
      <c r="AU490" s="781"/>
    </row>
    <row r="491" ht="15.75" customHeight="1">
      <c r="A491" s="786">
        <v>44421.0</v>
      </c>
      <c r="B491" s="787" t="s">
        <v>6424</v>
      </c>
      <c r="C491" s="788" t="s">
        <v>3820</v>
      </c>
      <c r="D491" s="772" t="s">
        <v>6346</v>
      </c>
      <c r="E491" s="784">
        <v>300000.0</v>
      </c>
      <c r="F491" s="772" t="s">
        <v>5359</v>
      </c>
      <c r="G491" s="772" t="s">
        <v>105</v>
      </c>
      <c r="H491" s="772" t="s">
        <v>29</v>
      </c>
      <c r="I491" s="772" t="s">
        <v>4465</v>
      </c>
      <c r="J491" s="782">
        <v>44397.0</v>
      </c>
      <c r="K491" s="789" t="s">
        <v>3836</v>
      </c>
      <c r="L491" s="781"/>
      <c r="M491" s="781"/>
      <c r="N491" s="781"/>
      <c r="O491" s="781"/>
      <c r="P491" s="781"/>
      <c r="Q491" s="781"/>
      <c r="R491" s="781"/>
      <c r="S491" s="781"/>
      <c r="T491" s="781"/>
      <c r="U491" s="781"/>
      <c r="V491" s="781"/>
      <c r="W491" s="781"/>
      <c r="X491" s="781"/>
      <c r="Y491" s="781"/>
      <c r="Z491" s="781"/>
      <c r="AA491" s="781"/>
      <c r="AB491" s="781"/>
      <c r="AC491" s="781"/>
      <c r="AD491" s="781"/>
      <c r="AE491" s="781"/>
      <c r="AF491" s="781"/>
      <c r="AG491" s="781"/>
      <c r="AH491" s="781"/>
      <c r="AI491" s="781"/>
      <c r="AJ491" s="781"/>
      <c r="AK491" s="781"/>
      <c r="AL491" s="781"/>
      <c r="AM491" s="781"/>
      <c r="AN491" s="781"/>
      <c r="AO491" s="781"/>
      <c r="AP491" s="781"/>
      <c r="AQ491" s="781"/>
      <c r="AR491" s="781"/>
      <c r="AS491" s="781"/>
      <c r="AT491" s="781"/>
      <c r="AU491" s="781"/>
    </row>
    <row r="492" ht="15.75" customHeight="1">
      <c r="A492" s="786">
        <v>44421.0</v>
      </c>
      <c r="B492" s="787" t="s">
        <v>3041</v>
      </c>
      <c r="C492" s="788" t="s">
        <v>2547</v>
      </c>
      <c r="D492" s="772" t="s">
        <v>6346</v>
      </c>
      <c r="E492" s="784">
        <v>15000.0</v>
      </c>
      <c r="F492" s="772" t="s">
        <v>3040</v>
      </c>
      <c r="G492" s="782" t="s">
        <v>2550</v>
      </c>
      <c r="H492" s="782" t="s">
        <v>29</v>
      </c>
      <c r="I492" s="782" t="s">
        <v>2551</v>
      </c>
      <c r="J492" s="782">
        <v>43605.0</v>
      </c>
      <c r="K492" s="785" t="s">
        <v>3836</v>
      </c>
      <c r="L492" s="781"/>
      <c r="M492" s="781"/>
      <c r="N492" s="781"/>
      <c r="O492" s="781"/>
      <c r="P492" s="781"/>
      <c r="Q492" s="781"/>
      <c r="R492" s="781"/>
      <c r="S492" s="781"/>
      <c r="T492" s="781"/>
      <c r="U492" s="781"/>
      <c r="V492" s="781"/>
      <c r="W492" s="781"/>
      <c r="X492" s="781"/>
      <c r="Y492" s="781"/>
      <c r="Z492" s="781"/>
      <c r="AA492" s="781"/>
      <c r="AB492" s="781"/>
      <c r="AC492" s="781"/>
      <c r="AD492" s="781"/>
      <c r="AE492" s="781"/>
      <c r="AF492" s="781"/>
      <c r="AG492" s="781"/>
      <c r="AH492" s="781"/>
      <c r="AI492" s="781"/>
      <c r="AJ492" s="781"/>
      <c r="AK492" s="781"/>
      <c r="AL492" s="781"/>
      <c r="AM492" s="781"/>
      <c r="AN492" s="781"/>
      <c r="AO492" s="781"/>
      <c r="AP492" s="781"/>
      <c r="AQ492" s="781"/>
      <c r="AR492" s="781"/>
      <c r="AS492" s="781"/>
      <c r="AT492" s="781"/>
      <c r="AU492" s="781"/>
    </row>
    <row r="493" ht="15.75" customHeight="1">
      <c r="A493" s="786">
        <v>44421.0</v>
      </c>
      <c r="B493" s="787" t="s">
        <v>3216</v>
      </c>
      <c r="C493" s="788" t="s">
        <v>2547</v>
      </c>
      <c r="D493" s="772" t="s">
        <v>6346</v>
      </c>
      <c r="E493" s="784">
        <v>36000.0</v>
      </c>
      <c r="F493" s="772" t="s">
        <v>3215</v>
      </c>
      <c r="G493" s="782" t="s">
        <v>18</v>
      </c>
      <c r="H493" s="782" t="s">
        <v>176</v>
      </c>
      <c r="I493" s="782" t="s">
        <v>197</v>
      </c>
      <c r="J493" s="782">
        <v>44322.0</v>
      </c>
      <c r="K493" s="785" t="s">
        <v>3828</v>
      </c>
      <c r="L493" s="781"/>
      <c r="M493" s="781"/>
      <c r="N493" s="781"/>
      <c r="O493" s="781"/>
      <c r="P493" s="781"/>
      <c r="Q493" s="781"/>
      <c r="R493" s="781"/>
      <c r="S493" s="781"/>
      <c r="T493" s="781"/>
      <c r="U493" s="781"/>
      <c r="V493" s="781"/>
      <c r="W493" s="781"/>
      <c r="X493" s="781"/>
      <c r="Y493" s="781"/>
      <c r="Z493" s="781"/>
      <c r="AA493" s="781"/>
      <c r="AB493" s="781"/>
      <c r="AC493" s="781"/>
      <c r="AD493" s="781"/>
      <c r="AE493" s="781"/>
      <c r="AF493" s="781"/>
      <c r="AG493" s="781"/>
      <c r="AH493" s="781"/>
      <c r="AI493" s="781"/>
      <c r="AJ493" s="781"/>
      <c r="AK493" s="781"/>
      <c r="AL493" s="781"/>
      <c r="AM493" s="781"/>
      <c r="AN493" s="781"/>
      <c r="AO493" s="781"/>
      <c r="AP493" s="781"/>
      <c r="AQ493" s="781"/>
      <c r="AR493" s="781"/>
      <c r="AS493" s="781"/>
      <c r="AT493" s="781"/>
      <c r="AU493" s="781"/>
    </row>
    <row r="494" ht="15.75" customHeight="1">
      <c r="A494" s="782">
        <v>44424.0</v>
      </c>
      <c r="B494" s="783" t="s">
        <v>6425</v>
      </c>
      <c r="C494" s="772" t="s">
        <v>3820</v>
      </c>
      <c r="D494" s="772" t="s">
        <v>6345</v>
      </c>
      <c r="E494" s="784">
        <v>0.0</v>
      </c>
      <c r="F494" s="772" t="s">
        <v>5139</v>
      </c>
      <c r="G494" s="772" t="s">
        <v>105</v>
      </c>
      <c r="H494" s="772" t="s">
        <v>29</v>
      </c>
      <c r="I494" s="772" t="s">
        <v>3993</v>
      </c>
      <c r="J494" s="782">
        <v>44078.0</v>
      </c>
      <c r="K494" s="789" t="s">
        <v>3824</v>
      </c>
      <c r="L494" s="781"/>
      <c r="M494" s="781"/>
      <c r="N494" s="781"/>
      <c r="O494" s="781"/>
      <c r="P494" s="781"/>
      <c r="Q494" s="781"/>
      <c r="R494" s="781"/>
      <c r="S494" s="781"/>
      <c r="T494" s="781"/>
      <c r="U494" s="781"/>
      <c r="V494" s="781"/>
      <c r="W494" s="781"/>
      <c r="X494" s="781"/>
      <c r="Y494" s="781"/>
      <c r="Z494" s="781"/>
      <c r="AA494" s="781"/>
      <c r="AB494" s="781"/>
      <c r="AC494" s="781"/>
      <c r="AD494" s="781"/>
      <c r="AE494" s="781"/>
      <c r="AF494" s="781"/>
      <c r="AG494" s="781"/>
      <c r="AH494" s="781"/>
      <c r="AI494" s="781"/>
      <c r="AJ494" s="781"/>
      <c r="AK494" s="781"/>
      <c r="AL494" s="781"/>
      <c r="AM494" s="781"/>
      <c r="AN494" s="781"/>
      <c r="AO494" s="781"/>
      <c r="AP494" s="781"/>
      <c r="AQ494" s="781"/>
      <c r="AR494" s="781"/>
      <c r="AS494" s="781"/>
      <c r="AT494" s="781"/>
      <c r="AU494" s="781"/>
    </row>
    <row r="495" ht="15.75" customHeight="1">
      <c r="A495" s="786">
        <v>44424.0</v>
      </c>
      <c r="B495" s="787" t="s">
        <v>3409</v>
      </c>
      <c r="C495" s="788" t="s">
        <v>2547</v>
      </c>
      <c r="D495" s="772" t="s">
        <v>6346</v>
      </c>
      <c r="E495" s="784">
        <v>29127.62</v>
      </c>
      <c r="F495" s="772" t="s">
        <v>3408</v>
      </c>
      <c r="G495" s="782" t="s">
        <v>2550</v>
      </c>
      <c r="H495" s="782" t="s">
        <v>29</v>
      </c>
      <c r="I495" s="782" t="s">
        <v>2551</v>
      </c>
      <c r="J495" s="782">
        <v>43894.0</v>
      </c>
      <c r="K495" s="785" t="s">
        <v>3836</v>
      </c>
      <c r="L495" s="781"/>
      <c r="M495" s="781"/>
      <c r="N495" s="781"/>
      <c r="O495" s="781"/>
      <c r="P495" s="781"/>
      <c r="Q495" s="781"/>
      <c r="R495" s="781"/>
      <c r="S495" s="781"/>
      <c r="T495" s="781"/>
      <c r="U495" s="781"/>
      <c r="V495" s="781"/>
      <c r="W495" s="781"/>
      <c r="X495" s="781"/>
      <c r="Y495" s="781"/>
      <c r="Z495" s="781"/>
      <c r="AA495" s="781"/>
      <c r="AB495" s="781"/>
      <c r="AC495" s="781"/>
      <c r="AD495" s="781"/>
      <c r="AE495" s="781"/>
      <c r="AF495" s="781"/>
      <c r="AG495" s="781"/>
      <c r="AH495" s="781"/>
      <c r="AI495" s="781"/>
      <c r="AJ495" s="781"/>
      <c r="AK495" s="781"/>
      <c r="AL495" s="781"/>
      <c r="AM495" s="781"/>
      <c r="AN495" s="781"/>
      <c r="AO495" s="781"/>
      <c r="AP495" s="781"/>
      <c r="AQ495" s="781"/>
      <c r="AR495" s="781"/>
      <c r="AS495" s="781"/>
      <c r="AT495" s="781"/>
      <c r="AU495" s="781"/>
    </row>
    <row r="496" ht="15.75" customHeight="1">
      <c r="A496" s="786">
        <v>44424.0</v>
      </c>
      <c r="B496" s="787" t="s">
        <v>2890</v>
      </c>
      <c r="C496" s="788" t="s">
        <v>2547</v>
      </c>
      <c r="D496" s="772" t="s">
        <v>6346</v>
      </c>
      <c r="E496" s="784">
        <v>4000.0</v>
      </c>
      <c r="F496" s="772" t="s">
        <v>2889</v>
      </c>
      <c r="G496" s="782" t="s">
        <v>18</v>
      </c>
      <c r="H496" s="782" t="s">
        <v>176</v>
      </c>
      <c r="I496" s="782" t="s">
        <v>197</v>
      </c>
      <c r="J496" s="782">
        <v>44291.0</v>
      </c>
      <c r="K496" s="785" t="s">
        <v>3828</v>
      </c>
      <c r="L496" s="781"/>
      <c r="M496" s="781"/>
      <c r="N496" s="781"/>
      <c r="O496" s="781"/>
      <c r="P496" s="781"/>
      <c r="Q496" s="781"/>
      <c r="R496" s="781"/>
      <c r="S496" s="781"/>
      <c r="T496" s="781"/>
      <c r="U496" s="781"/>
      <c r="V496" s="781"/>
      <c r="W496" s="781"/>
      <c r="X496" s="781"/>
      <c r="Y496" s="781"/>
      <c r="Z496" s="781"/>
      <c r="AA496" s="781"/>
      <c r="AB496" s="781"/>
      <c r="AC496" s="781"/>
      <c r="AD496" s="781"/>
      <c r="AE496" s="781"/>
      <c r="AF496" s="781"/>
      <c r="AG496" s="781"/>
      <c r="AH496" s="781"/>
      <c r="AI496" s="781"/>
      <c r="AJ496" s="781"/>
      <c r="AK496" s="781"/>
      <c r="AL496" s="781"/>
      <c r="AM496" s="781"/>
      <c r="AN496" s="781"/>
      <c r="AO496" s="781"/>
      <c r="AP496" s="781"/>
      <c r="AQ496" s="781"/>
      <c r="AR496" s="781"/>
      <c r="AS496" s="781"/>
      <c r="AT496" s="781"/>
      <c r="AU496" s="781"/>
    </row>
    <row r="497" ht="15.75" customHeight="1">
      <c r="A497" s="786">
        <v>44424.0</v>
      </c>
      <c r="B497" s="787" t="s">
        <v>6424</v>
      </c>
      <c r="C497" s="788" t="s">
        <v>3820</v>
      </c>
      <c r="D497" s="772" t="s">
        <v>1481</v>
      </c>
      <c r="E497" s="784">
        <v>83704.06</v>
      </c>
      <c r="F497" s="772" t="s">
        <v>6426</v>
      </c>
      <c r="G497" s="772" t="s">
        <v>105</v>
      </c>
      <c r="H497" s="772" t="s">
        <v>29</v>
      </c>
      <c r="I497" s="772" t="s">
        <v>4465</v>
      </c>
      <c r="J497" s="782">
        <v>44397.0</v>
      </c>
      <c r="K497" s="789" t="s">
        <v>3836</v>
      </c>
      <c r="L497" s="781"/>
      <c r="M497" s="781"/>
      <c r="N497" s="781"/>
      <c r="O497" s="781"/>
      <c r="P497" s="781"/>
      <c r="Q497" s="781"/>
      <c r="R497" s="781"/>
      <c r="S497" s="781"/>
      <c r="T497" s="781"/>
      <c r="U497" s="781"/>
      <c r="V497" s="781"/>
      <c r="W497" s="781"/>
      <c r="X497" s="781"/>
      <c r="Y497" s="781"/>
      <c r="Z497" s="781"/>
      <c r="AA497" s="781"/>
      <c r="AB497" s="781"/>
      <c r="AC497" s="781"/>
      <c r="AD497" s="781"/>
      <c r="AE497" s="781"/>
      <c r="AF497" s="781"/>
      <c r="AG497" s="781"/>
      <c r="AH497" s="781"/>
      <c r="AI497" s="781"/>
      <c r="AJ497" s="781"/>
      <c r="AK497" s="781"/>
      <c r="AL497" s="781"/>
      <c r="AM497" s="781"/>
      <c r="AN497" s="781"/>
      <c r="AO497" s="781"/>
      <c r="AP497" s="781"/>
      <c r="AQ497" s="781"/>
      <c r="AR497" s="781"/>
      <c r="AS497" s="781"/>
      <c r="AT497" s="781"/>
      <c r="AU497" s="781"/>
    </row>
    <row r="498" ht="15.75" customHeight="1">
      <c r="A498" s="786">
        <v>44424.0</v>
      </c>
      <c r="B498" s="787" t="s">
        <v>6427</v>
      </c>
      <c r="C498" s="788" t="s">
        <v>3820</v>
      </c>
      <c r="D498" s="772" t="s">
        <v>1481</v>
      </c>
      <c r="E498" s="784">
        <v>5000.0</v>
      </c>
      <c r="F498" s="772" t="s">
        <v>4184</v>
      </c>
      <c r="G498" s="772" t="s">
        <v>18</v>
      </c>
      <c r="H498" s="772" t="s">
        <v>29</v>
      </c>
      <c r="I498" s="772" t="s">
        <v>4185</v>
      </c>
      <c r="J498" s="782">
        <v>44305.0</v>
      </c>
      <c r="K498" s="789" t="s">
        <v>3840</v>
      </c>
      <c r="L498" s="781"/>
      <c r="M498" s="781"/>
      <c r="N498" s="781"/>
      <c r="O498" s="781"/>
      <c r="P498" s="781"/>
      <c r="Q498" s="781"/>
      <c r="R498" s="781"/>
      <c r="S498" s="781"/>
      <c r="T498" s="781"/>
      <c r="U498" s="781"/>
      <c r="V498" s="781"/>
      <c r="W498" s="781"/>
      <c r="X498" s="781"/>
      <c r="Y498" s="781"/>
      <c r="Z498" s="781"/>
      <c r="AA498" s="781"/>
      <c r="AB498" s="781"/>
      <c r="AC498" s="781"/>
      <c r="AD498" s="781"/>
      <c r="AE498" s="781"/>
      <c r="AF498" s="781"/>
      <c r="AG498" s="781"/>
      <c r="AH498" s="781"/>
      <c r="AI498" s="781"/>
      <c r="AJ498" s="781"/>
      <c r="AK498" s="781"/>
      <c r="AL498" s="781"/>
      <c r="AM498" s="781"/>
      <c r="AN498" s="781"/>
      <c r="AO498" s="781"/>
      <c r="AP498" s="781"/>
      <c r="AQ498" s="781"/>
      <c r="AR498" s="781"/>
      <c r="AS498" s="781"/>
      <c r="AT498" s="781"/>
      <c r="AU498" s="781"/>
    </row>
    <row r="499" ht="15.75" customHeight="1">
      <c r="A499" s="782">
        <v>44425.0</v>
      </c>
      <c r="B499" s="783" t="s">
        <v>3471</v>
      </c>
      <c r="C499" s="772" t="s">
        <v>2547</v>
      </c>
      <c r="D499" s="772" t="s">
        <v>6345</v>
      </c>
      <c r="E499" s="784">
        <v>110571.37</v>
      </c>
      <c r="F499" s="772" t="s">
        <v>3470</v>
      </c>
      <c r="G499" s="782" t="s">
        <v>2659</v>
      </c>
      <c r="H499" s="782" t="s">
        <v>29</v>
      </c>
      <c r="I499" s="782" t="s">
        <v>2659</v>
      </c>
      <c r="J499" s="782">
        <v>43990.0</v>
      </c>
      <c r="K499" s="785" t="s">
        <v>3840</v>
      </c>
      <c r="L499" s="781"/>
      <c r="M499" s="781"/>
      <c r="N499" s="781"/>
      <c r="O499" s="781"/>
      <c r="P499" s="781"/>
      <c r="Q499" s="781"/>
      <c r="R499" s="781"/>
      <c r="S499" s="781"/>
      <c r="T499" s="781"/>
      <c r="U499" s="781"/>
      <c r="V499" s="781"/>
      <c r="W499" s="781"/>
      <c r="X499" s="781"/>
      <c r="Y499" s="781"/>
      <c r="Z499" s="781"/>
      <c r="AA499" s="781"/>
      <c r="AB499" s="781"/>
      <c r="AC499" s="781"/>
      <c r="AD499" s="781"/>
      <c r="AE499" s="781"/>
      <c r="AF499" s="781"/>
      <c r="AG499" s="781"/>
      <c r="AH499" s="781"/>
      <c r="AI499" s="781"/>
      <c r="AJ499" s="781"/>
      <c r="AK499" s="781"/>
      <c r="AL499" s="781"/>
      <c r="AM499" s="781"/>
      <c r="AN499" s="781"/>
      <c r="AO499" s="781"/>
      <c r="AP499" s="781"/>
      <c r="AQ499" s="781"/>
      <c r="AR499" s="781"/>
      <c r="AS499" s="781"/>
      <c r="AT499" s="781"/>
      <c r="AU499" s="781"/>
    </row>
    <row r="500" ht="15.75" customHeight="1">
      <c r="A500" s="782">
        <v>44425.0</v>
      </c>
      <c r="B500" s="783" t="s">
        <v>6428</v>
      </c>
      <c r="C500" s="772" t="s">
        <v>3820</v>
      </c>
      <c r="D500" s="772" t="s">
        <v>6345</v>
      </c>
      <c r="E500" s="784">
        <v>0.0</v>
      </c>
      <c r="F500" s="772" t="s">
        <v>5160</v>
      </c>
      <c r="G500" s="772" t="s">
        <v>18</v>
      </c>
      <c r="H500" s="772" t="s">
        <v>29</v>
      </c>
      <c r="I500" s="772" t="s">
        <v>3827</v>
      </c>
      <c r="J500" s="782">
        <v>44148.0</v>
      </c>
      <c r="K500" s="789" t="s">
        <v>3828</v>
      </c>
      <c r="L500" s="781"/>
      <c r="M500" s="781"/>
      <c r="N500" s="781"/>
      <c r="O500" s="781"/>
      <c r="P500" s="781"/>
      <c r="Q500" s="781"/>
      <c r="R500" s="781"/>
      <c r="S500" s="781"/>
      <c r="T500" s="781"/>
      <c r="U500" s="781"/>
      <c r="V500" s="781"/>
      <c r="W500" s="781"/>
      <c r="X500" s="781"/>
      <c r="Y500" s="781"/>
      <c r="Z500" s="781"/>
      <c r="AA500" s="781"/>
      <c r="AB500" s="781"/>
      <c r="AC500" s="781"/>
      <c r="AD500" s="781"/>
      <c r="AE500" s="781"/>
      <c r="AF500" s="781"/>
      <c r="AG500" s="781"/>
      <c r="AH500" s="781"/>
      <c r="AI500" s="781"/>
      <c r="AJ500" s="781"/>
      <c r="AK500" s="781"/>
      <c r="AL500" s="781"/>
      <c r="AM500" s="781"/>
      <c r="AN500" s="781"/>
      <c r="AO500" s="781"/>
      <c r="AP500" s="781"/>
      <c r="AQ500" s="781"/>
      <c r="AR500" s="781"/>
      <c r="AS500" s="781"/>
      <c r="AT500" s="781"/>
      <c r="AU500" s="781"/>
    </row>
    <row r="501" ht="15.75" customHeight="1">
      <c r="A501" s="786">
        <v>44425.0</v>
      </c>
      <c r="B501" s="787" t="s">
        <v>2568</v>
      </c>
      <c r="C501" s="788" t="s">
        <v>2547</v>
      </c>
      <c r="D501" s="772" t="s">
        <v>6346</v>
      </c>
      <c r="E501" s="784">
        <v>3000.0</v>
      </c>
      <c r="F501" s="772" t="s">
        <v>2567</v>
      </c>
      <c r="G501" s="782" t="s">
        <v>18</v>
      </c>
      <c r="H501" s="782" t="s">
        <v>176</v>
      </c>
      <c r="I501" s="782" t="s">
        <v>197</v>
      </c>
      <c r="J501" s="782">
        <v>44321.0</v>
      </c>
      <c r="K501" s="785" t="s">
        <v>3836</v>
      </c>
      <c r="L501" s="781"/>
      <c r="M501" s="781"/>
      <c r="N501" s="781"/>
      <c r="O501" s="781"/>
      <c r="P501" s="781"/>
      <c r="Q501" s="781"/>
      <c r="R501" s="781"/>
      <c r="S501" s="781"/>
      <c r="T501" s="781"/>
      <c r="U501" s="781"/>
      <c r="V501" s="781"/>
      <c r="W501" s="781"/>
      <c r="X501" s="781"/>
      <c r="Y501" s="781"/>
      <c r="Z501" s="781"/>
      <c r="AA501" s="781"/>
      <c r="AB501" s="781"/>
      <c r="AC501" s="781"/>
      <c r="AD501" s="781"/>
      <c r="AE501" s="781"/>
      <c r="AF501" s="781"/>
      <c r="AG501" s="781"/>
      <c r="AH501" s="781"/>
      <c r="AI501" s="781"/>
      <c r="AJ501" s="781"/>
      <c r="AK501" s="781"/>
      <c r="AL501" s="781"/>
      <c r="AM501" s="781"/>
      <c r="AN501" s="781"/>
      <c r="AO501" s="781"/>
      <c r="AP501" s="781"/>
      <c r="AQ501" s="781"/>
      <c r="AR501" s="781"/>
      <c r="AS501" s="781"/>
      <c r="AT501" s="781"/>
      <c r="AU501" s="781"/>
    </row>
    <row r="502" ht="15.75" customHeight="1">
      <c r="A502" s="786">
        <v>44426.0</v>
      </c>
      <c r="B502" s="787" t="s">
        <v>3216</v>
      </c>
      <c r="C502" s="788" t="s">
        <v>2547</v>
      </c>
      <c r="D502" s="772" t="s">
        <v>6346</v>
      </c>
      <c r="E502" s="784">
        <v>9000.0</v>
      </c>
      <c r="F502" s="772" t="s">
        <v>3215</v>
      </c>
      <c r="G502" s="782" t="s">
        <v>18</v>
      </c>
      <c r="H502" s="782" t="s">
        <v>176</v>
      </c>
      <c r="I502" s="782" t="s">
        <v>197</v>
      </c>
      <c r="J502" s="782">
        <v>44322.0</v>
      </c>
      <c r="K502" s="785" t="s">
        <v>3828</v>
      </c>
      <c r="L502" s="781"/>
      <c r="M502" s="781"/>
      <c r="N502" s="781"/>
      <c r="O502" s="781"/>
      <c r="P502" s="781"/>
      <c r="Q502" s="781"/>
      <c r="R502" s="781"/>
      <c r="S502" s="781"/>
      <c r="T502" s="781"/>
      <c r="U502" s="781"/>
      <c r="V502" s="781"/>
      <c r="W502" s="781"/>
      <c r="X502" s="781"/>
      <c r="Y502" s="781"/>
      <c r="Z502" s="781"/>
      <c r="AA502" s="781"/>
      <c r="AB502" s="781"/>
      <c r="AC502" s="781"/>
      <c r="AD502" s="781"/>
      <c r="AE502" s="781"/>
      <c r="AF502" s="781"/>
      <c r="AG502" s="781"/>
      <c r="AH502" s="781"/>
      <c r="AI502" s="781"/>
      <c r="AJ502" s="781"/>
      <c r="AK502" s="781"/>
      <c r="AL502" s="781"/>
      <c r="AM502" s="781"/>
      <c r="AN502" s="781"/>
      <c r="AO502" s="781"/>
      <c r="AP502" s="781"/>
      <c r="AQ502" s="781"/>
      <c r="AR502" s="781"/>
      <c r="AS502" s="781"/>
      <c r="AT502" s="781"/>
      <c r="AU502" s="781"/>
    </row>
    <row r="503" ht="15.75" customHeight="1">
      <c r="A503" s="786">
        <v>44426.0</v>
      </c>
      <c r="B503" s="787" t="s">
        <v>6429</v>
      </c>
      <c r="C503" s="788" t="s">
        <v>3820</v>
      </c>
      <c r="D503" s="772" t="s">
        <v>6346</v>
      </c>
      <c r="E503" s="784">
        <v>10000.0</v>
      </c>
      <c r="F503" s="772" t="s">
        <v>5117</v>
      </c>
      <c r="G503" s="772" t="s">
        <v>18</v>
      </c>
      <c r="H503" s="772" t="s">
        <v>29</v>
      </c>
      <c r="I503" s="772" t="s">
        <v>3827</v>
      </c>
      <c r="J503" s="782">
        <v>44133.0</v>
      </c>
      <c r="K503" s="789" t="s">
        <v>3836</v>
      </c>
      <c r="L503" s="781"/>
      <c r="M503" s="781"/>
      <c r="N503" s="781"/>
      <c r="O503" s="781"/>
      <c r="P503" s="781"/>
      <c r="Q503" s="781"/>
      <c r="R503" s="781"/>
      <c r="S503" s="781"/>
      <c r="T503" s="781"/>
      <c r="U503" s="781"/>
      <c r="V503" s="781"/>
      <c r="W503" s="781"/>
      <c r="X503" s="781"/>
      <c r="Y503" s="781"/>
      <c r="Z503" s="781"/>
      <c r="AA503" s="781"/>
      <c r="AB503" s="781"/>
      <c r="AC503" s="781"/>
      <c r="AD503" s="781"/>
      <c r="AE503" s="781"/>
      <c r="AF503" s="781"/>
      <c r="AG503" s="781"/>
      <c r="AH503" s="781"/>
      <c r="AI503" s="781"/>
      <c r="AJ503" s="781"/>
      <c r="AK503" s="781"/>
      <c r="AL503" s="781"/>
      <c r="AM503" s="781"/>
      <c r="AN503" s="781"/>
      <c r="AO503" s="781"/>
      <c r="AP503" s="781"/>
      <c r="AQ503" s="781"/>
      <c r="AR503" s="781"/>
      <c r="AS503" s="781"/>
      <c r="AT503" s="781"/>
      <c r="AU503" s="781"/>
    </row>
    <row r="504" ht="15.75" customHeight="1">
      <c r="A504" s="786">
        <v>44427.0</v>
      </c>
      <c r="B504" s="787" t="s">
        <v>6430</v>
      </c>
      <c r="C504" s="788" t="s">
        <v>3820</v>
      </c>
      <c r="D504" s="772" t="s">
        <v>1481</v>
      </c>
      <c r="E504" s="784">
        <v>117509.41</v>
      </c>
      <c r="F504" s="772" t="s">
        <v>4194</v>
      </c>
      <c r="G504" s="772" t="s">
        <v>2550</v>
      </c>
      <c r="H504" s="772" t="s">
        <v>29</v>
      </c>
      <c r="I504" s="772" t="s">
        <v>2550</v>
      </c>
      <c r="J504" s="782">
        <v>44368.0</v>
      </c>
      <c r="K504" s="789" t="s">
        <v>3828</v>
      </c>
      <c r="L504" s="781"/>
      <c r="M504" s="781"/>
      <c r="N504" s="781"/>
      <c r="O504" s="781"/>
      <c r="P504" s="781"/>
      <c r="Q504" s="781"/>
      <c r="R504" s="781"/>
      <c r="S504" s="781"/>
      <c r="T504" s="781"/>
      <c r="U504" s="781"/>
      <c r="V504" s="781"/>
      <c r="W504" s="781"/>
      <c r="X504" s="781"/>
      <c r="Y504" s="781"/>
      <c r="Z504" s="781"/>
      <c r="AA504" s="781"/>
      <c r="AB504" s="781"/>
      <c r="AC504" s="781"/>
      <c r="AD504" s="781"/>
      <c r="AE504" s="781"/>
      <c r="AF504" s="781"/>
      <c r="AG504" s="781"/>
      <c r="AH504" s="781"/>
      <c r="AI504" s="781"/>
      <c r="AJ504" s="781"/>
      <c r="AK504" s="781"/>
      <c r="AL504" s="781"/>
      <c r="AM504" s="781"/>
      <c r="AN504" s="781"/>
      <c r="AO504" s="781"/>
      <c r="AP504" s="781"/>
      <c r="AQ504" s="781"/>
      <c r="AR504" s="781"/>
      <c r="AS504" s="781"/>
      <c r="AT504" s="781"/>
      <c r="AU504" s="781"/>
    </row>
    <row r="505" ht="15.75" customHeight="1">
      <c r="A505" s="782">
        <v>44428.0</v>
      </c>
      <c r="B505" s="783" t="s">
        <v>6431</v>
      </c>
      <c r="C505" s="772" t="s">
        <v>3820</v>
      </c>
      <c r="D505" s="772" t="s">
        <v>6345</v>
      </c>
      <c r="E505" s="784">
        <v>0.0</v>
      </c>
      <c r="F505" s="772" t="s">
        <v>4975</v>
      </c>
      <c r="G505" s="772" t="s">
        <v>18</v>
      </c>
      <c r="H505" s="772" t="s">
        <v>29</v>
      </c>
      <c r="I505" s="772" t="s">
        <v>3827</v>
      </c>
      <c r="J505" s="782">
        <v>44196.0</v>
      </c>
      <c r="K505" s="789" t="s">
        <v>3834</v>
      </c>
      <c r="L505" s="781"/>
      <c r="M505" s="781"/>
      <c r="N505" s="781"/>
      <c r="O505" s="781"/>
      <c r="P505" s="781"/>
      <c r="Q505" s="781"/>
      <c r="R505" s="781"/>
      <c r="S505" s="781"/>
      <c r="T505" s="781"/>
      <c r="U505" s="781"/>
      <c r="V505" s="781"/>
      <c r="W505" s="781"/>
      <c r="X505" s="781"/>
      <c r="Y505" s="781"/>
      <c r="Z505" s="781"/>
      <c r="AA505" s="781"/>
      <c r="AB505" s="781"/>
      <c r="AC505" s="781"/>
      <c r="AD505" s="781"/>
      <c r="AE505" s="781"/>
      <c r="AF505" s="781"/>
      <c r="AG505" s="781"/>
      <c r="AH505" s="781"/>
      <c r="AI505" s="781"/>
      <c r="AJ505" s="781"/>
      <c r="AK505" s="781"/>
      <c r="AL505" s="781"/>
      <c r="AM505" s="781"/>
      <c r="AN505" s="781"/>
      <c r="AO505" s="781"/>
      <c r="AP505" s="781"/>
      <c r="AQ505" s="781"/>
      <c r="AR505" s="781"/>
      <c r="AS505" s="781"/>
      <c r="AT505" s="781"/>
      <c r="AU505" s="781"/>
    </row>
    <row r="506" ht="15.75" customHeight="1">
      <c r="A506" s="786">
        <v>44428.0</v>
      </c>
      <c r="B506" s="787" t="s">
        <v>2982</v>
      </c>
      <c r="C506" s="788" t="s">
        <v>2547</v>
      </c>
      <c r="D506" s="772" t="s">
        <v>6346</v>
      </c>
      <c r="E506" s="784">
        <v>70000.0</v>
      </c>
      <c r="F506" s="772" t="s">
        <v>2981</v>
      </c>
      <c r="G506" s="782" t="s">
        <v>2550</v>
      </c>
      <c r="H506" s="782" t="s">
        <v>29</v>
      </c>
      <c r="I506" s="782" t="s">
        <v>2551</v>
      </c>
      <c r="J506" s="782">
        <v>43703.0</v>
      </c>
      <c r="K506" s="785" t="s">
        <v>4206</v>
      </c>
      <c r="L506" s="781"/>
      <c r="M506" s="781"/>
      <c r="N506" s="781"/>
      <c r="O506" s="781"/>
      <c r="P506" s="781"/>
      <c r="Q506" s="781"/>
      <c r="R506" s="781"/>
      <c r="S506" s="781"/>
      <c r="T506" s="781"/>
      <c r="U506" s="781"/>
      <c r="V506" s="781"/>
      <c r="W506" s="781"/>
      <c r="X506" s="781"/>
      <c r="Y506" s="781"/>
      <c r="Z506" s="781"/>
      <c r="AA506" s="781"/>
      <c r="AB506" s="781"/>
      <c r="AC506" s="781"/>
      <c r="AD506" s="781"/>
      <c r="AE506" s="781"/>
      <c r="AF506" s="781"/>
      <c r="AG506" s="781"/>
      <c r="AH506" s="781"/>
      <c r="AI506" s="781"/>
      <c r="AJ506" s="781"/>
      <c r="AK506" s="781"/>
      <c r="AL506" s="781"/>
      <c r="AM506" s="781"/>
      <c r="AN506" s="781"/>
      <c r="AO506" s="781"/>
      <c r="AP506" s="781"/>
      <c r="AQ506" s="781"/>
      <c r="AR506" s="781"/>
      <c r="AS506" s="781"/>
      <c r="AT506" s="781"/>
      <c r="AU506" s="781"/>
    </row>
    <row r="507" ht="15.75" customHeight="1">
      <c r="A507" s="786">
        <v>44428.0</v>
      </c>
      <c r="B507" s="787" t="s">
        <v>6395</v>
      </c>
      <c r="C507" s="788" t="s">
        <v>3820</v>
      </c>
      <c r="D507" s="772" t="s">
        <v>1481</v>
      </c>
      <c r="E507" s="784">
        <v>56000.0</v>
      </c>
      <c r="F507" s="772" t="s">
        <v>5271</v>
      </c>
      <c r="G507" s="772" t="s">
        <v>18</v>
      </c>
      <c r="H507" s="772" t="s">
        <v>19</v>
      </c>
      <c r="I507" s="772" t="s">
        <v>256</v>
      </c>
      <c r="J507" s="782">
        <v>44291.0</v>
      </c>
      <c r="K507" s="789" t="s">
        <v>3840</v>
      </c>
      <c r="L507" s="781"/>
      <c r="M507" s="781"/>
      <c r="N507" s="781"/>
      <c r="O507" s="781"/>
      <c r="P507" s="781"/>
      <c r="Q507" s="781"/>
      <c r="R507" s="781"/>
      <c r="S507" s="781"/>
      <c r="T507" s="781"/>
      <c r="U507" s="781"/>
      <c r="V507" s="781"/>
      <c r="W507" s="781"/>
      <c r="X507" s="781"/>
      <c r="Y507" s="781"/>
      <c r="Z507" s="781"/>
      <c r="AA507" s="781"/>
      <c r="AB507" s="781"/>
      <c r="AC507" s="781"/>
      <c r="AD507" s="781"/>
      <c r="AE507" s="781"/>
      <c r="AF507" s="781"/>
      <c r="AG507" s="781"/>
      <c r="AH507" s="781"/>
      <c r="AI507" s="781"/>
      <c r="AJ507" s="781"/>
      <c r="AK507" s="781"/>
      <c r="AL507" s="781"/>
      <c r="AM507" s="781"/>
      <c r="AN507" s="781"/>
      <c r="AO507" s="781"/>
      <c r="AP507" s="781"/>
      <c r="AQ507" s="781"/>
      <c r="AR507" s="781"/>
      <c r="AS507" s="781"/>
      <c r="AT507" s="781"/>
      <c r="AU507" s="781"/>
    </row>
    <row r="508" ht="15.75" customHeight="1">
      <c r="A508" s="786">
        <v>44431.0</v>
      </c>
      <c r="B508" s="787" t="s">
        <v>3585</v>
      </c>
      <c r="C508" s="788" t="s">
        <v>2547</v>
      </c>
      <c r="D508" s="772" t="s">
        <v>6346</v>
      </c>
      <c r="E508" s="784">
        <v>86000.0</v>
      </c>
      <c r="F508" s="772" t="s">
        <v>3584</v>
      </c>
      <c r="G508" s="782" t="s">
        <v>18</v>
      </c>
      <c r="H508" s="782" t="s">
        <v>176</v>
      </c>
      <c r="I508" s="782" t="s">
        <v>2634</v>
      </c>
      <c r="J508" s="782">
        <v>44267.0</v>
      </c>
      <c r="K508" s="785" t="s">
        <v>3828</v>
      </c>
      <c r="L508" s="781"/>
      <c r="M508" s="781"/>
      <c r="N508" s="781"/>
      <c r="O508" s="781"/>
      <c r="P508" s="781"/>
      <c r="Q508" s="781"/>
      <c r="R508" s="781"/>
      <c r="S508" s="781"/>
      <c r="T508" s="781"/>
      <c r="U508" s="781"/>
      <c r="V508" s="781"/>
      <c r="W508" s="781"/>
      <c r="X508" s="781"/>
      <c r="Y508" s="781"/>
      <c r="Z508" s="781"/>
      <c r="AA508" s="781"/>
      <c r="AB508" s="781"/>
      <c r="AC508" s="781"/>
      <c r="AD508" s="781"/>
      <c r="AE508" s="781"/>
      <c r="AF508" s="781"/>
      <c r="AG508" s="781"/>
      <c r="AH508" s="781"/>
      <c r="AI508" s="781"/>
      <c r="AJ508" s="781"/>
      <c r="AK508" s="781"/>
      <c r="AL508" s="781"/>
      <c r="AM508" s="781"/>
      <c r="AN508" s="781"/>
      <c r="AO508" s="781"/>
      <c r="AP508" s="781"/>
      <c r="AQ508" s="781"/>
      <c r="AR508" s="781"/>
      <c r="AS508" s="781"/>
      <c r="AT508" s="781"/>
      <c r="AU508" s="781"/>
    </row>
    <row r="509" ht="15.75" customHeight="1">
      <c r="A509" s="786">
        <v>44431.0</v>
      </c>
      <c r="B509" s="787" t="s">
        <v>3409</v>
      </c>
      <c r="C509" s="788" t="s">
        <v>2547</v>
      </c>
      <c r="D509" s="772" t="s">
        <v>6346</v>
      </c>
      <c r="E509" s="784">
        <v>1000.0</v>
      </c>
      <c r="F509" s="772" t="s">
        <v>3408</v>
      </c>
      <c r="G509" s="782" t="s">
        <v>2550</v>
      </c>
      <c r="H509" s="782" t="s">
        <v>29</v>
      </c>
      <c r="I509" s="782" t="s">
        <v>2551</v>
      </c>
      <c r="J509" s="782">
        <v>43894.0</v>
      </c>
      <c r="K509" s="785" t="s">
        <v>3836</v>
      </c>
      <c r="L509" s="781"/>
      <c r="M509" s="781"/>
      <c r="N509" s="781"/>
      <c r="O509" s="781"/>
      <c r="P509" s="781"/>
      <c r="Q509" s="781"/>
      <c r="R509" s="781"/>
      <c r="S509" s="781"/>
      <c r="T509" s="781"/>
      <c r="U509" s="781"/>
      <c r="V509" s="781"/>
      <c r="W509" s="781"/>
      <c r="X509" s="781"/>
      <c r="Y509" s="781"/>
      <c r="Z509" s="781"/>
      <c r="AA509" s="781"/>
      <c r="AB509" s="781"/>
      <c r="AC509" s="781"/>
      <c r="AD509" s="781"/>
      <c r="AE509" s="781"/>
      <c r="AF509" s="781"/>
      <c r="AG509" s="781"/>
      <c r="AH509" s="781"/>
      <c r="AI509" s="781"/>
      <c r="AJ509" s="781"/>
      <c r="AK509" s="781"/>
      <c r="AL509" s="781"/>
      <c r="AM509" s="781"/>
      <c r="AN509" s="781"/>
      <c r="AO509" s="781"/>
      <c r="AP509" s="781"/>
      <c r="AQ509" s="781"/>
      <c r="AR509" s="781"/>
      <c r="AS509" s="781"/>
      <c r="AT509" s="781"/>
      <c r="AU509" s="781"/>
    </row>
    <row r="510" ht="15.75" customHeight="1">
      <c r="A510" s="786">
        <v>44431.0</v>
      </c>
      <c r="B510" s="787" t="s">
        <v>6371</v>
      </c>
      <c r="C510" s="788" t="s">
        <v>3820</v>
      </c>
      <c r="D510" s="772" t="s">
        <v>6346</v>
      </c>
      <c r="E510" s="784">
        <v>10000.0</v>
      </c>
      <c r="F510" s="772" t="s">
        <v>4159</v>
      </c>
      <c r="G510" s="772" t="s">
        <v>18</v>
      </c>
      <c r="H510" s="772" t="s">
        <v>29</v>
      </c>
      <c r="I510" s="772" t="s">
        <v>4160</v>
      </c>
      <c r="J510" s="782">
        <v>44089.0</v>
      </c>
      <c r="K510" s="789" t="s">
        <v>3834</v>
      </c>
      <c r="L510" s="781"/>
      <c r="M510" s="781"/>
      <c r="N510" s="781"/>
      <c r="O510" s="781"/>
      <c r="P510" s="781"/>
      <c r="Q510" s="781"/>
      <c r="R510" s="781"/>
      <c r="S510" s="781"/>
      <c r="T510" s="781"/>
      <c r="U510" s="781"/>
      <c r="V510" s="781"/>
      <c r="W510" s="781"/>
      <c r="X510" s="781"/>
      <c r="Y510" s="781"/>
      <c r="Z510" s="781"/>
      <c r="AA510" s="781"/>
      <c r="AB510" s="781"/>
      <c r="AC510" s="781"/>
      <c r="AD510" s="781"/>
      <c r="AE510" s="781"/>
      <c r="AF510" s="781"/>
      <c r="AG510" s="781"/>
      <c r="AH510" s="781"/>
      <c r="AI510" s="781"/>
      <c r="AJ510" s="781"/>
      <c r="AK510" s="781"/>
      <c r="AL510" s="781"/>
      <c r="AM510" s="781"/>
      <c r="AN510" s="781"/>
      <c r="AO510" s="781"/>
      <c r="AP510" s="781"/>
      <c r="AQ510" s="781"/>
      <c r="AR510" s="781"/>
      <c r="AS510" s="781"/>
      <c r="AT510" s="781"/>
      <c r="AU510" s="781"/>
    </row>
    <row r="511" ht="15.75" customHeight="1">
      <c r="A511" s="786">
        <v>44432.0</v>
      </c>
      <c r="B511" s="787" t="s">
        <v>3441</v>
      </c>
      <c r="C511" s="788" t="s">
        <v>2547</v>
      </c>
      <c r="D511" s="772" t="s">
        <v>6346</v>
      </c>
      <c r="E511" s="784">
        <v>15000.0</v>
      </c>
      <c r="F511" s="772" t="s">
        <v>3440</v>
      </c>
      <c r="G511" s="782" t="s">
        <v>18</v>
      </c>
      <c r="H511" s="782" t="s">
        <v>176</v>
      </c>
      <c r="I511" s="782" t="s">
        <v>197</v>
      </c>
      <c r="J511" s="782">
        <v>44319.0</v>
      </c>
      <c r="K511" s="785" t="s">
        <v>3828</v>
      </c>
      <c r="L511" s="781"/>
      <c r="M511" s="781"/>
      <c r="N511" s="781"/>
      <c r="O511" s="781"/>
      <c r="P511" s="781"/>
      <c r="Q511" s="781"/>
      <c r="R511" s="781"/>
      <c r="S511" s="781"/>
      <c r="T511" s="781"/>
      <c r="U511" s="781"/>
      <c r="V511" s="781"/>
      <c r="W511" s="781"/>
      <c r="X511" s="781"/>
      <c r="Y511" s="781"/>
      <c r="Z511" s="781"/>
      <c r="AA511" s="781"/>
      <c r="AB511" s="781"/>
      <c r="AC511" s="781"/>
      <c r="AD511" s="781"/>
      <c r="AE511" s="781"/>
      <c r="AF511" s="781"/>
      <c r="AG511" s="781"/>
      <c r="AH511" s="781"/>
      <c r="AI511" s="781"/>
      <c r="AJ511" s="781"/>
      <c r="AK511" s="781"/>
      <c r="AL511" s="781"/>
      <c r="AM511" s="781"/>
      <c r="AN511" s="781"/>
      <c r="AO511" s="781"/>
      <c r="AP511" s="781"/>
      <c r="AQ511" s="781"/>
      <c r="AR511" s="781"/>
      <c r="AS511" s="781"/>
      <c r="AT511" s="781"/>
      <c r="AU511" s="781"/>
    </row>
    <row r="512" ht="15.75" customHeight="1">
      <c r="A512" s="786">
        <v>44432.0</v>
      </c>
      <c r="B512" s="787" t="s">
        <v>3419</v>
      </c>
      <c r="C512" s="788" t="s">
        <v>2547</v>
      </c>
      <c r="D512" s="772" t="s">
        <v>1481</v>
      </c>
      <c r="E512" s="784">
        <v>50000.0</v>
      </c>
      <c r="F512" s="772" t="s">
        <v>3418</v>
      </c>
      <c r="G512" s="782" t="s">
        <v>18</v>
      </c>
      <c r="H512" s="782" t="s">
        <v>176</v>
      </c>
      <c r="I512" s="782" t="s">
        <v>197</v>
      </c>
      <c r="J512" s="782">
        <v>44279.0</v>
      </c>
      <c r="K512" s="785" t="s">
        <v>3828</v>
      </c>
      <c r="L512" s="781"/>
      <c r="M512" s="781"/>
      <c r="N512" s="781"/>
      <c r="O512" s="781"/>
      <c r="P512" s="781"/>
      <c r="Q512" s="781"/>
      <c r="R512" s="781"/>
      <c r="S512" s="781"/>
      <c r="T512" s="781"/>
      <c r="U512" s="781"/>
      <c r="V512" s="781"/>
      <c r="W512" s="781"/>
      <c r="X512" s="781"/>
      <c r="Y512" s="781"/>
      <c r="Z512" s="781"/>
      <c r="AA512" s="781"/>
      <c r="AB512" s="781"/>
      <c r="AC512" s="781"/>
      <c r="AD512" s="781"/>
      <c r="AE512" s="781"/>
      <c r="AF512" s="781"/>
      <c r="AG512" s="781"/>
      <c r="AH512" s="781"/>
      <c r="AI512" s="781"/>
      <c r="AJ512" s="781"/>
      <c r="AK512" s="781"/>
      <c r="AL512" s="781"/>
      <c r="AM512" s="781"/>
      <c r="AN512" s="781"/>
      <c r="AO512" s="781"/>
      <c r="AP512" s="781"/>
      <c r="AQ512" s="781"/>
      <c r="AR512" s="781"/>
      <c r="AS512" s="781"/>
      <c r="AT512" s="781"/>
      <c r="AU512" s="781"/>
    </row>
    <row r="513" ht="15.75" customHeight="1">
      <c r="A513" s="786">
        <v>44432.0</v>
      </c>
      <c r="B513" s="787" t="s">
        <v>2816</v>
      </c>
      <c r="C513" s="788" t="s">
        <v>2547</v>
      </c>
      <c r="D513" s="772" t="s">
        <v>6346</v>
      </c>
      <c r="E513" s="784">
        <v>150000.0</v>
      </c>
      <c r="F513" s="772" t="s">
        <v>2815</v>
      </c>
      <c r="G513" s="782" t="s">
        <v>18</v>
      </c>
      <c r="H513" s="782" t="s">
        <v>176</v>
      </c>
      <c r="I513" s="782" t="s">
        <v>177</v>
      </c>
      <c r="J513" s="782">
        <v>44328.0</v>
      </c>
      <c r="K513" s="785" t="s">
        <v>3828</v>
      </c>
      <c r="L513" s="781"/>
      <c r="M513" s="781"/>
      <c r="N513" s="781"/>
      <c r="O513" s="781"/>
      <c r="P513" s="781"/>
      <c r="Q513" s="781"/>
      <c r="R513" s="781"/>
      <c r="S513" s="781"/>
      <c r="T513" s="781"/>
      <c r="U513" s="781"/>
      <c r="V513" s="781"/>
      <c r="W513" s="781"/>
      <c r="X513" s="781"/>
      <c r="Y513" s="781"/>
      <c r="Z513" s="781"/>
      <c r="AA513" s="781"/>
      <c r="AB513" s="781"/>
      <c r="AC513" s="781"/>
      <c r="AD513" s="781"/>
      <c r="AE513" s="781"/>
      <c r="AF513" s="781"/>
      <c r="AG513" s="781"/>
      <c r="AH513" s="781"/>
      <c r="AI513" s="781"/>
      <c r="AJ513" s="781"/>
      <c r="AK513" s="781"/>
      <c r="AL513" s="781"/>
      <c r="AM513" s="781"/>
      <c r="AN513" s="781"/>
      <c r="AO513" s="781"/>
      <c r="AP513" s="781"/>
      <c r="AQ513" s="781"/>
      <c r="AR513" s="781"/>
      <c r="AS513" s="781"/>
      <c r="AT513" s="781"/>
      <c r="AU513" s="781"/>
    </row>
    <row r="514" ht="15.75" customHeight="1">
      <c r="A514" s="786">
        <v>44432.0</v>
      </c>
      <c r="B514" s="787" t="s">
        <v>6372</v>
      </c>
      <c r="C514" s="788" t="s">
        <v>3820</v>
      </c>
      <c r="D514" s="772" t="s">
        <v>6346</v>
      </c>
      <c r="E514" s="784">
        <v>130000.0</v>
      </c>
      <c r="F514" s="772" t="s">
        <v>3882</v>
      </c>
      <c r="G514" s="772" t="s">
        <v>2550</v>
      </c>
      <c r="H514" s="772" t="s">
        <v>29</v>
      </c>
      <c r="I514" s="772" t="s">
        <v>2550</v>
      </c>
      <c r="J514" s="782">
        <v>44180.0</v>
      </c>
      <c r="K514" s="789" t="s">
        <v>3828</v>
      </c>
      <c r="L514" s="781"/>
      <c r="M514" s="781"/>
      <c r="N514" s="781"/>
      <c r="O514" s="781"/>
      <c r="P514" s="781"/>
      <c r="Q514" s="781"/>
      <c r="R514" s="781"/>
      <c r="S514" s="781"/>
      <c r="T514" s="781"/>
      <c r="U514" s="781"/>
      <c r="V514" s="781"/>
      <c r="W514" s="781"/>
      <c r="X514" s="781"/>
      <c r="Y514" s="781"/>
      <c r="Z514" s="781"/>
      <c r="AA514" s="781"/>
      <c r="AB514" s="781"/>
      <c r="AC514" s="781"/>
      <c r="AD514" s="781"/>
      <c r="AE514" s="781"/>
      <c r="AF514" s="781"/>
      <c r="AG514" s="781"/>
      <c r="AH514" s="781"/>
      <c r="AI514" s="781"/>
      <c r="AJ514" s="781"/>
      <c r="AK514" s="781"/>
      <c r="AL514" s="781"/>
      <c r="AM514" s="781"/>
      <c r="AN514" s="781"/>
      <c r="AO514" s="781"/>
      <c r="AP514" s="781"/>
      <c r="AQ514" s="781"/>
      <c r="AR514" s="781"/>
      <c r="AS514" s="781"/>
      <c r="AT514" s="781"/>
      <c r="AU514" s="781"/>
    </row>
    <row r="515" ht="15.75" customHeight="1">
      <c r="A515" s="786">
        <v>44433.0</v>
      </c>
      <c r="B515" s="787" t="s">
        <v>6372</v>
      </c>
      <c r="C515" s="788" t="s">
        <v>3820</v>
      </c>
      <c r="D515" s="772" t="s">
        <v>6346</v>
      </c>
      <c r="E515" s="784">
        <v>43000.0</v>
      </c>
      <c r="F515" s="772" t="s">
        <v>3882</v>
      </c>
      <c r="G515" s="772" t="s">
        <v>2550</v>
      </c>
      <c r="H515" s="772" t="s">
        <v>29</v>
      </c>
      <c r="I515" s="772" t="s">
        <v>2550</v>
      </c>
      <c r="J515" s="782">
        <v>44180.0</v>
      </c>
      <c r="K515" s="789" t="s">
        <v>3828</v>
      </c>
      <c r="L515" s="781"/>
      <c r="M515" s="781"/>
      <c r="N515" s="781"/>
      <c r="O515" s="781"/>
      <c r="P515" s="781"/>
      <c r="Q515" s="781"/>
      <c r="R515" s="781"/>
      <c r="S515" s="781"/>
      <c r="T515" s="781"/>
      <c r="U515" s="781"/>
      <c r="V515" s="781"/>
      <c r="W515" s="781"/>
      <c r="X515" s="781"/>
      <c r="Y515" s="781"/>
      <c r="Z515" s="781"/>
      <c r="AA515" s="781"/>
      <c r="AB515" s="781"/>
      <c r="AC515" s="781"/>
      <c r="AD515" s="781"/>
      <c r="AE515" s="781"/>
      <c r="AF515" s="781"/>
      <c r="AG515" s="781"/>
      <c r="AH515" s="781"/>
      <c r="AI515" s="781"/>
      <c r="AJ515" s="781"/>
      <c r="AK515" s="781"/>
      <c r="AL515" s="781"/>
      <c r="AM515" s="781"/>
      <c r="AN515" s="781"/>
      <c r="AO515" s="781"/>
      <c r="AP515" s="781"/>
      <c r="AQ515" s="781"/>
      <c r="AR515" s="781"/>
      <c r="AS515" s="781"/>
      <c r="AT515" s="781"/>
      <c r="AU515" s="781"/>
    </row>
    <row r="516" ht="15.75" customHeight="1">
      <c r="A516" s="786">
        <v>44433.0</v>
      </c>
      <c r="B516" s="787" t="s">
        <v>3409</v>
      </c>
      <c r="C516" s="788" t="s">
        <v>2547</v>
      </c>
      <c r="D516" s="772" t="s">
        <v>6346</v>
      </c>
      <c r="E516" s="784">
        <v>40000.0</v>
      </c>
      <c r="F516" s="772" t="s">
        <v>3408</v>
      </c>
      <c r="G516" s="782" t="s">
        <v>2550</v>
      </c>
      <c r="H516" s="782" t="s">
        <v>29</v>
      </c>
      <c r="I516" s="782" t="s">
        <v>2551</v>
      </c>
      <c r="J516" s="782">
        <v>43894.0</v>
      </c>
      <c r="K516" s="785" t="s">
        <v>3836</v>
      </c>
      <c r="L516" s="781"/>
      <c r="M516" s="781"/>
      <c r="N516" s="781"/>
      <c r="O516" s="781"/>
      <c r="P516" s="781"/>
      <c r="Q516" s="781"/>
      <c r="R516" s="781"/>
      <c r="S516" s="781"/>
      <c r="T516" s="781"/>
      <c r="U516" s="781"/>
      <c r="V516" s="781"/>
      <c r="W516" s="781"/>
      <c r="X516" s="781"/>
      <c r="Y516" s="781"/>
      <c r="Z516" s="781"/>
      <c r="AA516" s="781"/>
      <c r="AB516" s="781"/>
      <c r="AC516" s="781"/>
      <c r="AD516" s="781"/>
      <c r="AE516" s="781"/>
      <c r="AF516" s="781"/>
      <c r="AG516" s="781"/>
      <c r="AH516" s="781"/>
      <c r="AI516" s="781"/>
      <c r="AJ516" s="781"/>
      <c r="AK516" s="781"/>
      <c r="AL516" s="781"/>
      <c r="AM516" s="781"/>
      <c r="AN516" s="781"/>
      <c r="AO516" s="781"/>
      <c r="AP516" s="781"/>
      <c r="AQ516" s="781"/>
      <c r="AR516" s="781"/>
      <c r="AS516" s="781"/>
      <c r="AT516" s="781"/>
      <c r="AU516" s="781"/>
    </row>
    <row r="517" ht="15.75" customHeight="1">
      <c r="A517" s="786">
        <v>44433.0</v>
      </c>
      <c r="B517" s="787" t="s">
        <v>3041</v>
      </c>
      <c r="C517" s="788" t="s">
        <v>2547</v>
      </c>
      <c r="D517" s="772" t="s">
        <v>6346</v>
      </c>
      <c r="E517" s="784">
        <v>75000.0</v>
      </c>
      <c r="F517" s="772" t="s">
        <v>3040</v>
      </c>
      <c r="G517" s="782" t="s">
        <v>2550</v>
      </c>
      <c r="H517" s="782" t="s">
        <v>29</v>
      </c>
      <c r="I517" s="782" t="s">
        <v>2551</v>
      </c>
      <c r="J517" s="782">
        <v>43605.0</v>
      </c>
      <c r="K517" s="785" t="s">
        <v>3836</v>
      </c>
      <c r="L517" s="781"/>
      <c r="M517" s="781"/>
      <c r="N517" s="781"/>
      <c r="O517" s="781"/>
      <c r="P517" s="781"/>
      <c r="Q517" s="781"/>
      <c r="R517" s="781"/>
      <c r="S517" s="781"/>
      <c r="T517" s="781"/>
      <c r="U517" s="781"/>
      <c r="V517" s="781"/>
      <c r="W517" s="781"/>
      <c r="X517" s="781"/>
      <c r="Y517" s="781"/>
      <c r="Z517" s="781"/>
      <c r="AA517" s="781"/>
      <c r="AB517" s="781"/>
      <c r="AC517" s="781"/>
      <c r="AD517" s="781"/>
      <c r="AE517" s="781"/>
      <c r="AF517" s="781"/>
      <c r="AG517" s="781"/>
      <c r="AH517" s="781"/>
      <c r="AI517" s="781"/>
      <c r="AJ517" s="781"/>
      <c r="AK517" s="781"/>
      <c r="AL517" s="781"/>
      <c r="AM517" s="781"/>
      <c r="AN517" s="781"/>
      <c r="AO517" s="781"/>
      <c r="AP517" s="781"/>
      <c r="AQ517" s="781"/>
      <c r="AR517" s="781"/>
      <c r="AS517" s="781"/>
      <c r="AT517" s="781"/>
      <c r="AU517" s="781"/>
    </row>
    <row r="518" ht="15.75" customHeight="1">
      <c r="A518" s="786">
        <v>44434.0</v>
      </c>
      <c r="B518" s="787" t="s">
        <v>6384</v>
      </c>
      <c r="C518" s="788" t="s">
        <v>3820</v>
      </c>
      <c r="D518" s="772" t="s">
        <v>6346</v>
      </c>
      <c r="E518" s="784">
        <v>3000.0</v>
      </c>
      <c r="F518" s="772" t="s">
        <v>5098</v>
      </c>
      <c r="G518" s="772" t="s">
        <v>105</v>
      </c>
      <c r="H518" s="772" t="s">
        <v>29</v>
      </c>
      <c r="I518" s="772" t="s">
        <v>4486</v>
      </c>
      <c r="J518" s="782">
        <v>44180.0</v>
      </c>
      <c r="K518" s="789" t="s">
        <v>3828</v>
      </c>
      <c r="L518" s="781"/>
      <c r="M518" s="781"/>
      <c r="N518" s="781"/>
      <c r="O518" s="781"/>
      <c r="P518" s="781"/>
      <c r="Q518" s="781"/>
      <c r="R518" s="781"/>
      <c r="S518" s="781"/>
      <c r="T518" s="781"/>
      <c r="U518" s="781"/>
      <c r="V518" s="781"/>
      <c r="W518" s="781"/>
      <c r="X518" s="781"/>
      <c r="Y518" s="781"/>
      <c r="Z518" s="781"/>
      <c r="AA518" s="781"/>
      <c r="AB518" s="781"/>
      <c r="AC518" s="781"/>
      <c r="AD518" s="781"/>
      <c r="AE518" s="781"/>
      <c r="AF518" s="781"/>
      <c r="AG518" s="781"/>
      <c r="AH518" s="781"/>
      <c r="AI518" s="781"/>
      <c r="AJ518" s="781"/>
      <c r="AK518" s="781"/>
      <c r="AL518" s="781"/>
      <c r="AM518" s="781"/>
      <c r="AN518" s="781"/>
      <c r="AO518" s="781"/>
      <c r="AP518" s="781"/>
      <c r="AQ518" s="781"/>
      <c r="AR518" s="781"/>
      <c r="AS518" s="781"/>
      <c r="AT518" s="781"/>
      <c r="AU518" s="781"/>
    </row>
    <row r="519" ht="15.75" customHeight="1">
      <c r="A519" s="786">
        <v>44434.0</v>
      </c>
      <c r="B519" s="787" t="s">
        <v>3216</v>
      </c>
      <c r="C519" s="788" t="s">
        <v>2547</v>
      </c>
      <c r="D519" s="772" t="s">
        <v>6346</v>
      </c>
      <c r="E519" s="784">
        <v>2000.0</v>
      </c>
      <c r="F519" s="772" t="s">
        <v>3215</v>
      </c>
      <c r="G519" s="782" t="s">
        <v>18</v>
      </c>
      <c r="H519" s="782" t="s">
        <v>176</v>
      </c>
      <c r="I519" s="782" t="s">
        <v>197</v>
      </c>
      <c r="J519" s="782">
        <v>44322.0</v>
      </c>
      <c r="K519" s="785" t="s">
        <v>3828</v>
      </c>
      <c r="L519" s="781"/>
      <c r="M519" s="781"/>
      <c r="N519" s="781"/>
      <c r="O519" s="781"/>
      <c r="P519" s="781"/>
      <c r="Q519" s="781"/>
      <c r="R519" s="781"/>
      <c r="S519" s="781"/>
      <c r="T519" s="781"/>
      <c r="U519" s="781"/>
      <c r="V519" s="781"/>
      <c r="W519" s="781"/>
      <c r="X519" s="781"/>
      <c r="Y519" s="781"/>
      <c r="Z519" s="781"/>
      <c r="AA519" s="781"/>
      <c r="AB519" s="781"/>
      <c r="AC519" s="781"/>
      <c r="AD519" s="781"/>
      <c r="AE519" s="781"/>
      <c r="AF519" s="781"/>
      <c r="AG519" s="781"/>
      <c r="AH519" s="781"/>
      <c r="AI519" s="781"/>
      <c r="AJ519" s="781"/>
      <c r="AK519" s="781"/>
      <c r="AL519" s="781"/>
      <c r="AM519" s="781"/>
      <c r="AN519" s="781"/>
      <c r="AO519" s="781"/>
      <c r="AP519" s="781"/>
      <c r="AQ519" s="781"/>
      <c r="AR519" s="781"/>
      <c r="AS519" s="781"/>
      <c r="AT519" s="781"/>
      <c r="AU519" s="781"/>
    </row>
    <row r="520" ht="15.75" customHeight="1">
      <c r="A520" s="782">
        <v>44435.0</v>
      </c>
      <c r="B520" s="783" t="s">
        <v>2741</v>
      </c>
      <c r="C520" s="772" t="s">
        <v>2547</v>
      </c>
      <c r="D520" s="772" t="s">
        <v>6345</v>
      </c>
      <c r="E520" s="784">
        <v>104633.35</v>
      </c>
      <c r="F520" s="772" t="s">
        <v>2740</v>
      </c>
      <c r="G520" s="782" t="s">
        <v>18</v>
      </c>
      <c r="H520" s="782" t="s">
        <v>176</v>
      </c>
      <c r="I520" s="782" t="s">
        <v>2634</v>
      </c>
      <c r="J520" s="782">
        <v>44273.0</v>
      </c>
      <c r="K520" s="785" t="s">
        <v>3828</v>
      </c>
      <c r="L520" s="781"/>
      <c r="M520" s="781"/>
      <c r="N520" s="781"/>
      <c r="O520" s="781"/>
      <c r="P520" s="781"/>
      <c r="Q520" s="781"/>
      <c r="R520" s="781"/>
      <c r="S520" s="781"/>
      <c r="T520" s="781"/>
      <c r="U520" s="781"/>
      <c r="V520" s="781"/>
      <c r="W520" s="781"/>
      <c r="X520" s="781"/>
      <c r="Y520" s="781"/>
      <c r="Z520" s="781"/>
      <c r="AA520" s="781"/>
      <c r="AB520" s="781"/>
      <c r="AC520" s="781"/>
      <c r="AD520" s="781"/>
      <c r="AE520" s="781"/>
      <c r="AF520" s="781"/>
      <c r="AG520" s="781"/>
      <c r="AH520" s="781"/>
      <c r="AI520" s="781"/>
      <c r="AJ520" s="781"/>
      <c r="AK520" s="781"/>
      <c r="AL520" s="781"/>
      <c r="AM520" s="781"/>
      <c r="AN520" s="781"/>
      <c r="AO520" s="781"/>
      <c r="AP520" s="781"/>
      <c r="AQ520" s="781"/>
      <c r="AR520" s="781"/>
      <c r="AS520" s="781"/>
      <c r="AT520" s="781"/>
      <c r="AU520" s="781"/>
    </row>
    <row r="521" ht="15.75" customHeight="1">
      <c r="A521" s="782">
        <v>44438.0</v>
      </c>
      <c r="B521" s="783" t="s">
        <v>6429</v>
      </c>
      <c r="C521" s="772" t="s">
        <v>3820</v>
      </c>
      <c r="D521" s="772" t="s">
        <v>6345</v>
      </c>
      <c r="E521" s="784">
        <v>0.0</v>
      </c>
      <c r="F521" s="772" t="s">
        <v>5117</v>
      </c>
      <c r="G521" s="772" t="s">
        <v>18</v>
      </c>
      <c r="H521" s="772" t="s">
        <v>29</v>
      </c>
      <c r="I521" s="772" t="s">
        <v>3827</v>
      </c>
      <c r="J521" s="782">
        <v>44133.0</v>
      </c>
      <c r="K521" s="789" t="s">
        <v>3836</v>
      </c>
      <c r="L521" s="781"/>
      <c r="M521" s="781"/>
      <c r="N521" s="781"/>
      <c r="O521" s="781"/>
      <c r="P521" s="781"/>
      <c r="Q521" s="781"/>
      <c r="R521" s="781"/>
      <c r="S521" s="781"/>
      <c r="T521" s="781"/>
      <c r="U521" s="781"/>
      <c r="V521" s="781"/>
      <c r="W521" s="781"/>
      <c r="X521" s="781"/>
      <c r="Y521" s="781"/>
      <c r="Z521" s="781"/>
      <c r="AA521" s="781"/>
      <c r="AB521" s="781"/>
      <c r="AC521" s="781"/>
      <c r="AD521" s="781"/>
      <c r="AE521" s="781"/>
      <c r="AF521" s="781"/>
      <c r="AG521" s="781"/>
      <c r="AH521" s="781"/>
      <c r="AI521" s="781"/>
      <c r="AJ521" s="781"/>
      <c r="AK521" s="781"/>
      <c r="AL521" s="781"/>
      <c r="AM521" s="781"/>
      <c r="AN521" s="781"/>
      <c r="AO521" s="781"/>
      <c r="AP521" s="781"/>
      <c r="AQ521" s="781"/>
      <c r="AR521" s="781"/>
      <c r="AS521" s="781"/>
      <c r="AT521" s="781"/>
      <c r="AU521" s="781"/>
    </row>
    <row r="522" ht="15.75" customHeight="1">
      <c r="A522" s="786">
        <v>44438.0</v>
      </c>
      <c r="B522" s="787" t="s">
        <v>2910</v>
      </c>
      <c r="C522" s="788" t="s">
        <v>2547</v>
      </c>
      <c r="D522" s="772" t="s">
        <v>6346</v>
      </c>
      <c r="E522" s="784">
        <v>50000.0</v>
      </c>
      <c r="F522" s="772" t="s">
        <v>996</v>
      </c>
      <c r="G522" s="782" t="s">
        <v>18</v>
      </c>
      <c r="H522" s="782" t="s">
        <v>176</v>
      </c>
      <c r="I522" s="782" t="s">
        <v>177</v>
      </c>
      <c r="J522" s="782">
        <v>44340.0</v>
      </c>
      <c r="K522" s="785" t="s">
        <v>3836</v>
      </c>
      <c r="L522" s="781"/>
      <c r="M522" s="781"/>
      <c r="N522" s="781"/>
      <c r="O522" s="781"/>
      <c r="P522" s="781"/>
      <c r="Q522" s="781"/>
      <c r="R522" s="781"/>
      <c r="S522" s="781"/>
      <c r="T522" s="781"/>
      <c r="U522" s="781"/>
      <c r="V522" s="781"/>
      <c r="W522" s="781"/>
      <c r="X522" s="781"/>
      <c r="Y522" s="781"/>
      <c r="Z522" s="781"/>
      <c r="AA522" s="781"/>
      <c r="AB522" s="781"/>
      <c r="AC522" s="781"/>
      <c r="AD522" s="781"/>
      <c r="AE522" s="781"/>
      <c r="AF522" s="781"/>
      <c r="AG522" s="781"/>
      <c r="AH522" s="781"/>
      <c r="AI522" s="781"/>
      <c r="AJ522" s="781"/>
      <c r="AK522" s="781"/>
      <c r="AL522" s="781"/>
      <c r="AM522" s="781"/>
      <c r="AN522" s="781"/>
      <c r="AO522" s="781"/>
      <c r="AP522" s="781"/>
      <c r="AQ522" s="781"/>
      <c r="AR522" s="781"/>
      <c r="AS522" s="781"/>
      <c r="AT522" s="781"/>
      <c r="AU522" s="781"/>
    </row>
    <row r="523" ht="15.75" customHeight="1">
      <c r="A523" s="782">
        <v>44439.0</v>
      </c>
      <c r="B523" s="783" t="s">
        <v>3489</v>
      </c>
      <c r="C523" s="772" t="s">
        <v>2547</v>
      </c>
      <c r="D523" s="772" t="s">
        <v>6345</v>
      </c>
      <c r="E523" s="784">
        <v>397214.14</v>
      </c>
      <c r="F523" s="772" t="s">
        <v>3488</v>
      </c>
      <c r="G523" s="782" t="s">
        <v>2550</v>
      </c>
      <c r="H523" s="782" t="s">
        <v>29</v>
      </c>
      <c r="I523" s="782" t="s">
        <v>2562</v>
      </c>
      <c r="J523" s="782">
        <v>43539.0</v>
      </c>
      <c r="K523" s="785" t="s">
        <v>3828</v>
      </c>
      <c r="L523" s="781"/>
      <c r="M523" s="781"/>
      <c r="N523" s="781"/>
      <c r="O523" s="781"/>
      <c r="P523" s="781"/>
      <c r="Q523" s="781"/>
      <c r="R523" s="781"/>
      <c r="S523" s="781"/>
      <c r="T523" s="781"/>
      <c r="U523" s="781"/>
      <c r="V523" s="781"/>
      <c r="W523" s="781"/>
      <c r="X523" s="781"/>
      <c r="Y523" s="781"/>
      <c r="Z523" s="781"/>
      <c r="AA523" s="781"/>
      <c r="AB523" s="781"/>
      <c r="AC523" s="781"/>
      <c r="AD523" s="781"/>
      <c r="AE523" s="781"/>
      <c r="AF523" s="781"/>
      <c r="AG523" s="781"/>
      <c r="AH523" s="781"/>
      <c r="AI523" s="781"/>
      <c r="AJ523" s="781"/>
      <c r="AK523" s="781"/>
      <c r="AL523" s="781"/>
      <c r="AM523" s="781"/>
      <c r="AN523" s="781"/>
      <c r="AO523" s="781"/>
      <c r="AP523" s="781"/>
      <c r="AQ523" s="781"/>
      <c r="AR523" s="781"/>
      <c r="AS523" s="781"/>
      <c r="AT523" s="781"/>
      <c r="AU523" s="781"/>
    </row>
    <row r="524" ht="15.75" customHeight="1">
      <c r="A524" s="782">
        <v>44439.0</v>
      </c>
      <c r="B524" s="783" t="s">
        <v>3491</v>
      </c>
      <c r="C524" s="772" t="s">
        <v>2547</v>
      </c>
      <c r="D524" s="772" t="s">
        <v>6345</v>
      </c>
      <c r="E524" s="784">
        <v>40150.79</v>
      </c>
      <c r="F524" s="772" t="s">
        <v>3488</v>
      </c>
      <c r="G524" s="782" t="s">
        <v>2550</v>
      </c>
      <c r="H524" s="782" t="s">
        <v>29</v>
      </c>
      <c r="I524" s="782" t="s">
        <v>2562</v>
      </c>
      <c r="J524" s="782">
        <v>44397.0</v>
      </c>
      <c r="K524" s="785" t="s">
        <v>3869</v>
      </c>
      <c r="L524" s="781"/>
      <c r="M524" s="781"/>
      <c r="N524" s="781"/>
      <c r="O524" s="781"/>
      <c r="P524" s="781"/>
      <c r="Q524" s="781"/>
      <c r="R524" s="781"/>
      <c r="S524" s="781"/>
      <c r="T524" s="781"/>
      <c r="U524" s="781"/>
      <c r="V524" s="781"/>
      <c r="W524" s="781"/>
      <c r="X524" s="781"/>
      <c r="Y524" s="781"/>
      <c r="Z524" s="781"/>
      <c r="AA524" s="781"/>
      <c r="AB524" s="781"/>
      <c r="AC524" s="781"/>
      <c r="AD524" s="781"/>
      <c r="AE524" s="781"/>
      <c r="AF524" s="781"/>
      <c r="AG524" s="781"/>
      <c r="AH524" s="781"/>
      <c r="AI524" s="781"/>
      <c r="AJ524" s="781"/>
      <c r="AK524" s="781"/>
      <c r="AL524" s="781"/>
      <c r="AM524" s="781"/>
      <c r="AN524" s="781"/>
      <c r="AO524" s="781"/>
      <c r="AP524" s="781"/>
      <c r="AQ524" s="781"/>
      <c r="AR524" s="781"/>
      <c r="AS524" s="781"/>
      <c r="AT524" s="781"/>
      <c r="AU524" s="781"/>
    </row>
    <row r="525" ht="15.75" customHeight="1">
      <c r="A525" s="786">
        <v>44439.0</v>
      </c>
      <c r="B525" s="787" t="s">
        <v>3302</v>
      </c>
      <c r="C525" s="788" t="s">
        <v>2547</v>
      </c>
      <c r="D525" s="772" t="s">
        <v>6346</v>
      </c>
      <c r="E525" s="784">
        <v>20000.0</v>
      </c>
      <c r="F525" s="772" t="s">
        <v>3301</v>
      </c>
      <c r="G525" s="782" t="s">
        <v>18</v>
      </c>
      <c r="H525" s="782" t="s">
        <v>176</v>
      </c>
      <c r="I525" s="782" t="s">
        <v>177</v>
      </c>
      <c r="J525" s="782">
        <v>44319.0</v>
      </c>
      <c r="K525" s="785" t="s">
        <v>3828</v>
      </c>
      <c r="L525" s="781"/>
      <c r="M525" s="781"/>
      <c r="N525" s="781"/>
      <c r="O525" s="781"/>
      <c r="P525" s="781"/>
      <c r="Q525" s="781"/>
      <c r="R525" s="781"/>
      <c r="S525" s="781"/>
      <c r="T525" s="781"/>
      <c r="U525" s="781"/>
      <c r="V525" s="781"/>
      <c r="W525" s="781"/>
      <c r="X525" s="781"/>
      <c r="Y525" s="781"/>
      <c r="Z525" s="781"/>
      <c r="AA525" s="781"/>
      <c r="AB525" s="781"/>
      <c r="AC525" s="781"/>
      <c r="AD525" s="781"/>
      <c r="AE525" s="781"/>
      <c r="AF525" s="781"/>
      <c r="AG525" s="781"/>
      <c r="AH525" s="781"/>
      <c r="AI525" s="781"/>
      <c r="AJ525" s="781"/>
      <c r="AK525" s="781"/>
      <c r="AL525" s="781"/>
      <c r="AM525" s="781"/>
      <c r="AN525" s="781"/>
      <c r="AO525" s="781"/>
      <c r="AP525" s="781"/>
      <c r="AQ525" s="781"/>
      <c r="AR525" s="781"/>
      <c r="AS525" s="781"/>
      <c r="AT525" s="781"/>
      <c r="AU525" s="781"/>
    </row>
    <row r="526" ht="15.75" customHeight="1">
      <c r="A526" s="786">
        <v>44439.0</v>
      </c>
      <c r="B526" s="787" t="s">
        <v>2798</v>
      </c>
      <c r="C526" s="788" t="s">
        <v>2547</v>
      </c>
      <c r="D526" s="772" t="s">
        <v>6346</v>
      </c>
      <c r="E526" s="784">
        <v>130000.0</v>
      </c>
      <c r="F526" s="772" t="s">
        <v>649</v>
      </c>
      <c r="G526" s="782" t="s">
        <v>18</v>
      </c>
      <c r="H526" s="782" t="s">
        <v>176</v>
      </c>
      <c r="I526" s="782" t="s">
        <v>177</v>
      </c>
      <c r="J526" s="782">
        <v>44280.0</v>
      </c>
      <c r="K526" s="785" t="s">
        <v>3828</v>
      </c>
      <c r="L526" s="781"/>
      <c r="M526" s="781"/>
      <c r="N526" s="781"/>
      <c r="O526" s="781"/>
      <c r="P526" s="781"/>
      <c r="Q526" s="781"/>
      <c r="R526" s="781"/>
      <c r="S526" s="781"/>
      <c r="T526" s="781"/>
      <c r="U526" s="781"/>
      <c r="V526" s="781"/>
      <c r="W526" s="781"/>
      <c r="X526" s="781"/>
      <c r="Y526" s="781"/>
      <c r="Z526" s="781"/>
      <c r="AA526" s="781"/>
      <c r="AB526" s="781"/>
      <c r="AC526" s="781"/>
      <c r="AD526" s="781"/>
      <c r="AE526" s="781"/>
      <c r="AF526" s="781"/>
      <c r="AG526" s="781"/>
      <c r="AH526" s="781"/>
      <c r="AI526" s="781"/>
      <c r="AJ526" s="781"/>
      <c r="AK526" s="781"/>
      <c r="AL526" s="781"/>
      <c r="AM526" s="781"/>
      <c r="AN526" s="781"/>
      <c r="AO526" s="781"/>
      <c r="AP526" s="781"/>
      <c r="AQ526" s="781"/>
      <c r="AR526" s="781"/>
      <c r="AS526" s="781"/>
      <c r="AT526" s="781"/>
      <c r="AU526" s="781"/>
    </row>
    <row r="527" ht="15.75" customHeight="1">
      <c r="A527" s="786">
        <v>44440.0</v>
      </c>
      <c r="B527" s="787" t="s">
        <v>2847</v>
      </c>
      <c r="C527" s="788" t="s">
        <v>2547</v>
      </c>
      <c r="D527" s="772" t="s">
        <v>6346</v>
      </c>
      <c r="E527" s="784">
        <v>20000.0</v>
      </c>
      <c r="F527" s="772" t="s">
        <v>767</v>
      </c>
      <c r="G527" s="782" t="s">
        <v>18</v>
      </c>
      <c r="H527" s="782" t="s">
        <v>176</v>
      </c>
      <c r="I527" s="782" t="s">
        <v>177</v>
      </c>
      <c r="J527" s="782">
        <v>44321.0</v>
      </c>
      <c r="K527" s="785" t="s">
        <v>3828</v>
      </c>
      <c r="L527" s="781"/>
      <c r="M527" s="781"/>
      <c r="N527" s="781"/>
      <c r="O527" s="781"/>
      <c r="P527" s="781"/>
      <c r="Q527" s="781"/>
      <c r="R527" s="781"/>
      <c r="S527" s="781"/>
      <c r="T527" s="781"/>
      <c r="U527" s="781"/>
      <c r="V527" s="781"/>
      <c r="W527" s="781"/>
      <c r="X527" s="781"/>
      <c r="Y527" s="781"/>
      <c r="Z527" s="781"/>
      <c r="AA527" s="781"/>
      <c r="AB527" s="781"/>
      <c r="AC527" s="781"/>
      <c r="AD527" s="781"/>
      <c r="AE527" s="781"/>
      <c r="AF527" s="781"/>
      <c r="AG527" s="781"/>
      <c r="AH527" s="781"/>
      <c r="AI527" s="781"/>
      <c r="AJ527" s="781"/>
      <c r="AK527" s="781"/>
      <c r="AL527" s="781"/>
      <c r="AM527" s="781"/>
      <c r="AN527" s="781"/>
      <c r="AO527" s="781"/>
      <c r="AP527" s="781"/>
      <c r="AQ527" s="781"/>
      <c r="AR527" s="781"/>
      <c r="AS527" s="781"/>
      <c r="AT527" s="781"/>
      <c r="AU527" s="781"/>
    </row>
    <row r="528" ht="15.75" customHeight="1">
      <c r="A528" s="786">
        <v>44440.0</v>
      </c>
      <c r="B528" s="787" t="s">
        <v>3246</v>
      </c>
      <c r="C528" s="788" t="s">
        <v>2547</v>
      </c>
      <c r="D528" s="772" t="s">
        <v>6346</v>
      </c>
      <c r="E528" s="784">
        <v>300000.0</v>
      </c>
      <c r="F528" s="772" t="s">
        <v>3245</v>
      </c>
      <c r="G528" s="782" t="s">
        <v>2550</v>
      </c>
      <c r="H528" s="782" t="s">
        <v>29</v>
      </c>
      <c r="I528" s="782" t="s">
        <v>2551</v>
      </c>
      <c r="J528" s="782">
        <v>43564.0</v>
      </c>
      <c r="K528" s="785" t="s">
        <v>3840</v>
      </c>
      <c r="L528" s="781"/>
      <c r="M528" s="781"/>
      <c r="N528" s="781"/>
      <c r="O528" s="781"/>
      <c r="P528" s="781"/>
      <c r="Q528" s="781"/>
      <c r="R528" s="781"/>
      <c r="S528" s="781"/>
      <c r="T528" s="781"/>
      <c r="U528" s="781"/>
      <c r="V528" s="781"/>
      <c r="W528" s="781"/>
      <c r="X528" s="781"/>
      <c r="Y528" s="781"/>
      <c r="Z528" s="781"/>
      <c r="AA528" s="781"/>
      <c r="AB528" s="781"/>
      <c r="AC528" s="781"/>
      <c r="AD528" s="781"/>
      <c r="AE528" s="781"/>
      <c r="AF528" s="781"/>
      <c r="AG528" s="781"/>
      <c r="AH528" s="781"/>
      <c r="AI528" s="781"/>
      <c r="AJ528" s="781"/>
      <c r="AK528" s="781"/>
      <c r="AL528" s="781"/>
      <c r="AM528" s="781"/>
      <c r="AN528" s="781"/>
      <c r="AO528" s="781"/>
      <c r="AP528" s="781"/>
      <c r="AQ528" s="781"/>
      <c r="AR528" s="781"/>
      <c r="AS528" s="781"/>
      <c r="AT528" s="781"/>
      <c r="AU528" s="781"/>
    </row>
    <row r="529" ht="15.75" customHeight="1">
      <c r="A529" s="786">
        <v>44441.0</v>
      </c>
      <c r="B529" s="787" t="s">
        <v>6368</v>
      </c>
      <c r="C529" s="788" t="s">
        <v>3820</v>
      </c>
      <c r="D529" s="772" t="s">
        <v>6346</v>
      </c>
      <c r="E529" s="784">
        <v>25000.0</v>
      </c>
      <c r="F529" s="772" t="s">
        <v>4388</v>
      </c>
      <c r="G529" s="772" t="s">
        <v>105</v>
      </c>
      <c r="H529" s="772" t="s">
        <v>29</v>
      </c>
      <c r="I529" s="772" t="s">
        <v>3887</v>
      </c>
      <c r="J529" s="819">
        <v>44263.0</v>
      </c>
      <c r="K529" s="789" t="s">
        <v>3828</v>
      </c>
      <c r="L529" s="781"/>
      <c r="M529" s="781"/>
      <c r="N529" s="781"/>
      <c r="O529" s="781"/>
      <c r="P529" s="781"/>
      <c r="Q529" s="781"/>
      <c r="R529" s="781"/>
      <c r="S529" s="781"/>
      <c r="T529" s="781"/>
      <c r="U529" s="781"/>
      <c r="V529" s="781"/>
      <c r="W529" s="781"/>
      <c r="X529" s="781"/>
      <c r="Y529" s="781"/>
      <c r="Z529" s="781"/>
      <c r="AA529" s="781"/>
      <c r="AB529" s="781"/>
      <c r="AC529" s="781"/>
      <c r="AD529" s="781"/>
      <c r="AE529" s="781"/>
      <c r="AF529" s="781"/>
      <c r="AG529" s="781"/>
      <c r="AH529" s="781"/>
      <c r="AI529" s="781"/>
      <c r="AJ529" s="781"/>
      <c r="AK529" s="781"/>
      <c r="AL529" s="781"/>
      <c r="AM529" s="781"/>
      <c r="AN529" s="781"/>
      <c r="AO529" s="781"/>
      <c r="AP529" s="781"/>
      <c r="AQ529" s="781"/>
      <c r="AR529" s="781"/>
      <c r="AS529" s="781"/>
      <c r="AT529" s="781"/>
      <c r="AU529" s="781"/>
    </row>
    <row r="530" ht="15.75" customHeight="1">
      <c r="A530" s="786">
        <v>44441.0</v>
      </c>
      <c r="B530" s="787" t="s">
        <v>3041</v>
      </c>
      <c r="C530" s="788" t="s">
        <v>2547</v>
      </c>
      <c r="D530" s="772" t="s">
        <v>6346</v>
      </c>
      <c r="E530" s="784">
        <v>17000.0</v>
      </c>
      <c r="F530" s="772" t="s">
        <v>3040</v>
      </c>
      <c r="G530" s="782" t="s">
        <v>2550</v>
      </c>
      <c r="H530" s="782" t="s">
        <v>29</v>
      </c>
      <c r="I530" s="782" t="s">
        <v>2551</v>
      </c>
      <c r="J530" s="782">
        <v>43605.0</v>
      </c>
      <c r="K530" s="785" t="s">
        <v>3836</v>
      </c>
      <c r="L530" s="781"/>
      <c r="M530" s="781"/>
      <c r="N530" s="781"/>
      <c r="O530" s="781"/>
      <c r="P530" s="781"/>
      <c r="Q530" s="781"/>
      <c r="R530" s="781"/>
      <c r="S530" s="781"/>
      <c r="T530" s="781"/>
      <c r="U530" s="781"/>
      <c r="V530" s="781"/>
      <c r="W530" s="781"/>
      <c r="X530" s="781"/>
      <c r="Y530" s="781"/>
      <c r="Z530" s="781"/>
      <c r="AA530" s="781"/>
      <c r="AB530" s="781"/>
      <c r="AC530" s="781"/>
      <c r="AD530" s="781"/>
      <c r="AE530" s="781"/>
      <c r="AF530" s="781"/>
      <c r="AG530" s="781"/>
      <c r="AH530" s="781"/>
      <c r="AI530" s="781"/>
      <c r="AJ530" s="781"/>
      <c r="AK530" s="781"/>
      <c r="AL530" s="781"/>
      <c r="AM530" s="781"/>
      <c r="AN530" s="781"/>
      <c r="AO530" s="781"/>
      <c r="AP530" s="781"/>
      <c r="AQ530" s="781"/>
      <c r="AR530" s="781"/>
      <c r="AS530" s="781"/>
      <c r="AT530" s="781"/>
      <c r="AU530" s="781"/>
    </row>
    <row r="531" ht="15.75" customHeight="1">
      <c r="A531" s="782">
        <v>44442.0</v>
      </c>
      <c r="B531" s="783" t="s">
        <v>6432</v>
      </c>
      <c r="C531" s="772" t="s">
        <v>3820</v>
      </c>
      <c r="D531" s="772" t="s">
        <v>6345</v>
      </c>
      <c r="E531" s="784">
        <v>0.0</v>
      </c>
      <c r="F531" s="772" t="s">
        <v>3910</v>
      </c>
      <c r="G531" s="772" t="s">
        <v>18</v>
      </c>
      <c r="H531" s="772" t="s">
        <v>29</v>
      </c>
      <c r="I531" s="772" t="s">
        <v>3827</v>
      </c>
      <c r="J531" s="782">
        <v>44245.0</v>
      </c>
      <c r="K531" s="789" t="s">
        <v>3828</v>
      </c>
      <c r="L531" s="781"/>
      <c r="M531" s="781"/>
      <c r="N531" s="781"/>
      <c r="O531" s="781"/>
      <c r="P531" s="781"/>
      <c r="Q531" s="781"/>
      <c r="R531" s="781"/>
      <c r="S531" s="781"/>
      <c r="T531" s="781"/>
      <c r="U531" s="781"/>
      <c r="V531" s="781"/>
      <c r="W531" s="781"/>
      <c r="X531" s="781"/>
      <c r="Y531" s="781"/>
      <c r="Z531" s="781"/>
      <c r="AA531" s="781"/>
      <c r="AB531" s="781"/>
      <c r="AC531" s="781"/>
      <c r="AD531" s="781"/>
      <c r="AE531" s="781"/>
      <c r="AF531" s="781"/>
      <c r="AG531" s="781"/>
      <c r="AH531" s="781"/>
      <c r="AI531" s="781"/>
      <c r="AJ531" s="781"/>
      <c r="AK531" s="781"/>
      <c r="AL531" s="781"/>
      <c r="AM531" s="781"/>
      <c r="AN531" s="781"/>
      <c r="AO531" s="781"/>
      <c r="AP531" s="781"/>
      <c r="AQ531" s="781"/>
      <c r="AR531" s="781"/>
      <c r="AS531" s="781"/>
      <c r="AT531" s="781"/>
      <c r="AU531" s="781"/>
    </row>
    <row r="532" ht="15.75" customHeight="1">
      <c r="A532" s="786">
        <v>44442.0</v>
      </c>
      <c r="B532" s="787" t="s">
        <v>6433</v>
      </c>
      <c r="C532" s="788" t="s">
        <v>3820</v>
      </c>
      <c r="D532" s="772" t="s">
        <v>6346</v>
      </c>
      <c r="E532" s="784">
        <v>150000.0</v>
      </c>
      <c r="F532" s="772" t="s">
        <v>3832</v>
      </c>
      <c r="G532" s="772" t="s">
        <v>18</v>
      </c>
      <c r="H532" s="772" t="s">
        <v>29</v>
      </c>
      <c r="I532" s="772" t="s">
        <v>3827</v>
      </c>
      <c r="J532" s="782">
        <v>44326.0</v>
      </c>
      <c r="K532" s="789" t="s">
        <v>3834</v>
      </c>
      <c r="L532" s="781"/>
      <c r="M532" s="781"/>
      <c r="N532" s="781"/>
      <c r="O532" s="781"/>
      <c r="P532" s="781"/>
      <c r="Q532" s="781"/>
      <c r="R532" s="781"/>
      <c r="S532" s="781"/>
      <c r="T532" s="781"/>
      <c r="U532" s="781"/>
      <c r="V532" s="781"/>
      <c r="W532" s="781"/>
      <c r="X532" s="781"/>
      <c r="Y532" s="781"/>
      <c r="Z532" s="781"/>
      <c r="AA532" s="781"/>
      <c r="AB532" s="781"/>
      <c r="AC532" s="781"/>
      <c r="AD532" s="781"/>
      <c r="AE532" s="781"/>
      <c r="AF532" s="781"/>
      <c r="AG532" s="781"/>
      <c r="AH532" s="781"/>
      <c r="AI532" s="781"/>
      <c r="AJ532" s="781"/>
      <c r="AK532" s="781"/>
      <c r="AL532" s="781"/>
      <c r="AM532" s="781"/>
      <c r="AN532" s="781"/>
      <c r="AO532" s="781"/>
      <c r="AP532" s="781"/>
      <c r="AQ532" s="781"/>
      <c r="AR532" s="781"/>
      <c r="AS532" s="781"/>
      <c r="AT532" s="781"/>
      <c r="AU532" s="781"/>
    </row>
    <row r="533" ht="15.75" customHeight="1">
      <c r="A533" s="786">
        <v>44442.0</v>
      </c>
      <c r="B533" s="787" t="s">
        <v>6434</v>
      </c>
      <c r="C533" s="788" t="s">
        <v>3820</v>
      </c>
      <c r="D533" s="772" t="s">
        <v>6346</v>
      </c>
      <c r="E533" s="784">
        <v>84278.97</v>
      </c>
      <c r="F533" s="772" t="s">
        <v>5262</v>
      </c>
      <c r="G533" s="772" t="s">
        <v>2550</v>
      </c>
      <c r="H533" s="772" t="s">
        <v>29</v>
      </c>
      <c r="I533" s="772" t="s">
        <v>2550</v>
      </c>
      <c r="J533" s="782">
        <v>44355.0</v>
      </c>
      <c r="K533" s="789" t="s">
        <v>3836</v>
      </c>
      <c r="L533" s="781"/>
      <c r="M533" s="781"/>
      <c r="N533" s="781"/>
      <c r="O533" s="781"/>
      <c r="P533" s="781"/>
      <c r="Q533" s="781"/>
      <c r="R533" s="781"/>
      <c r="S533" s="781"/>
      <c r="T533" s="781"/>
      <c r="U533" s="781"/>
      <c r="V533" s="781"/>
      <c r="W533" s="781"/>
      <c r="X533" s="781"/>
      <c r="Y533" s="781"/>
      <c r="Z533" s="781"/>
      <c r="AA533" s="781"/>
      <c r="AB533" s="781"/>
      <c r="AC533" s="781"/>
      <c r="AD533" s="781"/>
      <c r="AE533" s="781"/>
      <c r="AF533" s="781"/>
      <c r="AG533" s="781"/>
      <c r="AH533" s="781"/>
      <c r="AI533" s="781"/>
      <c r="AJ533" s="781"/>
      <c r="AK533" s="781"/>
      <c r="AL533" s="781"/>
      <c r="AM533" s="781"/>
      <c r="AN533" s="781"/>
      <c r="AO533" s="781"/>
      <c r="AP533" s="781"/>
      <c r="AQ533" s="781"/>
      <c r="AR533" s="781"/>
      <c r="AS533" s="781"/>
      <c r="AT533" s="781"/>
      <c r="AU533" s="781"/>
    </row>
    <row r="534" ht="15.75" customHeight="1">
      <c r="A534" s="786">
        <v>44442.0</v>
      </c>
      <c r="B534" s="787" t="s">
        <v>3026</v>
      </c>
      <c r="C534" s="788" t="s">
        <v>2547</v>
      </c>
      <c r="D534" s="772" t="s">
        <v>6346</v>
      </c>
      <c r="E534" s="784">
        <v>130000.0</v>
      </c>
      <c r="F534" s="772" t="s">
        <v>3025</v>
      </c>
      <c r="G534" s="782" t="s">
        <v>18</v>
      </c>
      <c r="H534" s="782" t="s">
        <v>176</v>
      </c>
      <c r="I534" s="782" t="s">
        <v>177</v>
      </c>
      <c r="J534" s="782">
        <v>44313.0</v>
      </c>
      <c r="K534" s="785" t="s">
        <v>3828</v>
      </c>
      <c r="L534" s="781"/>
      <c r="M534" s="781"/>
      <c r="N534" s="781"/>
      <c r="O534" s="781"/>
      <c r="P534" s="781"/>
      <c r="Q534" s="781"/>
      <c r="R534" s="781"/>
      <c r="S534" s="781"/>
      <c r="T534" s="781"/>
      <c r="U534" s="781"/>
      <c r="V534" s="781"/>
      <c r="W534" s="781"/>
      <c r="X534" s="781"/>
      <c r="Y534" s="781"/>
      <c r="Z534" s="781"/>
      <c r="AA534" s="781"/>
      <c r="AB534" s="781"/>
      <c r="AC534" s="781"/>
      <c r="AD534" s="781"/>
      <c r="AE534" s="781"/>
      <c r="AF534" s="781"/>
      <c r="AG534" s="781"/>
      <c r="AH534" s="781"/>
      <c r="AI534" s="781"/>
      <c r="AJ534" s="781"/>
      <c r="AK534" s="781"/>
      <c r="AL534" s="781"/>
      <c r="AM534" s="781"/>
      <c r="AN534" s="781"/>
      <c r="AO534" s="781"/>
      <c r="AP534" s="781"/>
      <c r="AQ534" s="781"/>
      <c r="AR534" s="781"/>
      <c r="AS534" s="781"/>
      <c r="AT534" s="781"/>
      <c r="AU534" s="781"/>
    </row>
    <row r="535" ht="15.75" customHeight="1">
      <c r="A535" s="782">
        <v>44445.0</v>
      </c>
      <c r="B535" s="783" t="s">
        <v>6435</v>
      </c>
      <c r="C535" s="772" t="s">
        <v>3820</v>
      </c>
      <c r="D535" s="772" t="s">
        <v>6345</v>
      </c>
      <c r="E535" s="784">
        <v>0.0</v>
      </c>
      <c r="F535" s="772" t="s">
        <v>4238</v>
      </c>
      <c r="G535" s="772" t="s">
        <v>18</v>
      </c>
      <c r="H535" s="772" t="s">
        <v>29</v>
      </c>
      <c r="I535" s="772" t="s">
        <v>3827</v>
      </c>
      <c r="J535" s="782">
        <v>44085.0</v>
      </c>
      <c r="K535" s="789" t="s">
        <v>3834</v>
      </c>
      <c r="L535" s="781"/>
      <c r="M535" s="781"/>
      <c r="N535" s="781"/>
      <c r="O535" s="781"/>
      <c r="P535" s="781"/>
      <c r="Q535" s="781"/>
      <c r="R535" s="781"/>
      <c r="S535" s="781"/>
      <c r="T535" s="781"/>
      <c r="U535" s="781"/>
      <c r="V535" s="781"/>
      <c r="W535" s="781"/>
      <c r="X535" s="781"/>
      <c r="Y535" s="781"/>
      <c r="Z535" s="781"/>
      <c r="AA535" s="781"/>
      <c r="AB535" s="781"/>
      <c r="AC535" s="781"/>
      <c r="AD535" s="781"/>
      <c r="AE535" s="781"/>
      <c r="AF535" s="781"/>
      <c r="AG535" s="781"/>
      <c r="AH535" s="781"/>
      <c r="AI535" s="781"/>
      <c r="AJ535" s="781"/>
      <c r="AK535" s="781"/>
      <c r="AL535" s="781"/>
      <c r="AM535" s="781"/>
      <c r="AN535" s="781"/>
      <c r="AO535" s="781"/>
      <c r="AP535" s="781"/>
      <c r="AQ535" s="781"/>
      <c r="AR535" s="781"/>
      <c r="AS535" s="781"/>
      <c r="AT535" s="781"/>
      <c r="AU535" s="781"/>
    </row>
    <row r="536" ht="15.75" customHeight="1">
      <c r="A536" s="782">
        <v>44445.0</v>
      </c>
      <c r="B536" s="783" t="s">
        <v>6436</v>
      </c>
      <c r="C536" s="772" t="s">
        <v>3820</v>
      </c>
      <c r="D536" s="772" t="s">
        <v>6345</v>
      </c>
      <c r="E536" s="784">
        <v>0.0</v>
      </c>
      <c r="F536" s="772" t="s">
        <v>5103</v>
      </c>
      <c r="G536" s="772" t="s">
        <v>18</v>
      </c>
      <c r="H536" s="772" t="s">
        <v>29</v>
      </c>
      <c r="I536" s="772" t="s">
        <v>3827</v>
      </c>
      <c r="J536" s="782">
        <v>44147.0</v>
      </c>
      <c r="K536" s="789" t="s">
        <v>3836</v>
      </c>
      <c r="L536" s="781"/>
      <c r="M536" s="781"/>
      <c r="N536" s="781"/>
      <c r="O536" s="781"/>
      <c r="P536" s="781"/>
      <c r="Q536" s="781"/>
      <c r="R536" s="781"/>
      <c r="S536" s="781"/>
      <c r="T536" s="781"/>
      <c r="U536" s="781"/>
      <c r="V536" s="781"/>
      <c r="W536" s="781"/>
      <c r="X536" s="781"/>
      <c r="Y536" s="781"/>
      <c r="Z536" s="781"/>
      <c r="AA536" s="781"/>
      <c r="AB536" s="781"/>
      <c r="AC536" s="781"/>
      <c r="AD536" s="781"/>
      <c r="AE536" s="781"/>
      <c r="AF536" s="781"/>
      <c r="AG536" s="781"/>
      <c r="AH536" s="781"/>
      <c r="AI536" s="781"/>
      <c r="AJ536" s="781"/>
      <c r="AK536" s="781"/>
      <c r="AL536" s="781"/>
      <c r="AM536" s="781"/>
      <c r="AN536" s="781"/>
      <c r="AO536" s="781"/>
      <c r="AP536" s="781"/>
      <c r="AQ536" s="781"/>
      <c r="AR536" s="781"/>
      <c r="AS536" s="781"/>
      <c r="AT536" s="781"/>
      <c r="AU536" s="781"/>
    </row>
    <row r="537" ht="15.75" customHeight="1">
      <c r="A537" s="786">
        <v>44445.0</v>
      </c>
      <c r="B537" s="787" t="s">
        <v>3059</v>
      </c>
      <c r="C537" s="788" t="s">
        <v>2547</v>
      </c>
      <c r="D537" s="772" t="s">
        <v>6346</v>
      </c>
      <c r="E537" s="784">
        <v>20000.0</v>
      </c>
      <c r="F537" s="772" t="s">
        <v>3058</v>
      </c>
      <c r="G537" s="782" t="s">
        <v>18</v>
      </c>
      <c r="H537" s="782" t="s">
        <v>176</v>
      </c>
      <c r="I537" s="782" t="s">
        <v>2634</v>
      </c>
      <c r="J537" s="782">
        <v>44266.0</v>
      </c>
      <c r="K537" s="785" t="s">
        <v>3836</v>
      </c>
      <c r="L537" s="781"/>
      <c r="M537" s="781"/>
      <c r="N537" s="781"/>
      <c r="O537" s="781"/>
      <c r="P537" s="781"/>
      <c r="Q537" s="781"/>
      <c r="R537" s="781"/>
      <c r="S537" s="781"/>
      <c r="T537" s="781"/>
      <c r="U537" s="781"/>
      <c r="V537" s="781"/>
      <c r="W537" s="781"/>
      <c r="X537" s="781"/>
      <c r="Y537" s="781"/>
      <c r="Z537" s="781"/>
      <c r="AA537" s="781"/>
      <c r="AB537" s="781"/>
      <c r="AC537" s="781"/>
      <c r="AD537" s="781"/>
      <c r="AE537" s="781"/>
      <c r="AF537" s="781"/>
      <c r="AG537" s="781"/>
      <c r="AH537" s="781"/>
      <c r="AI537" s="781"/>
      <c r="AJ537" s="781"/>
      <c r="AK537" s="781"/>
      <c r="AL537" s="781"/>
      <c r="AM537" s="781"/>
      <c r="AN537" s="781"/>
      <c r="AO537" s="781"/>
      <c r="AP537" s="781"/>
      <c r="AQ537" s="781"/>
      <c r="AR537" s="781"/>
      <c r="AS537" s="781"/>
      <c r="AT537" s="781"/>
      <c r="AU537" s="781"/>
    </row>
    <row r="538" ht="15.75" customHeight="1">
      <c r="A538" s="782">
        <v>44447.0</v>
      </c>
      <c r="B538" s="783" t="s">
        <v>6437</v>
      </c>
      <c r="C538" s="772" t="s">
        <v>3820</v>
      </c>
      <c r="D538" s="772" t="s">
        <v>6345</v>
      </c>
      <c r="E538" s="784">
        <v>0.0</v>
      </c>
      <c r="F538" s="772" t="s">
        <v>5092</v>
      </c>
      <c r="G538" s="772" t="s">
        <v>18</v>
      </c>
      <c r="H538" s="772" t="s">
        <v>29</v>
      </c>
      <c r="I538" s="772" t="s">
        <v>6438</v>
      </c>
      <c r="J538" s="782">
        <v>44096.0</v>
      </c>
      <c r="K538" s="789" t="s">
        <v>3828</v>
      </c>
      <c r="L538" s="781"/>
      <c r="M538" s="781"/>
      <c r="N538" s="781"/>
      <c r="O538" s="781"/>
      <c r="P538" s="781"/>
      <c r="Q538" s="781"/>
      <c r="R538" s="781"/>
      <c r="S538" s="781"/>
      <c r="T538" s="781"/>
      <c r="U538" s="781"/>
      <c r="V538" s="781"/>
      <c r="W538" s="781"/>
      <c r="X538" s="781"/>
      <c r="Y538" s="781"/>
      <c r="Z538" s="781"/>
      <c r="AA538" s="781"/>
      <c r="AB538" s="781"/>
      <c r="AC538" s="781"/>
      <c r="AD538" s="781"/>
      <c r="AE538" s="781"/>
      <c r="AF538" s="781"/>
      <c r="AG538" s="781"/>
      <c r="AH538" s="781"/>
      <c r="AI538" s="781"/>
      <c r="AJ538" s="781"/>
      <c r="AK538" s="781"/>
      <c r="AL538" s="781"/>
      <c r="AM538" s="781"/>
      <c r="AN538" s="781"/>
      <c r="AO538" s="781"/>
      <c r="AP538" s="781"/>
      <c r="AQ538" s="781"/>
      <c r="AR538" s="781"/>
      <c r="AS538" s="781"/>
      <c r="AT538" s="781"/>
      <c r="AU538" s="781"/>
    </row>
    <row r="539" ht="15.75" customHeight="1">
      <c r="A539" s="786">
        <v>44447.0</v>
      </c>
      <c r="B539" s="787" t="s">
        <v>3033</v>
      </c>
      <c r="C539" s="788" t="s">
        <v>2547</v>
      </c>
      <c r="D539" s="772" t="s">
        <v>6346</v>
      </c>
      <c r="E539" s="784">
        <v>300000.0</v>
      </c>
      <c r="F539" s="772" t="s">
        <v>3032</v>
      </c>
      <c r="G539" s="782" t="s">
        <v>2659</v>
      </c>
      <c r="H539" s="782" t="s">
        <v>29</v>
      </c>
      <c r="I539" s="782" t="s">
        <v>2659</v>
      </c>
      <c r="J539" s="782">
        <v>44021.0</v>
      </c>
      <c r="K539" s="785" t="s">
        <v>3828</v>
      </c>
      <c r="L539" s="781"/>
      <c r="M539" s="781"/>
      <c r="N539" s="781"/>
      <c r="O539" s="781"/>
      <c r="P539" s="781"/>
      <c r="Q539" s="781"/>
      <c r="R539" s="781"/>
      <c r="S539" s="781"/>
      <c r="T539" s="781"/>
      <c r="U539" s="781"/>
      <c r="V539" s="781"/>
      <c r="W539" s="781"/>
      <c r="X539" s="781"/>
      <c r="Y539" s="781"/>
      <c r="Z539" s="781"/>
      <c r="AA539" s="781"/>
      <c r="AB539" s="781"/>
      <c r="AC539" s="781"/>
      <c r="AD539" s="781"/>
      <c r="AE539" s="781"/>
      <c r="AF539" s="781"/>
      <c r="AG539" s="781"/>
      <c r="AH539" s="781"/>
      <c r="AI539" s="781"/>
      <c r="AJ539" s="781"/>
      <c r="AK539" s="781"/>
      <c r="AL539" s="781"/>
      <c r="AM539" s="781"/>
      <c r="AN539" s="781"/>
      <c r="AO539" s="781"/>
      <c r="AP539" s="781"/>
      <c r="AQ539" s="781"/>
      <c r="AR539" s="781"/>
      <c r="AS539" s="781"/>
      <c r="AT539" s="781"/>
      <c r="AU539" s="781"/>
    </row>
    <row r="540" ht="15.75" customHeight="1">
      <c r="A540" s="786">
        <v>44447.0</v>
      </c>
      <c r="B540" s="787" t="s">
        <v>3412</v>
      </c>
      <c r="C540" s="788" t="s">
        <v>2547</v>
      </c>
      <c r="D540" s="772" t="s">
        <v>6346</v>
      </c>
      <c r="E540" s="784">
        <v>25000.0</v>
      </c>
      <c r="F540" s="772" t="s">
        <v>3411</v>
      </c>
      <c r="G540" s="782" t="s">
        <v>18</v>
      </c>
      <c r="H540" s="782" t="s">
        <v>176</v>
      </c>
      <c r="I540" s="782" t="s">
        <v>197</v>
      </c>
      <c r="J540" s="782">
        <v>44279.0</v>
      </c>
      <c r="K540" s="785" t="s">
        <v>3828</v>
      </c>
      <c r="L540" s="781"/>
      <c r="M540" s="781"/>
      <c r="N540" s="781"/>
      <c r="O540" s="781"/>
      <c r="P540" s="781"/>
      <c r="Q540" s="781"/>
      <c r="R540" s="781"/>
      <c r="S540" s="781"/>
      <c r="T540" s="781"/>
      <c r="U540" s="781"/>
      <c r="V540" s="781"/>
      <c r="W540" s="781"/>
      <c r="X540" s="781"/>
      <c r="Y540" s="781"/>
      <c r="Z540" s="781"/>
      <c r="AA540" s="781"/>
      <c r="AB540" s="781"/>
      <c r="AC540" s="781"/>
      <c r="AD540" s="781"/>
      <c r="AE540" s="781"/>
      <c r="AF540" s="781"/>
      <c r="AG540" s="781"/>
      <c r="AH540" s="781"/>
      <c r="AI540" s="781"/>
      <c r="AJ540" s="781"/>
      <c r="AK540" s="781"/>
      <c r="AL540" s="781"/>
      <c r="AM540" s="781"/>
      <c r="AN540" s="781"/>
      <c r="AO540" s="781"/>
      <c r="AP540" s="781"/>
      <c r="AQ540" s="781"/>
      <c r="AR540" s="781"/>
      <c r="AS540" s="781"/>
      <c r="AT540" s="781"/>
      <c r="AU540" s="781"/>
    </row>
    <row r="541" ht="15.75" customHeight="1">
      <c r="A541" s="782">
        <v>44448.0</v>
      </c>
      <c r="B541" s="783" t="s">
        <v>3502</v>
      </c>
      <c r="C541" s="772" t="s">
        <v>2547</v>
      </c>
      <c r="D541" s="772" t="s">
        <v>6345</v>
      </c>
      <c r="E541" s="784">
        <v>130029.24</v>
      </c>
      <c r="F541" s="772" t="s">
        <v>3501</v>
      </c>
      <c r="G541" s="782" t="s">
        <v>2659</v>
      </c>
      <c r="H541" s="782" t="s">
        <v>29</v>
      </c>
      <c r="I541" s="782" t="s">
        <v>2659</v>
      </c>
      <c r="J541" s="782">
        <v>43441.0</v>
      </c>
      <c r="K541" s="785" t="s">
        <v>3840</v>
      </c>
      <c r="L541" s="781"/>
      <c r="M541" s="781"/>
      <c r="N541" s="781"/>
      <c r="O541" s="781"/>
      <c r="P541" s="781"/>
      <c r="Q541" s="781"/>
      <c r="R541" s="781"/>
      <c r="S541" s="781"/>
      <c r="T541" s="781"/>
      <c r="U541" s="781"/>
      <c r="V541" s="781"/>
      <c r="W541" s="781"/>
      <c r="X541" s="781"/>
      <c r="Y541" s="781"/>
      <c r="Z541" s="781"/>
      <c r="AA541" s="781"/>
      <c r="AB541" s="781"/>
      <c r="AC541" s="781"/>
      <c r="AD541" s="781"/>
      <c r="AE541" s="781"/>
      <c r="AF541" s="781"/>
      <c r="AG541" s="781"/>
      <c r="AH541" s="781"/>
      <c r="AI541" s="781"/>
      <c r="AJ541" s="781"/>
      <c r="AK541" s="781"/>
      <c r="AL541" s="781"/>
      <c r="AM541" s="781"/>
      <c r="AN541" s="781"/>
      <c r="AO541" s="781"/>
      <c r="AP541" s="781"/>
      <c r="AQ541" s="781"/>
      <c r="AR541" s="781"/>
      <c r="AS541" s="781"/>
      <c r="AT541" s="781"/>
      <c r="AU541" s="781"/>
    </row>
    <row r="542" ht="15.75" customHeight="1">
      <c r="A542" s="782">
        <v>44448.0</v>
      </c>
      <c r="B542" s="820" t="s">
        <v>3465</v>
      </c>
      <c r="C542" s="772" t="s">
        <v>2547</v>
      </c>
      <c r="D542" s="772" t="s">
        <v>6345</v>
      </c>
      <c r="E542" s="784">
        <v>555581.44</v>
      </c>
      <c r="F542" s="772" t="s">
        <v>3464</v>
      </c>
      <c r="G542" s="782" t="s">
        <v>2550</v>
      </c>
      <c r="H542" s="782" t="s">
        <v>29</v>
      </c>
      <c r="I542" s="782" t="s">
        <v>2562</v>
      </c>
      <c r="J542" s="782">
        <v>43607.0</v>
      </c>
      <c r="K542" s="785" t="s">
        <v>4206</v>
      </c>
      <c r="L542" s="781"/>
      <c r="M542" s="781"/>
      <c r="N542" s="781"/>
      <c r="O542" s="781"/>
      <c r="P542" s="781"/>
      <c r="Q542" s="781"/>
      <c r="R542" s="781"/>
      <c r="S542" s="781"/>
      <c r="T542" s="781"/>
      <c r="U542" s="781"/>
      <c r="V542" s="781"/>
      <c r="W542" s="781"/>
      <c r="X542" s="781"/>
      <c r="Y542" s="781"/>
      <c r="Z542" s="781"/>
      <c r="AA542" s="781"/>
      <c r="AB542" s="781"/>
      <c r="AC542" s="781"/>
      <c r="AD542" s="781"/>
      <c r="AE542" s="781"/>
      <c r="AF542" s="781"/>
      <c r="AG542" s="781"/>
      <c r="AH542" s="781"/>
      <c r="AI542" s="781"/>
      <c r="AJ542" s="781"/>
      <c r="AK542" s="781"/>
      <c r="AL542" s="781"/>
      <c r="AM542" s="781"/>
      <c r="AN542" s="781"/>
      <c r="AO542" s="781"/>
      <c r="AP542" s="781"/>
      <c r="AQ542" s="781"/>
      <c r="AR542" s="781"/>
      <c r="AS542" s="781"/>
      <c r="AT542" s="781"/>
      <c r="AU542" s="781"/>
    </row>
    <row r="543" ht="15.75" customHeight="1">
      <c r="A543" s="786">
        <v>44448.0</v>
      </c>
      <c r="B543" s="787" t="s">
        <v>3507</v>
      </c>
      <c r="C543" s="788" t="s">
        <v>2547</v>
      </c>
      <c r="D543" s="772" t="s">
        <v>6346</v>
      </c>
      <c r="E543" s="784">
        <v>17000.0</v>
      </c>
      <c r="F543" s="772" t="s">
        <v>3506</v>
      </c>
      <c r="G543" s="782" t="s">
        <v>18</v>
      </c>
      <c r="H543" s="782" t="s">
        <v>176</v>
      </c>
      <c r="I543" s="782" t="s">
        <v>177</v>
      </c>
      <c r="J543" s="782">
        <v>44263.0</v>
      </c>
      <c r="K543" s="785" t="s">
        <v>3836</v>
      </c>
      <c r="L543" s="781"/>
      <c r="M543" s="781"/>
      <c r="N543" s="781"/>
      <c r="O543" s="781"/>
      <c r="P543" s="781"/>
      <c r="Q543" s="781"/>
      <c r="R543" s="781"/>
      <c r="S543" s="781"/>
      <c r="T543" s="781"/>
      <c r="U543" s="781"/>
      <c r="V543" s="781"/>
      <c r="W543" s="781"/>
      <c r="X543" s="781"/>
      <c r="Y543" s="781"/>
      <c r="Z543" s="781"/>
      <c r="AA543" s="781"/>
      <c r="AB543" s="781"/>
      <c r="AC543" s="781"/>
      <c r="AD543" s="781"/>
      <c r="AE543" s="781"/>
      <c r="AF543" s="781"/>
      <c r="AG543" s="781"/>
      <c r="AH543" s="781"/>
      <c r="AI543" s="781"/>
      <c r="AJ543" s="781"/>
      <c r="AK543" s="781"/>
      <c r="AL543" s="781"/>
      <c r="AM543" s="781"/>
      <c r="AN543" s="781"/>
      <c r="AO543" s="781"/>
      <c r="AP543" s="781"/>
      <c r="AQ543" s="781"/>
      <c r="AR543" s="781"/>
      <c r="AS543" s="781"/>
      <c r="AT543" s="781"/>
      <c r="AU543" s="781"/>
    </row>
    <row r="544" ht="15.75" customHeight="1">
      <c r="A544" s="786">
        <v>44449.0</v>
      </c>
      <c r="B544" s="787" t="s">
        <v>2627</v>
      </c>
      <c r="C544" s="788" t="s">
        <v>2547</v>
      </c>
      <c r="D544" s="772" t="s">
        <v>6346</v>
      </c>
      <c r="E544" s="784">
        <v>2502500.1</v>
      </c>
      <c r="F544" s="772" t="s">
        <v>245</v>
      </c>
      <c r="G544" s="782" t="s">
        <v>18</v>
      </c>
      <c r="H544" s="782" t="s">
        <v>176</v>
      </c>
      <c r="I544" s="782" t="s">
        <v>177</v>
      </c>
      <c r="J544" s="782">
        <v>44266.0</v>
      </c>
      <c r="K544" s="785" t="s">
        <v>3824</v>
      </c>
      <c r="L544" s="781"/>
      <c r="M544" s="781"/>
      <c r="N544" s="781"/>
      <c r="O544" s="781"/>
      <c r="P544" s="781"/>
      <c r="Q544" s="781"/>
      <c r="R544" s="781"/>
      <c r="S544" s="781"/>
      <c r="T544" s="781"/>
      <c r="U544" s="781"/>
      <c r="V544" s="781"/>
      <c r="W544" s="781"/>
      <c r="X544" s="781"/>
      <c r="Y544" s="781"/>
      <c r="Z544" s="781"/>
      <c r="AA544" s="781"/>
      <c r="AB544" s="781"/>
      <c r="AC544" s="781"/>
      <c r="AD544" s="781"/>
      <c r="AE544" s="781"/>
      <c r="AF544" s="781"/>
      <c r="AG544" s="781"/>
      <c r="AH544" s="781"/>
      <c r="AI544" s="781"/>
      <c r="AJ544" s="781"/>
      <c r="AK544" s="781"/>
      <c r="AL544" s="781"/>
      <c r="AM544" s="781"/>
      <c r="AN544" s="781"/>
      <c r="AO544" s="781"/>
      <c r="AP544" s="781"/>
      <c r="AQ544" s="781"/>
      <c r="AR544" s="781"/>
      <c r="AS544" s="781"/>
      <c r="AT544" s="781"/>
      <c r="AU544" s="781"/>
    </row>
    <row r="545" ht="15.75" customHeight="1">
      <c r="A545" s="786">
        <v>44449.0</v>
      </c>
      <c r="B545" s="787" t="s">
        <v>6439</v>
      </c>
      <c r="C545" s="788" t="s">
        <v>3820</v>
      </c>
      <c r="D545" s="772" t="s">
        <v>1481</v>
      </c>
      <c r="E545" s="784">
        <v>0.0</v>
      </c>
      <c r="F545" s="772" t="s">
        <v>4224</v>
      </c>
      <c r="G545" s="772" t="s">
        <v>2550</v>
      </c>
      <c r="H545" s="772" t="s">
        <v>29</v>
      </c>
      <c r="I545" s="772" t="s">
        <v>2550</v>
      </c>
      <c r="J545" s="782">
        <v>43869.0</v>
      </c>
      <c r="K545" s="789" t="s">
        <v>3828</v>
      </c>
      <c r="L545" s="781"/>
      <c r="M545" s="781"/>
      <c r="N545" s="781"/>
      <c r="O545" s="781"/>
      <c r="P545" s="781"/>
      <c r="Q545" s="781"/>
      <c r="R545" s="781"/>
      <c r="S545" s="781"/>
      <c r="T545" s="781"/>
      <c r="U545" s="781"/>
      <c r="V545" s="781"/>
      <c r="W545" s="781"/>
      <c r="X545" s="781"/>
      <c r="Y545" s="781"/>
      <c r="Z545" s="781"/>
      <c r="AA545" s="781"/>
      <c r="AB545" s="781"/>
      <c r="AC545" s="781"/>
      <c r="AD545" s="781"/>
      <c r="AE545" s="781"/>
      <c r="AF545" s="781"/>
      <c r="AG545" s="781"/>
      <c r="AH545" s="781"/>
      <c r="AI545" s="781"/>
      <c r="AJ545" s="781"/>
      <c r="AK545" s="781"/>
      <c r="AL545" s="781"/>
      <c r="AM545" s="781"/>
      <c r="AN545" s="781"/>
      <c r="AO545" s="781"/>
      <c r="AP545" s="781"/>
      <c r="AQ545" s="781"/>
      <c r="AR545" s="781"/>
      <c r="AS545" s="781"/>
      <c r="AT545" s="781"/>
      <c r="AU545" s="781"/>
    </row>
    <row r="546" ht="15.75" customHeight="1">
      <c r="A546" s="782">
        <v>44450.0</v>
      </c>
      <c r="B546" s="820" t="s">
        <v>6440</v>
      </c>
      <c r="C546" s="772" t="s">
        <v>3820</v>
      </c>
      <c r="D546" s="772" t="s">
        <v>6345</v>
      </c>
      <c r="E546" s="784">
        <v>0.0</v>
      </c>
      <c r="F546" s="772" t="s">
        <v>4268</v>
      </c>
      <c r="G546" s="772" t="s">
        <v>18</v>
      </c>
      <c r="H546" s="772" t="s">
        <v>29</v>
      </c>
      <c r="I546" s="772" t="s">
        <v>3827</v>
      </c>
      <c r="J546" s="782">
        <v>44203.0</v>
      </c>
      <c r="K546" s="789" t="s">
        <v>3828</v>
      </c>
      <c r="L546" s="781"/>
      <c r="M546" s="781"/>
      <c r="N546" s="781"/>
      <c r="O546" s="781"/>
      <c r="P546" s="781"/>
      <c r="Q546" s="781"/>
      <c r="R546" s="781"/>
      <c r="S546" s="781"/>
      <c r="T546" s="781"/>
      <c r="U546" s="781"/>
      <c r="V546" s="781"/>
      <c r="W546" s="781"/>
      <c r="X546" s="781"/>
      <c r="Y546" s="781"/>
      <c r="Z546" s="781"/>
      <c r="AA546" s="781"/>
      <c r="AB546" s="781"/>
      <c r="AC546" s="781"/>
      <c r="AD546" s="781"/>
      <c r="AE546" s="781"/>
      <c r="AF546" s="781"/>
      <c r="AG546" s="781"/>
      <c r="AH546" s="781"/>
      <c r="AI546" s="781"/>
      <c r="AJ546" s="781"/>
      <c r="AK546" s="781"/>
      <c r="AL546" s="781"/>
      <c r="AM546" s="781"/>
      <c r="AN546" s="781"/>
      <c r="AO546" s="781"/>
      <c r="AP546" s="781"/>
      <c r="AQ546" s="781"/>
      <c r="AR546" s="781"/>
      <c r="AS546" s="781"/>
      <c r="AT546" s="781"/>
      <c r="AU546" s="781"/>
    </row>
    <row r="547" ht="15.75" customHeight="1">
      <c r="A547" s="782">
        <v>44450.0</v>
      </c>
      <c r="B547" s="820" t="s">
        <v>6441</v>
      </c>
      <c r="C547" s="772" t="s">
        <v>3820</v>
      </c>
      <c r="D547" s="772" t="s">
        <v>6345</v>
      </c>
      <c r="E547" s="784">
        <v>0.0</v>
      </c>
      <c r="F547" s="772" t="s">
        <v>4268</v>
      </c>
      <c r="G547" s="772" t="s">
        <v>18</v>
      </c>
      <c r="H547" s="772" t="s">
        <v>29</v>
      </c>
      <c r="I547" s="772" t="s">
        <v>3827</v>
      </c>
      <c r="J547" s="782">
        <v>44203.0</v>
      </c>
      <c r="K547" s="789" t="s">
        <v>3869</v>
      </c>
      <c r="L547" s="781"/>
      <c r="M547" s="781"/>
      <c r="N547" s="781"/>
      <c r="O547" s="781"/>
      <c r="P547" s="781"/>
      <c r="Q547" s="781"/>
      <c r="R547" s="781"/>
      <c r="S547" s="781"/>
      <c r="T547" s="781"/>
      <c r="U547" s="781"/>
      <c r="V547" s="781"/>
      <c r="W547" s="781"/>
      <c r="X547" s="781"/>
      <c r="Y547" s="781"/>
      <c r="Z547" s="781"/>
      <c r="AA547" s="781"/>
      <c r="AB547" s="781"/>
      <c r="AC547" s="781"/>
      <c r="AD547" s="781"/>
      <c r="AE547" s="781"/>
      <c r="AF547" s="781"/>
      <c r="AG547" s="781"/>
      <c r="AH547" s="781"/>
      <c r="AI547" s="781"/>
      <c r="AJ547" s="781"/>
      <c r="AK547" s="781"/>
      <c r="AL547" s="781"/>
      <c r="AM547" s="781"/>
      <c r="AN547" s="781"/>
      <c r="AO547" s="781"/>
      <c r="AP547" s="781"/>
      <c r="AQ547" s="781"/>
      <c r="AR547" s="781"/>
      <c r="AS547" s="781"/>
      <c r="AT547" s="781"/>
      <c r="AU547" s="781"/>
    </row>
    <row r="548" ht="15.75" customHeight="1">
      <c r="A548" s="795">
        <v>44452.0</v>
      </c>
      <c r="B548" s="787" t="s">
        <v>6442</v>
      </c>
      <c r="C548" s="797" t="s">
        <v>3820</v>
      </c>
      <c r="D548" s="772" t="s">
        <v>6346</v>
      </c>
      <c r="E548" s="821">
        <v>4000.0</v>
      </c>
      <c r="F548" s="772" t="s">
        <v>3953</v>
      </c>
      <c r="G548" s="772" t="s">
        <v>105</v>
      </c>
      <c r="H548" s="772" t="s">
        <v>29</v>
      </c>
      <c r="I548" s="772" t="s">
        <v>3660</v>
      </c>
      <c r="J548" s="782">
        <v>44362.0</v>
      </c>
      <c r="K548" s="789" t="s">
        <v>3836</v>
      </c>
      <c r="L548" s="781"/>
      <c r="M548" s="781"/>
      <c r="N548" s="781"/>
      <c r="O548" s="781"/>
      <c r="P548" s="781"/>
      <c r="Q548" s="781"/>
      <c r="R548" s="781"/>
      <c r="S548" s="781"/>
      <c r="T548" s="781"/>
      <c r="U548" s="781"/>
      <c r="V548" s="781"/>
      <c r="W548" s="781"/>
      <c r="X548" s="781"/>
      <c r="Y548" s="781"/>
      <c r="Z548" s="781"/>
      <c r="AA548" s="781"/>
      <c r="AB548" s="781"/>
      <c r="AC548" s="781"/>
      <c r="AD548" s="781"/>
      <c r="AE548" s="781"/>
      <c r="AF548" s="781"/>
      <c r="AG548" s="781"/>
      <c r="AH548" s="781"/>
      <c r="AI548" s="781"/>
      <c r="AJ548" s="781"/>
      <c r="AK548" s="781"/>
      <c r="AL548" s="781"/>
      <c r="AM548" s="781"/>
      <c r="AN548" s="781"/>
      <c r="AO548" s="781"/>
      <c r="AP548" s="781"/>
      <c r="AQ548" s="781"/>
      <c r="AR548" s="781"/>
      <c r="AS548" s="781"/>
      <c r="AT548" s="781"/>
      <c r="AU548" s="781"/>
    </row>
    <row r="549" ht="15.75" customHeight="1">
      <c r="A549" s="795">
        <v>44452.0</v>
      </c>
      <c r="B549" s="787" t="s">
        <v>3091</v>
      </c>
      <c r="C549" s="797" t="s">
        <v>2547</v>
      </c>
      <c r="D549" s="772" t="s">
        <v>6346</v>
      </c>
      <c r="E549" s="821">
        <v>20000.0</v>
      </c>
      <c r="F549" s="772" t="s">
        <v>3090</v>
      </c>
      <c r="G549" s="782" t="s">
        <v>18</v>
      </c>
      <c r="H549" s="782" t="s">
        <v>176</v>
      </c>
      <c r="I549" s="782" t="s">
        <v>177</v>
      </c>
      <c r="J549" s="782">
        <v>44295.0</v>
      </c>
      <c r="K549" s="785" t="s">
        <v>3834</v>
      </c>
      <c r="L549" s="781"/>
      <c r="M549" s="781"/>
      <c r="N549" s="781"/>
      <c r="O549" s="781"/>
      <c r="P549" s="781"/>
      <c r="Q549" s="781"/>
      <c r="R549" s="781"/>
      <c r="S549" s="781"/>
      <c r="T549" s="781"/>
      <c r="U549" s="781"/>
      <c r="V549" s="781"/>
      <c r="W549" s="781"/>
      <c r="X549" s="781"/>
      <c r="Y549" s="781"/>
      <c r="Z549" s="781"/>
      <c r="AA549" s="781"/>
      <c r="AB549" s="781"/>
      <c r="AC549" s="781"/>
      <c r="AD549" s="781"/>
      <c r="AE549" s="781"/>
      <c r="AF549" s="781"/>
      <c r="AG549" s="781"/>
      <c r="AH549" s="781"/>
      <c r="AI549" s="781"/>
      <c r="AJ549" s="781"/>
      <c r="AK549" s="781"/>
      <c r="AL549" s="781"/>
      <c r="AM549" s="781"/>
      <c r="AN549" s="781"/>
      <c r="AO549" s="781"/>
      <c r="AP549" s="781"/>
      <c r="AQ549" s="781"/>
      <c r="AR549" s="781"/>
      <c r="AS549" s="781"/>
      <c r="AT549" s="781"/>
      <c r="AU549" s="781"/>
    </row>
    <row r="550" ht="15.75" customHeight="1">
      <c r="A550" s="795">
        <v>44452.0</v>
      </c>
      <c r="B550" s="787" t="s">
        <v>3441</v>
      </c>
      <c r="C550" s="797" t="s">
        <v>2547</v>
      </c>
      <c r="D550" s="772" t="s">
        <v>6346</v>
      </c>
      <c r="E550" s="821">
        <v>5000.0</v>
      </c>
      <c r="F550" s="772" t="s">
        <v>3440</v>
      </c>
      <c r="G550" s="782" t="s">
        <v>18</v>
      </c>
      <c r="H550" s="782" t="s">
        <v>176</v>
      </c>
      <c r="I550" s="782" t="s">
        <v>197</v>
      </c>
      <c r="J550" s="782">
        <v>44319.0</v>
      </c>
      <c r="K550" s="785" t="s">
        <v>3828</v>
      </c>
      <c r="L550" s="781"/>
      <c r="M550" s="781"/>
      <c r="N550" s="781"/>
      <c r="O550" s="781"/>
      <c r="P550" s="781"/>
      <c r="Q550" s="781"/>
      <c r="R550" s="781"/>
      <c r="S550" s="781"/>
      <c r="T550" s="781"/>
      <c r="U550" s="781"/>
      <c r="V550" s="781"/>
      <c r="W550" s="781"/>
      <c r="X550" s="781"/>
      <c r="Y550" s="781"/>
      <c r="Z550" s="781"/>
      <c r="AA550" s="781"/>
      <c r="AB550" s="781"/>
      <c r="AC550" s="781"/>
      <c r="AD550" s="781"/>
      <c r="AE550" s="781"/>
      <c r="AF550" s="781"/>
      <c r="AG550" s="781"/>
      <c r="AH550" s="781"/>
      <c r="AI550" s="781"/>
      <c r="AJ550" s="781"/>
      <c r="AK550" s="781"/>
      <c r="AL550" s="781"/>
      <c r="AM550" s="781"/>
      <c r="AN550" s="781"/>
      <c r="AO550" s="781"/>
      <c r="AP550" s="781"/>
      <c r="AQ550" s="781"/>
      <c r="AR550" s="781"/>
      <c r="AS550" s="781"/>
      <c r="AT550" s="781"/>
      <c r="AU550" s="781"/>
    </row>
    <row r="551" ht="15.75" customHeight="1">
      <c r="A551" s="782">
        <v>44452.0</v>
      </c>
      <c r="B551" s="783" t="s">
        <v>6443</v>
      </c>
      <c r="C551" s="772" t="s">
        <v>3820</v>
      </c>
      <c r="D551" s="772" t="s">
        <v>6345</v>
      </c>
      <c r="E551" s="784">
        <v>0.0</v>
      </c>
      <c r="F551" s="772" t="s">
        <v>5192</v>
      </c>
      <c r="G551" s="772" t="s">
        <v>4075</v>
      </c>
      <c r="H551" s="772" t="s">
        <v>29</v>
      </c>
      <c r="I551" s="772" t="s">
        <v>105</v>
      </c>
      <c r="J551" s="782">
        <v>44250.0</v>
      </c>
      <c r="K551" s="789" t="s">
        <v>3869</v>
      </c>
      <c r="L551" s="781"/>
      <c r="M551" s="781"/>
      <c r="N551" s="781"/>
      <c r="O551" s="781"/>
      <c r="P551" s="781"/>
      <c r="Q551" s="781"/>
      <c r="R551" s="781"/>
      <c r="S551" s="781"/>
      <c r="T551" s="781"/>
      <c r="U551" s="781"/>
      <c r="V551" s="781"/>
      <c r="W551" s="781"/>
      <c r="X551" s="781"/>
      <c r="Y551" s="781"/>
      <c r="Z551" s="781"/>
      <c r="AA551" s="781"/>
      <c r="AB551" s="781"/>
      <c r="AC551" s="781"/>
      <c r="AD551" s="781"/>
      <c r="AE551" s="781"/>
      <c r="AF551" s="781"/>
      <c r="AG551" s="781"/>
      <c r="AH551" s="781"/>
      <c r="AI551" s="781"/>
      <c r="AJ551" s="781"/>
      <c r="AK551" s="781"/>
      <c r="AL551" s="781"/>
      <c r="AM551" s="781"/>
      <c r="AN551" s="781"/>
      <c r="AO551" s="781"/>
      <c r="AP551" s="781"/>
      <c r="AQ551" s="781"/>
      <c r="AR551" s="781"/>
      <c r="AS551" s="781"/>
      <c r="AT551" s="781"/>
      <c r="AU551" s="781"/>
    </row>
    <row r="552" ht="15.75" customHeight="1">
      <c r="A552" s="782">
        <v>44452.0</v>
      </c>
      <c r="B552" s="783" t="s">
        <v>6444</v>
      </c>
      <c r="C552" s="772" t="s">
        <v>3820</v>
      </c>
      <c r="D552" s="772" t="s">
        <v>6345</v>
      </c>
      <c r="E552" s="784">
        <v>0.0</v>
      </c>
      <c r="F552" s="772" t="s">
        <v>5109</v>
      </c>
      <c r="G552" s="772" t="s">
        <v>18</v>
      </c>
      <c r="H552" s="772" t="s">
        <v>29</v>
      </c>
      <c r="I552" s="772" t="s">
        <v>3827</v>
      </c>
      <c r="J552" s="782">
        <v>44120.0</v>
      </c>
      <c r="K552" s="789" t="s">
        <v>3828</v>
      </c>
      <c r="L552" s="781"/>
      <c r="M552" s="781"/>
      <c r="N552" s="781"/>
      <c r="O552" s="781"/>
      <c r="P552" s="781"/>
      <c r="Q552" s="781"/>
      <c r="R552" s="781"/>
      <c r="S552" s="781"/>
      <c r="T552" s="781"/>
      <c r="U552" s="781"/>
      <c r="V552" s="781"/>
      <c r="W552" s="781"/>
      <c r="X552" s="781"/>
      <c r="Y552" s="781"/>
      <c r="Z552" s="781"/>
      <c r="AA552" s="781"/>
      <c r="AB552" s="781"/>
      <c r="AC552" s="781"/>
      <c r="AD552" s="781"/>
      <c r="AE552" s="781"/>
      <c r="AF552" s="781"/>
      <c r="AG552" s="781"/>
      <c r="AH552" s="781"/>
      <c r="AI552" s="781"/>
      <c r="AJ552" s="781"/>
      <c r="AK552" s="781"/>
      <c r="AL552" s="781"/>
      <c r="AM552" s="781"/>
      <c r="AN552" s="781"/>
      <c r="AO552" s="781"/>
      <c r="AP552" s="781"/>
      <c r="AQ552" s="781"/>
      <c r="AR552" s="781"/>
      <c r="AS552" s="781"/>
      <c r="AT552" s="781"/>
      <c r="AU552" s="781"/>
    </row>
    <row r="553" ht="15.75" customHeight="1">
      <c r="A553" s="795">
        <v>44453.0</v>
      </c>
      <c r="B553" s="787" t="s">
        <v>2666</v>
      </c>
      <c r="C553" s="797" t="s">
        <v>2547</v>
      </c>
      <c r="D553" s="772" t="s">
        <v>6346</v>
      </c>
      <c r="E553" s="821">
        <v>10000.0</v>
      </c>
      <c r="F553" s="772" t="s">
        <v>2665</v>
      </c>
      <c r="G553" s="782" t="s">
        <v>18</v>
      </c>
      <c r="H553" s="782" t="s">
        <v>176</v>
      </c>
      <c r="I553" s="782" t="s">
        <v>197</v>
      </c>
      <c r="J553" s="782">
        <v>44295.0</v>
      </c>
      <c r="K553" s="785" t="s">
        <v>3824</v>
      </c>
      <c r="L553" s="781"/>
      <c r="M553" s="781"/>
      <c r="N553" s="781"/>
      <c r="O553" s="781"/>
      <c r="P553" s="781"/>
      <c r="Q553" s="781"/>
      <c r="R553" s="781"/>
      <c r="S553" s="781"/>
      <c r="T553" s="781"/>
      <c r="U553" s="781"/>
      <c r="V553" s="781"/>
      <c r="W553" s="781"/>
      <c r="X553" s="781"/>
      <c r="Y553" s="781"/>
      <c r="Z553" s="781"/>
      <c r="AA553" s="781"/>
      <c r="AB553" s="781"/>
      <c r="AC553" s="781"/>
      <c r="AD553" s="781"/>
      <c r="AE553" s="781"/>
      <c r="AF553" s="781"/>
      <c r="AG553" s="781"/>
      <c r="AH553" s="781"/>
      <c r="AI553" s="781"/>
      <c r="AJ553" s="781"/>
      <c r="AK553" s="781"/>
      <c r="AL553" s="781"/>
      <c r="AM553" s="781"/>
      <c r="AN553" s="781"/>
      <c r="AO553" s="781"/>
      <c r="AP553" s="781"/>
      <c r="AQ553" s="781"/>
      <c r="AR553" s="781"/>
      <c r="AS553" s="781"/>
      <c r="AT553" s="781"/>
      <c r="AU553" s="781"/>
    </row>
    <row r="554" ht="15.75" customHeight="1">
      <c r="A554" s="795">
        <v>44453.0</v>
      </c>
      <c r="B554" s="787" t="s">
        <v>3033</v>
      </c>
      <c r="C554" s="797" t="s">
        <v>2547</v>
      </c>
      <c r="D554" s="772" t="s">
        <v>6346</v>
      </c>
      <c r="E554" s="821">
        <v>300000.0</v>
      </c>
      <c r="F554" s="772" t="s">
        <v>3032</v>
      </c>
      <c r="G554" s="782" t="s">
        <v>2659</v>
      </c>
      <c r="H554" s="782" t="s">
        <v>29</v>
      </c>
      <c r="I554" s="782" t="s">
        <v>2659</v>
      </c>
      <c r="J554" s="782">
        <v>44021.0</v>
      </c>
      <c r="K554" s="785" t="s">
        <v>3828</v>
      </c>
      <c r="L554" s="781"/>
      <c r="M554" s="781"/>
      <c r="N554" s="781"/>
      <c r="O554" s="781"/>
      <c r="P554" s="781"/>
      <c r="Q554" s="781"/>
      <c r="R554" s="781"/>
      <c r="S554" s="781"/>
      <c r="T554" s="781"/>
      <c r="U554" s="781"/>
      <c r="V554" s="781"/>
      <c r="W554" s="781"/>
      <c r="X554" s="781"/>
      <c r="Y554" s="781"/>
      <c r="Z554" s="781"/>
      <c r="AA554" s="781"/>
      <c r="AB554" s="781"/>
      <c r="AC554" s="781"/>
      <c r="AD554" s="781"/>
      <c r="AE554" s="781"/>
      <c r="AF554" s="781"/>
      <c r="AG554" s="781"/>
      <c r="AH554" s="781"/>
      <c r="AI554" s="781"/>
      <c r="AJ554" s="781"/>
      <c r="AK554" s="781"/>
      <c r="AL554" s="781"/>
      <c r="AM554" s="781"/>
      <c r="AN554" s="781"/>
      <c r="AO554" s="781"/>
      <c r="AP554" s="781"/>
      <c r="AQ554" s="781"/>
      <c r="AR554" s="781"/>
      <c r="AS554" s="781"/>
      <c r="AT554" s="781"/>
      <c r="AU554" s="781"/>
    </row>
    <row r="555" ht="15.75" customHeight="1">
      <c r="A555" s="782">
        <v>44453.0</v>
      </c>
      <c r="B555" s="820" t="s">
        <v>6445</v>
      </c>
      <c r="C555" s="772" t="s">
        <v>3820</v>
      </c>
      <c r="D555" s="772" t="s">
        <v>6345</v>
      </c>
      <c r="E555" s="784">
        <v>0.0</v>
      </c>
      <c r="F555" s="772" t="s">
        <v>4273</v>
      </c>
      <c r="G555" s="772" t="s">
        <v>18</v>
      </c>
      <c r="H555" s="772" t="s">
        <v>29</v>
      </c>
      <c r="I555" s="772" t="s">
        <v>3827</v>
      </c>
      <c r="J555" s="782">
        <v>44202.0</v>
      </c>
      <c r="K555" s="789" t="s">
        <v>3828</v>
      </c>
      <c r="L555" s="781"/>
      <c r="M555" s="781"/>
      <c r="N555" s="781"/>
      <c r="O555" s="781"/>
      <c r="P555" s="781"/>
      <c r="Q555" s="781"/>
      <c r="R555" s="781"/>
      <c r="S555" s="781"/>
      <c r="T555" s="781"/>
      <c r="U555" s="781"/>
      <c r="V555" s="781"/>
      <c r="W555" s="781"/>
      <c r="X555" s="781"/>
      <c r="Y555" s="781"/>
      <c r="Z555" s="781"/>
      <c r="AA555" s="781"/>
      <c r="AB555" s="781"/>
      <c r="AC555" s="781"/>
      <c r="AD555" s="781"/>
      <c r="AE555" s="781"/>
      <c r="AF555" s="781"/>
      <c r="AG555" s="781"/>
      <c r="AH555" s="781"/>
      <c r="AI555" s="781"/>
      <c r="AJ555" s="781"/>
      <c r="AK555" s="781"/>
      <c r="AL555" s="781"/>
      <c r="AM555" s="781"/>
      <c r="AN555" s="781"/>
      <c r="AO555" s="781"/>
      <c r="AP555" s="781"/>
      <c r="AQ555" s="781"/>
      <c r="AR555" s="781"/>
      <c r="AS555" s="781"/>
      <c r="AT555" s="781"/>
      <c r="AU555" s="781"/>
    </row>
    <row r="556" ht="15.75" customHeight="1">
      <c r="A556" s="795">
        <v>44455.0</v>
      </c>
      <c r="B556" s="783" t="s">
        <v>6446</v>
      </c>
      <c r="C556" s="797" t="s">
        <v>3820</v>
      </c>
      <c r="D556" s="772" t="s">
        <v>6346</v>
      </c>
      <c r="E556" s="821">
        <v>135728.28</v>
      </c>
      <c r="F556" s="772" t="s">
        <v>4028</v>
      </c>
      <c r="G556" s="772" t="s">
        <v>18</v>
      </c>
      <c r="H556" s="772" t="s">
        <v>19</v>
      </c>
      <c r="I556" s="772" t="s">
        <v>256</v>
      </c>
      <c r="J556" s="782">
        <v>44204.0</v>
      </c>
      <c r="K556" s="789" t="s">
        <v>3828</v>
      </c>
      <c r="L556" s="781"/>
      <c r="M556" s="781"/>
      <c r="N556" s="781"/>
      <c r="O556" s="781"/>
      <c r="P556" s="781"/>
      <c r="Q556" s="781"/>
      <c r="R556" s="781"/>
      <c r="S556" s="781"/>
      <c r="T556" s="781"/>
      <c r="U556" s="781"/>
      <c r="V556" s="781"/>
      <c r="W556" s="781"/>
      <c r="X556" s="781"/>
      <c r="Y556" s="781"/>
      <c r="Z556" s="781"/>
      <c r="AA556" s="781"/>
      <c r="AB556" s="781"/>
      <c r="AC556" s="781"/>
      <c r="AD556" s="781"/>
      <c r="AE556" s="781"/>
      <c r="AF556" s="781"/>
      <c r="AG556" s="781"/>
      <c r="AH556" s="781"/>
      <c r="AI556" s="781"/>
      <c r="AJ556" s="781"/>
      <c r="AK556" s="781"/>
      <c r="AL556" s="781"/>
      <c r="AM556" s="781"/>
      <c r="AN556" s="781"/>
      <c r="AO556" s="781"/>
      <c r="AP556" s="781"/>
      <c r="AQ556" s="781"/>
      <c r="AR556" s="781"/>
      <c r="AS556" s="781"/>
      <c r="AT556" s="781"/>
      <c r="AU556" s="781"/>
    </row>
    <row r="557" ht="15.75" customHeight="1">
      <c r="A557" s="782">
        <v>44455.0</v>
      </c>
      <c r="B557" s="783" t="s">
        <v>3579</v>
      </c>
      <c r="C557" s="772" t="s">
        <v>2547</v>
      </c>
      <c r="D557" s="772" t="s">
        <v>6345</v>
      </c>
      <c r="E557" s="791">
        <v>107666.91</v>
      </c>
      <c r="F557" s="772" t="s">
        <v>3578</v>
      </c>
      <c r="G557" s="782" t="s">
        <v>2550</v>
      </c>
      <c r="H557" s="782" t="s">
        <v>29</v>
      </c>
      <c r="I557" s="782" t="s">
        <v>2551</v>
      </c>
      <c r="J557" s="782">
        <v>43843.0</v>
      </c>
      <c r="K557" s="785" t="s">
        <v>3836</v>
      </c>
      <c r="L557" s="781"/>
      <c r="M557" s="781"/>
      <c r="N557" s="781"/>
      <c r="O557" s="781"/>
      <c r="P557" s="781"/>
      <c r="Q557" s="781"/>
      <c r="R557" s="781"/>
      <c r="S557" s="781"/>
      <c r="T557" s="781"/>
      <c r="U557" s="781"/>
      <c r="V557" s="781"/>
      <c r="W557" s="781"/>
      <c r="X557" s="781"/>
      <c r="Y557" s="781"/>
      <c r="Z557" s="781"/>
      <c r="AA557" s="781"/>
      <c r="AB557" s="781"/>
      <c r="AC557" s="781"/>
      <c r="AD557" s="781"/>
      <c r="AE557" s="781"/>
      <c r="AF557" s="781"/>
      <c r="AG557" s="781"/>
      <c r="AH557" s="781"/>
      <c r="AI557" s="781"/>
      <c r="AJ557" s="781"/>
      <c r="AK557" s="781"/>
      <c r="AL557" s="781"/>
      <c r="AM557" s="781"/>
      <c r="AN557" s="781"/>
      <c r="AO557" s="781"/>
      <c r="AP557" s="781"/>
      <c r="AQ557" s="781"/>
      <c r="AR557" s="781"/>
      <c r="AS557" s="781"/>
      <c r="AT557" s="781"/>
      <c r="AU557" s="781"/>
    </row>
    <row r="558" ht="15.75" customHeight="1">
      <c r="A558" s="782">
        <v>44455.0</v>
      </c>
      <c r="B558" s="787" t="s">
        <v>6447</v>
      </c>
      <c r="C558" s="772" t="s">
        <v>3820</v>
      </c>
      <c r="D558" s="772" t="s">
        <v>6345</v>
      </c>
      <c r="E558" s="784">
        <v>0.0</v>
      </c>
      <c r="F558" s="772" t="s">
        <v>4793</v>
      </c>
      <c r="G558" s="772" t="s">
        <v>18</v>
      </c>
      <c r="H558" s="772" t="s">
        <v>29</v>
      </c>
      <c r="I558" s="772" t="s">
        <v>3827</v>
      </c>
      <c r="J558" s="782">
        <v>44384.0</v>
      </c>
      <c r="K558" s="789" t="s">
        <v>3834</v>
      </c>
      <c r="L558" s="781"/>
      <c r="M558" s="781"/>
      <c r="N558" s="781"/>
      <c r="O558" s="781"/>
      <c r="P558" s="781"/>
      <c r="Q558" s="781"/>
      <c r="R558" s="781"/>
      <c r="S558" s="781"/>
      <c r="T558" s="781"/>
      <c r="U558" s="781"/>
      <c r="V558" s="781"/>
      <c r="W558" s="781"/>
      <c r="X558" s="781"/>
      <c r="Y558" s="781"/>
      <c r="Z558" s="781"/>
      <c r="AA558" s="781"/>
      <c r="AB558" s="781"/>
      <c r="AC558" s="781"/>
      <c r="AD558" s="781"/>
      <c r="AE558" s="781"/>
      <c r="AF558" s="781"/>
      <c r="AG558" s="781"/>
      <c r="AH558" s="781"/>
      <c r="AI558" s="781"/>
      <c r="AJ558" s="781"/>
      <c r="AK558" s="781"/>
      <c r="AL558" s="781"/>
      <c r="AM558" s="781"/>
      <c r="AN558" s="781"/>
      <c r="AO558" s="781"/>
      <c r="AP558" s="781"/>
      <c r="AQ558" s="781"/>
      <c r="AR558" s="781"/>
      <c r="AS558" s="781"/>
      <c r="AT558" s="781"/>
      <c r="AU558" s="781"/>
    </row>
    <row r="559" ht="15.75" customHeight="1">
      <c r="A559" s="795">
        <v>44456.0</v>
      </c>
      <c r="B559" s="787" t="s">
        <v>2982</v>
      </c>
      <c r="C559" s="797" t="s">
        <v>2547</v>
      </c>
      <c r="D559" s="772" t="s">
        <v>6346</v>
      </c>
      <c r="E559" s="821">
        <v>7500.0</v>
      </c>
      <c r="F559" s="772" t="s">
        <v>2981</v>
      </c>
      <c r="G559" s="782" t="s">
        <v>2550</v>
      </c>
      <c r="H559" s="782" t="s">
        <v>29</v>
      </c>
      <c r="I559" s="782" t="s">
        <v>2551</v>
      </c>
      <c r="J559" s="782">
        <v>43703.0</v>
      </c>
      <c r="K559" s="785" t="s">
        <v>4206</v>
      </c>
      <c r="L559" s="781"/>
      <c r="M559" s="781"/>
      <c r="N559" s="781"/>
      <c r="O559" s="781"/>
      <c r="P559" s="781"/>
      <c r="Q559" s="781"/>
      <c r="R559" s="781"/>
      <c r="S559" s="781"/>
      <c r="T559" s="781"/>
      <c r="U559" s="781"/>
      <c r="V559" s="781"/>
      <c r="W559" s="781"/>
      <c r="X559" s="781"/>
      <c r="Y559" s="781"/>
      <c r="Z559" s="781"/>
      <c r="AA559" s="781"/>
      <c r="AB559" s="781"/>
      <c r="AC559" s="781"/>
      <c r="AD559" s="781"/>
      <c r="AE559" s="781"/>
      <c r="AF559" s="781"/>
      <c r="AG559" s="781"/>
      <c r="AH559" s="781"/>
      <c r="AI559" s="781"/>
      <c r="AJ559" s="781"/>
      <c r="AK559" s="781"/>
      <c r="AL559" s="781"/>
      <c r="AM559" s="781"/>
      <c r="AN559" s="781"/>
      <c r="AO559" s="781"/>
      <c r="AP559" s="781"/>
      <c r="AQ559" s="781"/>
      <c r="AR559" s="781"/>
      <c r="AS559" s="781"/>
      <c r="AT559" s="781"/>
      <c r="AU559" s="781"/>
    </row>
    <row r="560" ht="15.75" customHeight="1">
      <c r="A560" s="782">
        <v>44456.0</v>
      </c>
      <c r="B560" s="783" t="s">
        <v>6448</v>
      </c>
      <c r="C560" s="772" t="s">
        <v>3820</v>
      </c>
      <c r="D560" s="772" t="s">
        <v>6345</v>
      </c>
      <c r="E560" s="784">
        <v>0.0</v>
      </c>
      <c r="F560" s="772" t="s">
        <v>3826</v>
      </c>
      <c r="G560" s="772" t="s">
        <v>18</v>
      </c>
      <c r="H560" s="772" t="s">
        <v>29</v>
      </c>
      <c r="I560" s="772" t="s">
        <v>3827</v>
      </c>
      <c r="J560" s="782">
        <v>44186.0</v>
      </c>
      <c r="K560" s="789" t="s">
        <v>3828</v>
      </c>
      <c r="L560" s="781"/>
      <c r="M560" s="781"/>
      <c r="N560" s="781"/>
      <c r="O560" s="781"/>
      <c r="P560" s="781"/>
      <c r="Q560" s="781"/>
      <c r="R560" s="781"/>
      <c r="S560" s="781"/>
      <c r="T560" s="781"/>
      <c r="U560" s="781"/>
      <c r="V560" s="781"/>
      <c r="W560" s="781"/>
      <c r="X560" s="781"/>
      <c r="Y560" s="781"/>
      <c r="Z560" s="781"/>
      <c r="AA560" s="781"/>
      <c r="AB560" s="781"/>
      <c r="AC560" s="781"/>
      <c r="AD560" s="781"/>
      <c r="AE560" s="781"/>
      <c r="AF560" s="781"/>
      <c r="AG560" s="781"/>
      <c r="AH560" s="781"/>
      <c r="AI560" s="781"/>
      <c r="AJ560" s="781"/>
      <c r="AK560" s="781"/>
      <c r="AL560" s="781"/>
      <c r="AM560" s="781"/>
      <c r="AN560" s="781"/>
      <c r="AO560" s="781"/>
      <c r="AP560" s="781"/>
      <c r="AQ560" s="781"/>
      <c r="AR560" s="781"/>
      <c r="AS560" s="781"/>
      <c r="AT560" s="781"/>
      <c r="AU560" s="781"/>
    </row>
    <row r="561" ht="15.75" customHeight="1">
      <c r="A561" s="782">
        <v>44456.0</v>
      </c>
      <c r="B561" s="783" t="s">
        <v>6449</v>
      </c>
      <c r="C561" s="772" t="s">
        <v>3820</v>
      </c>
      <c r="D561" s="772" t="s">
        <v>6345</v>
      </c>
      <c r="E561" s="784">
        <v>0.0</v>
      </c>
      <c r="F561" s="772" t="s">
        <v>4625</v>
      </c>
      <c r="G561" s="772" t="s">
        <v>18</v>
      </c>
      <c r="H561" s="772" t="s">
        <v>29</v>
      </c>
      <c r="I561" s="772" t="s">
        <v>3827</v>
      </c>
      <c r="J561" s="782">
        <v>44456.0</v>
      </c>
      <c r="K561" s="789" t="s">
        <v>3869</v>
      </c>
      <c r="L561" s="781"/>
      <c r="M561" s="781"/>
      <c r="N561" s="781"/>
      <c r="O561" s="781"/>
      <c r="P561" s="781"/>
      <c r="Q561" s="781"/>
      <c r="R561" s="781"/>
      <c r="S561" s="781"/>
      <c r="T561" s="781"/>
      <c r="U561" s="781"/>
      <c r="V561" s="781"/>
      <c r="W561" s="781"/>
      <c r="X561" s="781"/>
      <c r="Y561" s="781"/>
      <c r="Z561" s="781"/>
      <c r="AA561" s="781"/>
      <c r="AB561" s="781"/>
      <c r="AC561" s="781"/>
      <c r="AD561" s="781"/>
      <c r="AE561" s="781"/>
      <c r="AF561" s="781"/>
      <c r="AG561" s="781"/>
      <c r="AH561" s="781"/>
      <c r="AI561" s="781"/>
      <c r="AJ561" s="781"/>
      <c r="AK561" s="781"/>
      <c r="AL561" s="781"/>
      <c r="AM561" s="781"/>
      <c r="AN561" s="781"/>
      <c r="AO561" s="781"/>
      <c r="AP561" s="781"/>
      <c r="AQ561" s="781"/>
      <c r="AR561" s="781"/>
      <c r="AS561" s="781"/>
      <c r="AT561" s="781"/>
      <c r="AU561" s="781"/>
    </row>
    <row r="562" ht="15.75" customHeight="1">
      <c r="A562" s="795">
        <v>44459.0</v>
      </c>
      <c r="B562" s="787" t="s">
        <v>3048</v>
      </c>
      <c r="C562" s="797" t="s">
        <v>2547</v>
      </c>
      <c r="D562" s="772" t="s">
        <v>6346</v>
      </c>
      <c r="E562" s="799">
        <v>159337.69</v>
      </c>
      <c r="F562" s="772" t="s">
        <v>1242</v>
      </c>
      <c r="G562" s="782" t="s">
        <v>18</v>
      </c>
      <c r="H562" s="782" t="s">
        <v>176</v>
      </c>
      <c r="I562" s="782" t="s">
        <v>177</v>
      </c>
      <c r="J562" s="782">
        <v>44280.0</v>
      </c>
      <c r="K562" s="785" t="s">
        <v>3834</v>
      </c>
      <c r="L562" s="781"/>
      <c r="M562" s="781"/>
      <c r="N562" s="781"/>
      <c r="O562" s="781"/>
      <c r="P562" s="781"/>
      <c r="Q562" s="781"/>
      <c r="R562" s="781"/>
      <c r="S562" s="781"/>
      <c r="T562" s="781"/>
      <c r="U562" s="781"/>
      <c r="V562" s="781"/>
      <c r="W562" s="781"/>
      <c r="X562" s="781"/>
      <c r="Y562" s="781"/>
      <c r="Z562" s="781"/>
      <c r="AA562" s="781"/>
      <c r="AB562" s="781"/>
      <c r="AC562" s="781"/>
      <c r="AD562" s="781"/>
      <c r="AE562" s="781"/>
      <c r="AF562" s="781"/>
      <c r="AG562" s="781"/>
      <c r="AH562" s="781"/>
      <c r="AI562" s="781"/>
      <c r="AJ562" s="781"/>
      <c r="AK562" s="781"/>
      <c r="AL562" s="781"/>
      <c r="AM562" s="781"/>
      <c r="AN562" s="781"/>
      <c r="AO562" s="781"/>
      <c r="AP562" s="781"/>
      <c r="AQ562" s="781"/>
      <c r="AR562" s="781"/>
      <c r="AS562" s="781"/>
      <c r="AT562" s="781"/>
      <c r="AU562" s="781"/>
    </row>
    <row r="563" ht="15.75" customHeight="1">
      <c r="A563" s="795">
        <v>44459.0</v>
      </c>
      <c r="B563" s="787" t="s">
        <v>2975</v>
      </c>
      <c r="C563" s="797" t="s">
        <v>2547</v>
      </c>
      <c r="D563" s="772" t="s">
        <v>6346</v>
      </c>
      <c r="E563" s="821">
        <v>20000.0</v>
      </c>
      <c r="F563" s="772" t="s">
        <v>2974</v>
      </c>
      <c r="G563" s="782" t="s">
        <v>18</v>
      </c>
      <c r="H563" s="782" t="s">
        <v>176</v>
      </c>
      <c r="I563" s="782" t="s">
        <v>197</v>
      </c>
      <c r="J563" s="782">
        <v>44319.0</v>
      </c>
      <c r="K563" s="785" t="s">
        <v>3824</v>
      </c>
      <c r="L563" s="781"/>
      <c r="M563" s="781"/>
      <c r="N563" s="781"/>
      <c r="O563" s="781"/>
      <c r="P563" s="781"/>
      <c r="Q563" s="781"/>
      <c r="R563" s="781"/>
      <c r="S563" s="781"/>
      <c r="T563" s="781"/>
      <c r="U563" s="781"/>
      <c r="V563" s="781"/>
      <c r="W563" s="781"/>
      <c r="X563" s="781"/>
      <c r="Y563" s="781"/>
      <c r="Z563" s="781"/>
      <c r="AA563" s="781"/>
      <c r="AB563" s="781"/>
      <c r="AC563" s="781"/>
      <c r="AD563" s="781"/>
      <c r="AE563" s="781"/>
      <c r="AF563" s="781"/>
      <c r="AG563" s="781"/>
      <c r="AH563" s="781"/>
      <c r="AI563" s="781"/>
      <c r="AJ563" s="781"/>
      <c r="AK563" s="781"/>
      <c r="AL563" s="781"/>
      <c r="AM563" s="781"/>
      <c r="AN563" s="781"/>
      <c r="AO563" s="781"/>
      <c r="AP563" s="781"/>
      <c r="AQ563" s="781"/>
      <c r="AR563" s="781"/>
      <c r="AS563" s="781"/>
      <c r="AT563" s="781"/>
      <c r="AU563" s="781"/>
    </row>
    <row r="564" ht="15.75" customHeight="1">
      <c r="A564" s="795">
        <v>44459.0</v>
      </c>
      <c r="B564" s="787" t="s">
        <v>2816</v>
      </c>
      <c r="C564" s="797" t="s">
        <v>2547</v>
      </c>
      <c r="D564" s="772" t="s">
        <v>6346</v>
      </c>
      <c r="E564" s="821">
        <v>271802.72</v>
      </c>
      <c r="F564" s="772" t="s">
        <v>2815</v>
      </c>
      <c r="G564" s="782" t="s">
        <v>18</v>
      </c>
      <c r="H564" s="782" t="s">
        <v>176</v>
      </c>
      <c r="I564" s="782" t="s">
        <v>177</v>
      </c>
      <c r="J564" s="782">
        <v>44328.0</v>
      </c>
      <c r="K564" s="785" t="s">
        <v>3828</v>
      </c>
      <c r="L564" s="781"/>
      <c r="M564" s="781"/>
      <c r="N564" s="781"/>
      <c r="O564" s="781"/>
      <c r="P564" s="781"/>
      <c r="Q564" s="781"/>
      <c r="R564" s="781"/>
      <c r="S564" s="781"/>
      <c r="T564" s="781"/>
      <c r="U564" s="781"/>
      <c r="V564" s="781"/>
      <c r="W564" s="781"/>
      <c r="X564" s="781"/>
      <c r="Y564" s="781"/>
      <c r="Z564" s="781"/>
      <c r="AA564" s="781"/>
      <c r="AB564" s="781"/>
      <c r="AC564" s="781"/>
      <c r="AD564" s="781"/>
      <c r="AE564" s="781"/>
      <c r="AF564" s="781"/>
      <c r="AG564" s="781"/>
      <c r="AH564" s="781"/>
      <c r="AI564" s="781"/>
      <c r="AJ564" s="781"/>
      <c r="AK564" s="781"/>
      <c r="AL564" s="781"/>
      <c r="AM564" s="781"/>
      <c r="AN564" s="781"/>
      <c r="AO564" s="781"/>
      <c r="AP564" s="781"/>
      <c r="AQ564" s="781"/>
      <c r="AR564" s="781"/>
      <c r="AS564" s="781"/>
      <c r="AT564" s="781"/>
      <c r="AU564" s="781"/>
    </row>
    <row r="565" ht="15.75" customHeight="1">
      <c r="A565" s="819">
        <v>44459.0</v>
      </c>
      <c r="B565" s="787" t="s">
        <v>6414</v>
      </c>
      <c r="C565" s="772" t="s">
        <v>3820</v>
      </c>
      <c r="D565" s="772" t="s">
        <v>6345</v>
      </c>
      <c r="E565" s="784">
        <v>0.0</v>
      </c>
      <c r="F565" s="772" t="s">
        <v>4366</v>
      </c>
      <c r="G565" s="772" t="s">
        <v>18</v>
      </c>
      <c r="H565" s="772" t="s">
        <v>29</v>
      </c>
      <c r="I565" s="772" t="s">
        <v>3708</v>
      </c>
      <c r="J565" s="782"/>
      <c r="K565" s="789" t="s">
        <v>3840</v>
      </c>
      <c r="L565" s="781"/>
      <c r="M565" s="781"/>
      <c r="N565" s="781"/>
      <c r="O565" s="781"/>
      <c r="P565" s="781"/>
      <c r="Q565" s="781"/>
      <c r="R565" s="781"/>
      <c r="S565" s="781"/>
      <c r="T565" s="781"/>
      <c r="U565" s="781"/>
      <c r="V565" s="781"/>
      <c r="W565" s="781"/>
      <c r="X565" s="781"/>
      <c r="Y565" s="781"/>
      <c r="Z565" s="781"/>
      <c r="AA565" s="781"/>
      <c r="AB565" s="781"/>
      <c r="AC565" s="781"/>
      <c r="AD565" s="781"/>
      <c r="AE565" s="781"/>
      <c r="AF565" s="781"/>
      <c r="AG565" s="781"/>
      <c r="AH565" s="781"/>
      <c r="AI565" s="781"/>
      <c r="AJ565" s="781"/>
      <c r="AK565" s="781"/>
      <c r="AL565" s="781"/>
      <c r="AM565" s="781"/>
      <c r="AN565" s="781"/>
      <c r="AO565" s="781"/>
      <c r="AP565" s="781"/>
      <c r="AQ565" s="781"/>
      <c r="AR565" s="781"/>
      <c r="AS565" s="781"/>
      <c r="AT565" s="781"/>
      <c r="AU565" s="781"/>
    </row>
    <row r="566" ht="15.75" customHeight="1">
      <c r="A566" s="795">
        <v>44460.0</v>
      </c>
      <c r="B566" s="787" t="s">
        <v>2627</v>
      </c>
      <c r="C566" s="797" t="s">
        <v>2547</v>
      </c>
      <c r="D566" s="772" t="s">
        <v>6346</v>
      </c>
      <c r="E566" s="821">
        <v>100000.0</v>
      </c>
      <c r="F566" s="772" t="s">
        <v>245</v>
      </c>
      <c r="G566" s="782" t="s">
        <v>18</v>
      </c>
      <c r="H566" s="782" t="s">
        <v>176</v>
      </c>
      <c r="I566" s="782" t="s">
        <v>177</v>
      </c>
      <c r="J566" s="782">
        <v>44266.0</v>
      </c>
      <c r="K566" s="785" t="s">
        <v>3824</v>
      </c>
      <c r="L566" s="781"/>
      <c r="M566" s="781"/>
      <c r="N566" s="781"/>
      <c r="O566" s="781"/>
      <c r="P566" s="781"/>
      <c r="Q566" s="781"/>
      <c r="R566" s="781"/>
      <c r="S566" s="781"/>
      <c r="T566" s="781"/>
      <c r="U566" s="781"/>
      <c r="V566" s="781"/>
      <c r="W566" s="781"/>
      <c r="X566" s="781"/>
      <c r="Y566" s="781"/>
      <c r="Z566" s="781"/>
      <c r="AA566" s="781"/>
      <c r="AB566" s="781"/>
      <c r="AC566" s="781"/>
      <c r="AD566" s="781"/>
      <c r="AE566" s="781"/>
      <c r="AF566" s="781"/>
      <c r="AG566" s="781"/>
      <c r="AH566" s="781"/>
      <c r="AI566" s="781"/>
      <c r="AJ566" s="781"/>
      <c r="AK566" s="781"/>
      <c r="AL566" s="781"/>
      <c r="AM566" s="781"/>
      <c r="AN566" s="781"/>
      <c r="AO566" s="781"/>
      <c r="AP566" s="781"/>
      <c r="AQ566" s="781"/>
      <c r="AR566" s="781"/>
      <c r="AS566" s="781"/>
      <c r="AT566" s="781"/>
      <c r="AU566" s="781"/>
    </row>
    <row r="567" ht="15.75" customHeight="1">
      <c r="A567" s="795">
        <v>44460.0</v>
      </c>
      <c r="B567" s="783" t="s">
        <v>6450</v>
      </c>
      <c r="C567" s="797" t="s">
        <v>3820</v>
      </c>
      <c r="D567" s="772" t="s">
        <v>1481</v>
      </c>
      <c r="E567" s="784">
        <v>157308.25</v>
      </c>
      <c r="F567" s="772" t="s">
        <v>5088</v>
      </c>
      <c r="G567" s="772" t="s">
        <v>2550</v>
      </c>
      <c r="H567" s="772" t="s">
        <v>29</v>
      </c>
      <c r="I567" s="772" t="s">
        <v>2550</v>
      </c>
      <c r="J567" s="782">
        <v>44250.0</v>
      </c>
      <c r="K567" s="789" t="s">
        <v>3828</v>
      </c>
      <c r="L567" s="781"/>
      <c r="M567" s="781"/>
      <c r="N567" s="781"/>
      <c r="O567" s="781"/>
      <c r="P567" s="781"/>
      <c r="Q567" s="781"/>
      <c r="R567" s="781"/>
      <c r="S567" s="781"/>
      <c r="T567" s="781"/>
      <c r="U567" s="781"/>
      <c r="V567" s="781"/>
      <c r="W567" s="781"/>
      <c r="X567" s="781"/>
      <c r="Y567" s="781"/>
      <c r="Z567" s="781"/>
      <c r="AA567" s="781"/>
      <c r="AB567" s="781"/>
      <c r="AC567" s="781"/>
      <c r="AD567" s="781"/>
      <c r="AE567" s="781"/>
      <c r="AF567" s="781"/>
      <c r="AG567" s="781"/>
      <c r="AH567" s="781"/>
      <c r="AI567" s="781"/>
      <c r="AJ567" s="781"/>
      <c r="AK567" s="781"/>
      <c r="AL567" s="781"/>
      <c r="AM567" s="781"/>
      <c r="AN567" s="781"/>
      <c r="AO567" s="781"/>
      <c r="AP567" s="781"/>
      <c r="AQ567" s="781"/>
      <c r="AR567" s="781"/>
      <c r="AS567" s="781"/>
      <c r="AT567" s="781"/>
      <c r="AU567" s="781"/>
    </row>
    <row r="568" ht="15.75" customHeight="1">
      <c r="A568" s="819">
        <v>44460.0</v>
      </c>
      <c r="B568" s="783" t="s">
        <v>6451</v>
      </c>
      <c r="C568" s="772" t="s">
        <v>3820</v>
      </c>
      <c r="D568" s="772" t="s">
        <v>6345</v>
      </c>
      <c r="E568" s="784">
        <v>0.0</v>
      </c>
      <c r="F568" s="772" t="s">
        <v>5371</v>
      </c>
      <c r="G568" s="772" t="s">
        <v>18</v>
      </c>
      <c r="H568" s="772" t="s">
        <v>29</v>
      </c>
      <c r="I568" s="772" t="s">
        <v>3827</v>
      </c>
      <c r="J568" s="782">
        <v>44088.0</v>
      </c>
      <c r="K568" s="789" t="s">
        <v>3840</v>
      </c>
      <c r="L568" s="781"/>
      <c r="M568" s="781"/>
      <c r="N568" s="781"/>
      <c r="O568" s="781"/>
      <c r="P568" s="781"/>
      <c r="Q568" s="781"/>
      <c r="R568" s="781"/>
      <c r="S568" s="781"/>
      <c r="T568" s="781"/>
      <c r="U568" s="781"/>
      <c r="V568" s="781"/>
      <c r="W568" s="781"/>
      <c r="X568" s="781"/>
      <c r="Y568" s="781"/>
      <c r="Z568" s="781"/>
      <c r="AA568" s="781"/>
      <c r="AB568" s="781"/>
      <c r="AC568" s="781"/>
      <c r="AD568" s="781"/>
      <c r="AE568" s="781"/>
      <c r="AF568" s="781"/>
      <c r="AG568" s="781"/>
      <c r="AH568" s="781"/>
      <c r="AI568" s="781"/>
      <c r="AJ568" s="781"/>
      <c r="AK568" s="781"/>
      <c r="AL568" s="781"/>
      <c r="AM568" s="781"/>
      <c r="AN568" s="781"/>
      <c r="AO568" s="781"/>
      <c r="AP568" s="781"/>
      <c r="AQ568" s="781"/>
      <c r="AR568" s="781"/>
      <c r="AS568" s="781"/>
      <c r="AT568" s="781"/>
      <c r="AU568" s="781"/>
    </row>
    <row r="569" ht="15.75" customHeight="1">
      <c r="A569" s="795">
        <v>44461.0</v>
      </c>
      <c r="B569" s="787" t="s">
        <v>3649</v>
      </c>
      <c r="C569" s="797" t="s">
        <v>3632</v>
      </c>
      <c r="D569" s="772" t="s">
        <v>6346</v>
      </c>
      <c r="E569" s="821">
        <v>50000.0</v>
      </c>
      <c r="F569" s="772" t="s">
        <v>430</v>
      </c>
      <c r="G569" s="782" t="s">
        <v>18</v>
      </c>
      <c r="H569" s="782" t="s">
        <v>29</v>
      </c>
      <c r="I569" s="782" t="s">
        <v>2803</v>
      </c>
      <c r="J569" s="782">
        <v>43934.0</v>
      </c>
      <c r="K569" s="785" t="s">
        <v>3824</v>
      </c>
      <c r="L569" s="781"/>
      <c r="M569" s="781"/>
      <c r="N569" s="781"/>
      <c r="O569" s="781"/>
      <c r="P569" s="781"/>
      <c r="Q569" s="781"/>
      <c r="R569" s="781"/>
      <c r="S569" s="781"/>
      <c r="T569" s="781"/>
      <c r="U569" s="781"/>
      <c r="V569" s="781"/>
      <c r="W569" s="781"/>
      <c r="X569" s="781"/>
      <c r="Y569" s="781"/>
      <c r="Z569" s="781"/>
      <c r="AA569" s="781"/>
      <c r="AB569" s="781"/>
      <c r="AC569" s="781"/>
      <c r="AD569" s="781"/>
      <c r="AE569" s="781"/>
      <c r="AF569" s="781"/>
      <c r="AG569" s="781"/>
      <c r="AH569" s="781"/>
      <c r="AI569" s="781"/>
      <c r="AJ569" s="781"/>
      <c r="AK569" s="781"/>
      <c r="AL569" s="781"/>
      <c r="AM569" s="781"/>
      <c r="AN569" s="781"/>
      <c r="AO569" s="781"/>
      <c r="AP569" s="781"/>
      <c r="AQ569" s="781"/>
      <c r="AR569" s="781"/>
      <c r="AS569" s="781"/>
      <c r="AT569" s="781"/>
      <c r="AU569" s="781"/>
    </row>
    <row r="570" ht="15.75" customHeight="1">
      <c r="A570" s="795">
        <v>44461.0</v>
      </c>
      <c r="B570" s="787" t="s">
        <v>3046</v>
      </c>
      <c r="C570" s="797" t="s">
        <v>2547</v>
      </c>
      <c r="D570" s="772" t="s">
        <v>6346</v>
      </c>
      <c r="E570" s="821">
        <v>30000.0</v>
      </c>
      <c r="F570" s="772" t="s">
        <v>3045</v>
      </c>
      <c r="G570" s="782" t="s">
        <v>18</v>
      </c>
      <c r="H570" s="782" t="s">
        <v>176</v>
      </c>
      <c r="I570" s="782" t="s">
        <v>177</v>
      </c>
      <c r="J570" s="782">
        <v>44319.0</v>
      </c>
      <c r="K570" s="785" t="s">
        <v>3828</v>
      </c>
      <c r="L570" s="781"/>
      <c r="M570" s="781"/>
      <c r="N570" s="781"/>
      <c r="O570" s="781"/>
      <c r="P570" s="781"/>
      <c r="Q570" s="781"/>
      <c r="R570" s="781"/>
      <c r="S570" s="781"/>
      <c r="T570" s="781"/>
      <c r="U570" s="781"/>
      <c r="V570" s="781"/>
      <c r="W570" s="781"/>
      <c r="X570" s="781"/>
      <c r="Y570" s="781"/>
      <c r="Z570" s="781"/>
      <c r="AA570" s="781"/>
      <c r="AB570" s="781"/>
      <c r="AC570" s="781"/>
      <c r="AD570" s="781"/>
      <c r="AE570" s="781"/>
      <c r="AF570" s="781"/>
      <c r="AG570" s="781"/>
      <c r="AH570" s="781"/>
      <c r="AI570" s="781"/>
      <c r="AJ570" s="781"/>
      <c r="AK570" s="781"/>
      <c r="AL570" s="781"/>
      <c r="AM570" s="781"/>
      <c r="AN570" s="781"/>
      <c r="AO570" s="781"/>
      <c r="AP570" s="781"/>
      <c r="AQ570" s="781"/>
      <c r="AR570" s="781"/>
      <c r="AS570" s="781"/>
      <c r="AT570" s="781"/>
      <c r="AU570" s="781"/>
    </row>
    <row r="571" ht="15.75" customHeight="1">
      <c r="A571" s="795">
        <v>44462.0</v>
      </c>
      <c r="B571" s="783" t="s">
        <v>6384</v>
      </c>
      <c r="C571" s="797" t="s">
        <v>3820</v>
      </c>
      <c r="D571" s="772" t="s">
        <v>6346</v>
      </c>
      <c r="E571" s="821">
        <v>20000.0</v>
      </c>
      <c r="F571" s="772" t="s">
        <v>5098</v>
      </c>
      <c r="G571" s="772" t="s">
        <v>105</v>
      </c>
      <c r="H571" s="772" t="s">
        <v>29</v>
      </c>
      <c r="I571" s="772" t="s">
        <v>4486</v>
      </c>
      <c r="J571" s="782">
        <v>44180.0</v>
      </c>
      <c r="K571" s="789" t="s">
        <v>3828</v>
      </c>
      <c r="L571" s="781"/>
      <c r="M571" s="781"/>
      <c r="N571" s="781"/>
      <c r="O571" s="781"/>
      <c r="P571" s="781"/>
      <c r="Q571" s="781"/>
      <c r="R571" s="781"/>
      <c r="S571" s="781"/>
      <c r="T571" s="781"/>
      <c r="U571" s="781"/>
      <c r="V571" s="781"/>
      <c r="W571" s="781"/>
      <c r="X571" s="781"/>
      <c r="Y571" s="781"/>
      <c r="Z571" s="781"/>
      <c r="AA571" s="781"/>
      <c r="AB571" s="781"/>
      <c r="AC571" s="781"/>
      <c r="AD571" s="781"/>
      <c r="AE571" s="781"/>
      <c r="AF571" s="781"/>
      <c r="AG571" s="781"/>
      <c r="AH571" s="781"/>
      <c r="AI571" s="781"/>
      <c r="AJ571" s="781"/>
      <c r="AK571" s="781"/>
      <c r="AL571" s="781"/>
      <c r="AM571" s="781"/>
      <c r="AN571" s="781"/>
      <c r="AO571" s="781"/>
      <c r="AP571" s="781"/>
      <c r="AQ571" s="781"/>
      <c r="AR571" s="781"/>
      <c r="AS571" s="781"/>
      <c r="AT571" s="781"/>
      <c r="AU571" s="781"/>
    </row>
    <row r="572" ht="15.75" customHeight="1">
      <c r="A572" s="795">
        <v>44462.0</v>
      </c>
      <c r="B572" s="783" t="s">
        <v>2687</v>
      </c>
      <c r="C572" s="797" t="s">
        <v>2547</v>
      </c>
      <c r="D572" s="772" t="s">
        <v>1481</v>
      </c>
      <c r="E572" s="821">
        <v>1421504.0</v>
      </c>
      <c r="F572" s="772" t="s">
        <v>2686</v>
      </c>
      <c r="G572" s="782" t="s">
        <v>18</v>
      </c>
      <c r="H572" s="782" t="s">
        <v>176</v>
      </c>
      <c r="I572" s="782" t="s">
        <v>177</v>
      </c>
      <c r="J572" s="782">
        <v>44280.0</v>
      </c>
      <c r="K572" s="785" t="s">
        <v>3840</v>
      </c>
      <c r="L572" s="781"/>
      <c r="M572" s="781"/>
      <c r="N572" s="781"/>
      <c r="O572" s="781"/>
      <c r="P572" s="781"/>
      <c r="Q572" s="781"/>
      <c r="R572" s="781"/>
      <c r="S572" s="781"/>
      <c r="T572" s="781"/>
      <c r="U572" s="781"/>
      <c r="V572" s="781"/>
      <c r="W572" s="781"/>
      <c r="X572" s="781"/>
      <c r="Y572" s="781"/>
      <c r="Z572" s="781"/>
      <c r="AA572" s="781"/>
      <c r="AB572" s="781"/>
      <c r="AC572" s="781"/>
      <c r="AD572" s="781"/>
      <c r="AE572" s="781"/>
      <c r="AF572" s="781"/>
      <c r="AG572" s="781"/>
      <c r="AH572" s="781"/>
      <c r="AI572" s="781"/>
      <c r="AJ572" s="781"/>
      <c r="AK572" s="781"/>
      <c r="AL572" s="781"/>
      <c r="AM572" s="781"/>
      <c r="AN572" s="781"/>
      <c r="AO572" s="781"/>
      <c r="AP572" s="781"/>
      <c r="AQ572" s="781"/>
      <c r="AR572" s="781"/>
      <c r="AS572" s="781"/>
      <c r="AT572" s="781"/>
      <c r="AU572" s="781"/>
    </row>
    <row r="573" ht="15.75" customHeight="1">
      <c r="A573" s="795">
        <v>44463.0</v>
      </c>
      <c r="B573" s="822" t="s">
        <v>2985</v>
      </c>
      <c r="C573" s="797" t="s">
        <v>2547</v>
      </c>
      <c r="D573" s="772" t="s">
        <v>6346</v>
      </c>
      <c r="E573" s="821">
        <v>8000.0</v>
      </c>
      <c r="F573" s="772" t="s">
        <v>2981</v>
      </c>
      <c r="G573" s="782" t="s">
        <v>2550</v>
      </c>
      <c r="H573" s="782" t="s">
        <v>29</v>
      </c>
      <c r="I573" s="782" t="s">
        <v>2551</v>
      </c>
      <c r="J573" s="782">
        <v>43704.0</v>
      </c>
      <c r="K573" s="785" t="s">
        <v>3836</v>
      </c>
      <c r="L573" s="781"/>
      <c r="M573" s="781"/>
      <c r="N573" s="781"/>
      <c r="O573" s="781"/>
      <c r="P573" s="781"/>
      <c r="Q573" s="781"/>
      <c r="R573" s="781"/>
      <c r="S573" s="781"/>
      <c r="T573" s="781"/>
      <c r="U573" s="781"/>
      <c r="V573" s="781"/>
      <c r="W573" s="781"/>
      <c r="X573" s="781"/>
      <c r="Y573" s="781"/>
      <c r="Z573" s="781"/>
      <c r="AA573" s="781"/>
      <c r="AB573" s="781"/>
      <c r="AC573" s="781"/>
      <c r="AD573" s="781"/>
      <c r="AE573" s="781"/>
      <c r="AF573" s="781"/>
      <c r="AG573" s="781"/>
      <c r="AH573" s="781"/>
      <c r="AI573" s="781"/>
      <c r="AJ573" s="781"/>
      <c r="AK573" s="781"/>
      <c r="AL573" s="781"/>
      <c r="AM573" s="781"/>
      <c r="AN573" s="781"/>
      <c r="AO573" s="781"/>
      <c r="AP573" s="781"/>
      <c r="AQ573" s="781"/>
      <c r="AR573" s="781"/>
      <c r="AS573" s="781"/>
      <c r="AT573" s="781"/>
      <c r="AU573" s="781"/>
    </row>
    <row r="574" ht="15.75" customHeight="1">
      <c r="A574" s="795">
        <v>44463.0</v>
      </c>
      <c r="B574" s="822" t="s">
        <v>3216</v>
      </c>
      <c r="C574" s="797" t="s">
        <v>2547</v>
      </c>
      <c r="D574" s="772" t="s">
        <v>6346</v>
      </c>
      <c r="E574" s="821">
        <v>20000.0</v>
      </c>
      <c r="F574" s="772" t="s">
        <v>3215</v>
      </c>
      <c r="G574" s="782" t="s">
        <v>18</v>
      </c>
      <c r="H574" s="782" t="s">
        <v>176</v>
      </c>
      <c r="I574" s="782" t="s">
        <v>197</v>
      </c>
      <c r="J574" s="782">
        <v>44322.0</v>
      </c>
      <c r="K574" s="785" t="s">
        <v>3828</v>
      </c>
      <c r="L574" s="781"/>
      <c r="M574" s="781"/>
      <c r="N574" s="781"/>
      <c r="O574" s="781"/>
      <c r="P574" s="781"/>
      <c r="Q574" s="781"/>
      <c r="R574" s="781"/>
      <c r="S574" s="781"/>
      <c r="T574" s="781"/>
      <c r="U574" s="781"/>
      <c r="V574" s="781"/>
      <c r="W574" s="781"/>
      <c r="X574" s="781"/>
      <c r="Y574" s="781"/>
      <c r="Z574" s="781"/>
      <c r="AA574" s="781"/>
      <c r="AB574" s="781"/>
      <c r="AC574" s="781"/>
      <c r="AD574" s="781"/>
      <c r="AE574" s="781"/>
      <c r="AF574" s="781"/>
      <c r="AG574" s="781"/>
      <c r="AH574" s="781"/>
      <c r="AI574" s="781"/>
      <c r="AJ574" s="781"/>
      <c r="AK574" s="781"/>
      <c r="AL574" s="781"/>
      <c r="AM574" s="781"/>
      <c r="AN574" s="781"/>
      <c r="AO574" s="781"/>
      <c r="AP574" s="781"/>
      <c r="AQ574" s="781"/>
      <c r="AR574" s="781"/>
      <c r="AS574" s="781"/>
      <c r="AT574" s="781"/>
      <c r="AU574" s="781"/>
    </row>
    <row r="575" ht="15.75" customHeight="1">
      <c r="A575" s="795">
        <v>44463.0</v>
      </c>
      <c r="B575" s="787" t="s">
        <v>2627</v>
      </c>
      <c r="C575" s="797" t="s">
        <v>2547</v>
      </c>
      <c r="D575" s="772" t="s">
        <v>6346</v>
      </c>
      <c r="E575" s="821">
        <v>300000.0</v>
      </c>
      <c r="F575" s="772" t="s">
        <v>245</v>
      </c>
      <c r="G575" s="782" t="s">
        <v>18</v>
      </c>
      <c r="H575" s="782" t="s">
        <v>176</v>
      </c>
      <c r="I575" s="782" t="s">
        <v>177</v>
      </c>
      <c r="J575" s="782">
        <v>44266.0</v>
      </c>
      <c r="K575" s="785" t="s">
        <v>3824</v>
      </c>
      <c r="L575" s="781"/>
      <c r="M575" s="781"/>
      <c r="N575" s="781"/>
      <c r="O575" s="781"/>
      <c r="P575" s="781"/>
      <c r="Q575" s="781"/>
      <c r="R575" s="781"/>
      <c r="S575" s="781"/>
      <c r="T575" s="781"/>
      <c r="U575" s="781"/>
      <c r="V575" s="781"/>
      <c r="W575" s="781"/>
      <c r="X575" s="781"/>
      <c r="Y575" s="781"/>
      <c r="Z575" s="781"/>
      <c r="AA575" s="781"/>
      <c r="AB575" s="781"/>
      <c r="AC575" s="781"/>
      <c r="AD575" s="781"/>
      <c r="AE575" s="781"/>
      <c r="AF575" s="781"/>
      <c r="AG575" s="781"/>
      <c r="AH575" s="781"/>
      <c r="AI575" s="781"/>
      <c r="AJ575" s="781"/>
      <c r="AK575" s="781"/>
      <c r="AL575" s="781"/>
      <c r="AM575" s="781"/>
      <c r="AN575" s="781"/>
      <c r="AO575" s="781"/>
      <c r="AP575" s="781"/>
      <c r="AQ575" s="781"/>
      <c r="AR575" s="781"/>
      <c r="AS575" s="781"/>
      <c r="AT575" s="781"/>
      <c r="AU575" s="781"/>
    </row>
    <row r="576" ht="15.75" customHeight="1">
      <c r="A576" s="795">
        <v>44466.0</v>
      </c>
      <c r="B576" s="822" t="s">
        <v>3441</v>
      </c>
      <c r="C576" s="797" t="s">
        <v>2547</v>
      </c>
      <c r="D576" s="772" t="s">
        <v>6346</v>
      </c>
      <c r="E576" s="821">
        <v>10000.0</v>
      </c>
      <c r="F576" s="772" t="s">
        <v>3440</v>
      </c>
      <c r="G576" s="782" t="s">
        <v>18</v>
      </c>
      <c r="H576" s="782" t="s">
        <v>176</v>
      </c>
      <c r="I576" s="782" t="s">
        <v>197</v>
      </c>
      <c r="J576" s="782">
        <v>44319.0</v>
      </c>
      <c r="K576" s="785" t="s">
        <v>3828</v>
      </c>
      <c r="L576" s="781"/>
      <c r="M576" s="781"/>
      <c r="N576" s="781"/>
      <c r="O576" s="781"/>
      <c r="P576" s="781"/>
      <c r="Q576" s="781"/>
      <c r="R576" s="781"/>
      <c r="S576" s="781"/>
      <c r="T576" s="781"/>
      <c r="U576" s="781"/>
      <c r="V576" s="781"/>
      <c r="W576" s="781"/>
      <c r="X576" s="781"/>
      <c r="Y576" s="781"/>
      <c r="Z576" s="781"/>
      <c r="AA576" s="781"/>
      <c r="AB576" s="781"/>
      <c r="AC576" s="781"/>
      <c r="AD576" s="781"/>
      <c r="AE576" s="781"/>
      <c r="AF576" s="781"/>
      <c r="AG576" s="781"/>
      <c r="AH576" s="781"/>
      <c r="AI576" s="781"/>
      <c r="AJ576" s="781"/>
      <c r="AK576" s="781"/>
      <c r="AL576" s="781"/>
      <c r="AM576" s="781"/>
      <c r="AN576" s="781"/>
      <c r="AO576" s="781"/>
      <c r="AP576" s="781"/>
      <c r="AQ576" s="781"/>
      <c r="AR576" s="781"/>
      <c r="AS576" s="781"/>
      <c r="AT576" s="781"/>
      <c r="AU576" s="781"/>
    </row>
    <row r="577" ht="15.75" customHeight="1">
      <c r="A577" s="795">
        <v>44466.0</v>
      </c>
      <c r="B577" s="783" t="s">
        <v>3041</v>
      </c>
      <c r="C577" s="797" t="s">
        <v>2547</v>
      </c>
      <c r="D577" s="772" t="s">
        <v>6346</v>
      </c>
      <c r="E577" s="821">
        <v>12000.0</v>
      </c>
      <c r="F577" s="772" t="s">
        <v>3040</v>
      </c>
      <c r="G577" s="782" t="s">
        <v>2550</v>
      </c>
      <c r="H577" s="782" t="s">
        <v>29</v>
      </c>
      <c r="I577" s="782" t="s">
        <v>2551</v>
      </c>
      <c r="J577" s="782">
        <v>43605.0</v>
      </c>
      <c r="K577" s="785" t="s">
        <v>3836</v>
      </c>
      <c r="L577" s="781"/>
      <c r="M577" s="781"/>
      <c r="N577" s="781"/>
      <c r="O577" s="781"/>
      <c r="P577" s="781"/>
      <c r="Q577" s="781"/>
      <c r="R577" s="781"/>
      <c r="S577" s="781"/>
      <c r="T577" s="781"/>
      <c r="U577" s="781"/>
      <c r="V577" s="781"/>
      <c r="W577" s="781"/>
      <c r="X577" s="781"/>
      <c r="Y577" s="781"/>
      <c r="Z577" s="781"/>
      <c r="AA577" s="781"/>
      <c r="AB577" s="781"/>
      <c r="AC577" s="781"/>
      <c r="AD577" s="781"/>
      <c r="AE577" s="781"/>
      <c r="AF577" s="781"/>
      <c r="AG577" s="781"/>
      <c r="AH577" s="781"/>
      <c r="AI577" s="781"/>
      <c r="AJ577" s="781"/>
      <c r="AK577" s="781"/>
      <c r="AL577" s="781"/>
      <c r="AM577" s="781"/>
      <c r="AN577" s="781"/>
      <c r="AO577" s="781"/>
      <c r="AP577" s="781"/>
      <c r="AQ577" s="781"/>
      <c r="AR577" s="781"/>
      <c r="AS577" s="781"/>
      <c r="AT577" s="781"/>
      <c r="AU577" s="781"/>
    </row>
    <row r="578" ht="15.75" customHeight="1">
      <c r="A578" s="795">
        <v>44466.0</v>
      </c>
      <c r="B578" s="822" t="s">
        <v>2833</v>
      </c>
      <c r="C578" s="797" t="s">
        <v>2547</v>
      </c>
      <c r="D578" s="772" t="s">
        <v>6346</v>
      </c>
      <c r="E578" s="821">
        <v>100000.0</v>
      </c>
      <c r="F578" s="772" t="s">
        <v>743</v>
      </c>
      <c r="G578" s="782" t="s">
        <v>18</v>
      </c>
      <c r="H578" s="782" t="s">
        <v>176</v>
      </c>
      <c r="I578" s="782" t="s">
        <v>2634</v>
      </c>
      <c r="J578" s="782">
        <v>44299.0</v>
      </c>
      <c r="K578" s="785" t="s">
        <v>3828</v>
      </c>
      <c r="L578" s="781"/>
      <c r="M578" s="781"/>
      <c r="N578" s="781"/>
      <c r="O578" s="781"/>
      <c r="P578" s="781"/>
      <c r="Q578" s="781"/>
      <c r="R578" s="781"/>
      <c r="S578" s="781"/>
      <c r="T578" s="781"/>
      <c r="U578" s="781"/>
      <c r="V578" s="781"/>
      <c r="W578" s="781"/>
      <c r="X578" s="781"/>
      <c r="Y578" s="781"/>
      <c r="Z578" s="781"/>
      <c r="AA578" s="781"/>
      <c r="AB578" s="781"/>
      <c r="AC578" s="781"/>
      <c r="AD578" s="781"/>
      <c r="AE578" s="781"/>
      <c r="AF578" s="781"/>
      <c r="AG578" s="781"/>
      <c r="AH578" s="781"/>
      <c r="AI578" s="781"/>
      <c r="AJ578" s="781"/>
      <c r="AK578" s="781"/>
      <c r="AL578" s="781"/>
      <c r="AM578" s="781"/>
      <c r="AN578" s="781"/>
      <c r="AO578" s="781"/>
      <c r="AP578" s="781"/>
      <c r="AQ578" s="781"/>
      <c r="AR578" s="781"/>
      <c r="AS578" s="781"/>
      <c r="AT578" s="781"/>
      <c r="AU578" s="781"/>
    </row>
    <row r="579" ht="15.75" customHeight="1">
      <c r="A579" s="819">
        <v>44467.0</v>
      </c>
      <c r="B579" s="823" t="s">
        <v>6452</v>
      </c>
      <c r="C579" s="772" t="s">
        <v>3820</v>
      </c>
      <c r="D579" s="772" t="s">
        <v>6345</v>
      </c>
      <c r="E579" s="784">
        <v>0.0</v>
      </c>
      <c r="F579" s="772" t="s">
        <v>4708</v>
      </c>
      <c r="G579" s="772" t="s">
        <v>105</v>
      </c>
      <c r="H579" s="772" t="s">
        <v>29</v>
      </c>
      <c r="I579" s="772" t="s">
        <v>6377</v>
      </c>
      <c r="J579" s="782">
        <v>44917.0</v>
      </c>
      <c r="K579" s="789" t="s">
        <v>3824</v>
      </c>
      <c r="L579" s="781"/>
      <c r="M579" s="781"/>
      <c r="N579" s="781"/>
      <c r="O579" s="781"/>
      <c r="P579" s="781"/>
      <c r="Q579" s="781"/>
      <c r="R579" s="781"/>
      <c r="S579" s="781"/>
      <c r="T579" s="781"/>
      <c r="U579" s="781"/>
      <c r="V579" s="781"/>
      <c r="W579" s="781"/>
      <c r="X579" s="781"/>
      <c r="Y579" s="781"/>
      <c r="Z579" s="781"/>
      <c r="AA579" s="781"/>
      <c r="AB579" s="781"/>
      <c r="AC579" s="781"/>
      <c r="AD579" s="781"/>
      <c r="AE579" s="781"/>
      <c r="AF579" s="781"/>
      <c r="AG579" s="781"/>
      <c r="AH579" s="781"/>
      <c r="AI579" s="781"/>
      <c r="AJ579" s="781"/>
      <c r="AK579" s="781"/>
      <c r="AL579" s="781"/>
      <c r="AM579" s="781"/>
      <c r="AN579" s="781"/>
      <c r="AO579" s="781"/>
      <c r="AP579" s="781"/>
      <c r="AQ579" s="781"/>
      <c r="AR579" s="781"/>
      <c r="AS579" s="781"/>
      <c r="AT579" s="781"/>
      <c r="AU579" s="781"/>
    </row>
    <row r="580" ht="15.75" customHeight="1">
      <c r="A580" s="795">
        <v>44468.0</v>
      </c>
      <c r="B580" s="822" t="s">
        <v>3325</v>
      </c>
      <c r="C580" s="797" t="s">
        <v>2547</v>
      </c>
      <c r="D580" s="772" t="s">
        <v>6346</v>
      </c>
      <c r="E580" s="821" t="s">
        <v>6453</v>
      </c>
      <c r="F580" s="772" t="s">
        <v>3324</v>
      </c>
      <c r="G580" s="782" t="s">
        <v>18</v>
      </c>
      <c r="H580" s="782" t="s">
        <v>176</v>
      </c>
      <c r="I580" s="782" t="s">
        <v>197</v>
      </c>
      <c r="J580" s="782">
        <v>44391.0</v>
      </c>
      <c r="K580" s="785" t="s">
        <v>3828</v>
      </c>
      <c r="L580" s="781"/>
      <c r="M580" s="781"/>
      <c r="N580" s="781"/>
      <c r="O580" s="781"/>
      <c r="P580" s="781"/>
      <c r="Q580" s="781"/>
      <c r="R580" s="781"/>
      <c r="S580" s="781"/>
      <c r="T580" s="781"/>
      <c r="U580" s="781"/>
      <c r="V580" s="781"/>
      <c r="W580" s="781"/>
      <c r="X580" s="781"/>
      <c r="Y580" s="781"/>
      <c r="Z580" s="781"/>
      <c r="AA580" s="781"/>
      <c r="AB580" s="781"/>
      <c r="AC580" s="781"/>
      <c r="AD580" s="781"/>
      <c r="AE580" s="781"/>
      <c r="AF580" s="781"/>
      <c r="AG580" s="781"/>
      <c r="AH580" s="781"/>
      <c r="AI580" s="781"/>
      <c r="AJ580" s="781"/>
      <c r="AK580" s="781"/>
      <c r="AL580" s="781"/>
      <c r="AM580" s="781"/>
      <c r="AN580" s="781"/>
      <c r="AO580" s="781"/>
      <c r="AP580" s="781"/>
      <c r="AQ580" s="781"/>
      <c r="AR580" s="781"/>
      <c r="AS580" s="781"/>
      <c r="AT580" s="781"/>
      <c r="AU580" s="781"/>
    </row>
    <row r="581" ht="15.75" customHeight="1">
      <c r="A581" s="795">
        <v>44468.0</v>
      </c>
      <c r="B581" s="822" t="s">
        <v>3012</v>
      </c>
      <c r="C581" s="797" t="s">
        <v>2547</v>
      </c>
      <c r="D581" s="772" t="s">
        <v>6346</v>
      </c>
      <c r="E581" s="821">
        <v>30000.0</v>
      </c>
      <c r="F581" s="772" t="s">
        <v>1182</v>
      </c>
      <c r="G581" s="782" t="s">
        <v>18</v>
      </c>
      <c r="H581" s="782" t="s">
        <v>176</v>
      </c>
      <c r="I581" s="782" t="s">
        <v>177</v>
      </c>
      <c r="J581" s="782">
        <v>44319.0</v>
      </c>
      <c r="K581" s="785" t="s">
        <v>3828</v>
      </c>
      <c r="L581" s="781"/>
      <c r="M581" s="781"/>
      <c r="N581" s="781"/>
      <c r="O581" s="781"/>
      <c r="P581" s="781"/>
      <c r="Q581" s="781"/>
      <c r="R581" s="781"/>
      <c r="S581" s="781"/>
      <c r="T581" s="781"/>
      <c r="U581" s="781"/>
      <c r="V581" s="781"/>
      <c r="W581" s="781"/>
      <c r="X581" s="781"/>
      <c r="Y581" s="781"/>
      <c r="Z581" s="781"/>
      <c r="AA581" s="781"/>
      <c r="AB581" s="781"/>
      <c r="AC581" s="781"/>
      <c r="AD581" s="781"/>
      <c r="AE581" s="781"/>
      <c r="AF581" s="781"/>
      <c r="AG581" s="781"/>
      <c r="AH581" s="781"/>
      <c r="AI581" s="781"/>
      <c r="AJ581" s="781"/>
      <c r="AK581" s="781"/>
      <c r="AL581" s="781"/>
      <c r="AM581" s="781"/>
      <c r="AN581" s="781"/>
      <c r="AO581" s="781"/>
      <c r="AP581" s="781"/>
      <c r="AQ581" s="781"/>
      <c r="AR581" s="781"/>
      <c r="AS581" s="781"/>
      <c r="AT581" s="781"/>
      <c r="AU581" s="781"/>
    </row>
    <row r="582" ht="15.75" customHeight="1">
      <c r="A582" s="795">
        <v>44468.0</v>
      </c>
      <c r="B582" s="822" t="s">
        <v>3412</v>
      </c>
      <c r="C582" s="797" t="s">
        <v>2547</v>
      </c>
      <c r="D582" s="772" t="s">
        <v>6346</v>
      </c>
      <c r="E582" s="821">
        <v>100000.0</v>
      </c>
      <c r="F582" s="772" t="s">
        <v>3411</v>
      </c>
      <c r="G582" s="782" t="s">
        <v>18</v>
      </c>
      <c r="H582" s="782" t="s">
        <v>176</v>
      </c>
      <c r="I582" s="782" t="s">
        <v>197</v>
      </c>
      <c r="J582" s="782">
        <v>44279.0</v>
      </c>
      <c r="K582" s="785" t="s">
        <v>3828</v>
      </c>
      <c r="L582" s="781"/>
      <c r="M582" s="781"/>
      <c r="N582" s="781"/>
      <c r="O582" s="781"/>
      <c r="P582" s="781"/>
      <c r="Q582" s="781"/>
      <c r="R582" s="781"/>
      <c r="S582" s="781"/>
      <c r="T582" s="781"/>
      <c r="U582" s="781"/>
      <c r="V582" s="781"/>
      <c r="W582" s="781"/>
      <c r="X582" s="781"/>
      <c r="Y582" s="781"/>
      <c r="Z582" s="781"/>
      <c r="AA582" s="781"/>
      <c r="AB582" s="781"/>
      <c r="AC582" s="781"/>
      <c r="AD582" s="781"/>
      <c r="AE582" s="781"/>
      <c r="AF582" s="781"/>
      <c r="AG582" s="781"/>
      <c r="AH582" s="781"/>
      <c r="AI582" s="781"/>
      <c r="AJ582" s="781"/>
      <c r="AK582" s="781"/>
      <c r="AL582" s="781"/>
      <c r="AM582" s="781"/>
      <c r="AN582" s="781"/>
      <c r="AO582" s="781"/>
      <c r="AP582" s="781"/>
      <c r="AQ582" s="781"/>
      <c r="AR582" s="781"/>
      <c r="AS582" s="781"/>
      <c r="AT582" s="781"/>
      <c r="AU582" s="781"/>
    </row>
    <row r="583" ht="15.75" customHeight="1">
      <c r="A583" s="795">
        <v>44468.0</v>
      </c>
      <c r="B583" s="822" t="s">
        <v>3219</v>
      </c>
      <c r="C583" s="797" t="s">
        <v>2547</v>
      </c>
      <c r="D583" s="772" t="s">
        <v>6346</v>
      </c>
      <c r="E583" s="821">
        <v>120000.0</v>
      </c>
      <c r="F583" s="772" t="s">
        <v>3218</v>
      </c>
      <c r="G583" s="782" t="s">
        <v>18</v>
      </c>
      <c r="H583" s="782" t="s">
        <v>176</v>
      </c>
      <c r="I583" s="782" t="s">
        <v>2634</v>
      </c>
      <c r="J583" s="782">
        <v>44279.0</v>
      </c>
      <c r="K583" s="785" t="s">
        <v>3824</v>
      </c>
      <c r="L583" s="781"/>
      <c r="M583" s="781"/>
      <c r="N583" s="781"/>
      <c r="O583" s="781"/>
      <c r="P583" s="781"/>
      <c r="Q583" s="781"/>
      <c r="R583" s="781"/>
      <c r="S583" s="781"/>
      <c r="T583" s="781"/>
      <c r="U583" s="781"/>
      <c r="V583" s="781"/>
      <c r="W583" s="781"/>
      <c r="X583" s="781"/>
      <c r="Y583" s="781"/>
      <c r="Z583" s="781"/>
      <c r="AA583" s="781"/>
      <c r="AB583" s="781"/>
      <c r="AC583" s="781"/>
      <c r="AD583" s="781"/>
      <c r="AE583" s="781"/>
      <c r="AF583" s="781"/>
      <c r="AG583" s="781"/>
      <c r="AH583" s="781"/>
      <c r="AI583" s="781"/>
      <c r="AJ583" s="781"/>
      <c r="AK583" s="781"/>
      <c r="AL583" s="781"/>
      <c r="AM583" s="781"/>
      <c r="AN583" s="781"/>
      <c r="AO583" s="781"/>
      <c r="AP583" s="781"/>
      <c r="AQ583" s="781"/>
      <c r="AR583" s="781"/>
      <c r="AS583" s="781"/>
      <c r="AT583" s="781"/>
      <c r="AU583" s="781"/>
    </row>
    <row r="584" ht="15.75" customHeight="1">
      <c r="A584" s="795">
        <v>44469.0</v>
      </c>
      <c r="B584" s="824" t="s">
        <v>6454</v>
      </c>
      <c r="C584" s="797" t="s">
        <v>3820</v>
      </c>
      <c r="D584" s="772" t="s">
        <v>1481</v>
      </c>
      <c r="E584" s="784">
        <v>456422.62</v>
      </c>
      <c r="F584" s="772" t="s">
        <v>4554</v>
      </c>
      <c r="G584" s="772" t="s">
        <v>105</v>
      </c>
      <c r="H584" s="772" t="s">
        <v>29</v>
      </c>
      <c r="I584" s="772" t="s">
        <v>4087</v>
      </c>
      <c r="J584" s="782">
        <v>44130.0</v>
      </c>
      <c r="K584" s="789" t="s">
        <v>3828</v>
      </c>
      <c r="L584" s="781"/>
      <c r="M584" s="781"/>
      <c r="N584" s="781"/>
      <c r="O584" s="781"/>
      <c r="P584" s="781"/>
      <c r="Q584" s="781"/>
      <c r="R584" s="781"/>
      <c r="S584" s="781"/>
      <c r="T584" s="781"/>
      <c r="U584" s="781"/>
      <c r="V584" s="781"/>
      <c r="W584" s="781"/>
      <c r="X584" s="781"/>
      <c r="Y584" s="781"/>
      <c r="Z584" s="781"/>
      <c r="AA584" s="781"/>
      <c r="AB584" s="781"/>
      <c r="AC584" s="781"/>
      <c r="AD584" s="781"/>
      <c r="AE584" s="781"/>
      <c r="AF584" s="781"/>
      <c r="AG584" s="781"/>
      <c r="AH584" s="781"/>
      <c r="AI584" s="781"/>
      <c r="AJ584" s="781"/>
      <c r="AK584" s="781"/>
      <c r="AL584" s="781"/>
      <c r="AM584" s="781"/>
      <c r="AN584" s="781"/>
      <c r="AO584" s="781"/>
      <c r="AP584" s="781"/>
      <c r="AQ584" s="781"/>
      <c r="AR584" s="781"/>
      <c r="AS584" s="781"/>
      <c r="AT584" s="781"/>
      <c r="AU584" s="781"/>
    </row>
    <row r="585" ht="15.75" customHeight="1">
      <c r="A585" s="795">
        <v>44469.0</v>
      </c>
      <c r="B585" s="822" t="s">
        <v>2568</v>
      </c>
      <c r="C585" s="797" t="s">
        <v>2547</v>
      </c>
      <c r="D585" s="772" t="s">
        <v>6346</v>
      </c>
      <c r="E585" s="821">
        <v>100000.0</v>
      </c>
      <c r="F585" s="772" t="s">
        <v>2567</v>
      </c>
      <c r="G585" s="782" t="s">
        <v>18</v>
      </c>
      <c r="H585" s="782" t="s">
        <v>176</v>
      </c>
      <c r="I585" s="782" t="s">
        <v>197</v>
      </c>
      <c r="J585" s="782">
        <v>44321.0</v>
      </c>
      <c r="K585" s="785" t="s">
        <v>3836</v>
      </c>
      <c r="L585" s="781"/>
      <c r="M585" s="781"/>
      <c r="N585" s="781"/>
      <c r="O585" s="781"/>
      <c r="P585" s="781"/>
      <c r="Q585" s="781"/>
      <c r="R585" s="781"/>
      <c r="S585" s="781"/>
      <c r="T585" s="781"/>
      <c r="U585" s="781"/>
      <c r="V585" s="781"/>
      <c r="W585" s="781"/>
      <c r="X585" s="781"/>
      <c r="Y585" s="781"/>
      <c r="Z585" s="781"/>
      <c r="AA585" s="781"/>
      <c r="AB585" s="781"/>
      <c r="AC585" s="781"/>
      <c r="AD585" s="781"/>
      <c r="AE585" s="781"/>
      <c r="AF585" s="781"/>
      <c r="AG585" s="781"/>
      <c r="AH585" s="781"/>
      <c r="AI585" s="781"/>
      <c r="AJ585" s="781"/>
      <c r="AK585" s="781"/>
      <c r="AL585" s="781"/>
      <c r="AM585" s="781"/>
      <c r="AN585" s="781"/>
      <c r="AO585" s="781"/>
      <c r="AP585" s="781"/>
      <c r="AQ585" s="781"/>
      <c r="AR585" s="781"/>
      <c r="AS585" s="781"/>
      <c r="AT585" s="781"/>
      <c r="AU585" s="781"/>
    </row>
    <row r="586" ht="15.75" customHeight="1">
      <c r="A586" s="795">
        <v>44470.0</v>
      </c>
      <c r="B586" s="787" t="s">
        <v>3396</v>
      </c>
      <c r="C586" s="797" t="s">
        <v>2547</v>
      </c>
      <c r="D586" s="772" t="s">
        <v>6346</v>
      </c>
      <c r="E586" s="821">
        <v>14000.0</v>
      </c>
      <c r="F586" s="772" t="s">
        <v>2019</v>
      </c>
      <c r="G586" s="782" t="s">
        <v>18</v>
      </c>
      <c r="H586" s="782" t="s">
        <v>176</v>
      </c>
      <c r="I586" s="782" t="s">
        <v>177</v>
      </c>
      <c r="J586" s="782">
        <v>44280.0</v>
      </c>
      <c r="K586" s="785" t="s">
        <v>3828</v>
      </c>
      <c r="L586" s="781"/>
      <c r="M586" s="781"/>
      <c r="N586" s="781"/>
      <c r="O586" s="781"/>
      <c r="P586" s="781"/>
      <c r="Q586" s="781"/>
      <c r="R586" s="781"/>
      <c r="S586" s="781"/>
      <c r="T586" s="781"/>
      <c r="U586" s="781"/>
      <c r="V586" s="781"/>
      <c r="W586" s="781"/>
      <c r="X586" s="781"/>
      <c r="Y586" s="781"/>
      <c r="Z586" s="781"/>
      <c r="AA586" s="781"/>
      <c r="AB586" s="781"/>
      <c r="AC586" s="781"/>
      <c r="AD586" s="781"/>
      <c r="AE586" s="781"/>
      <c r="AF586" s="781"/>
      <c r="AG586" s="781"/>
      <c r="AH586" s="781"/>
      <c r="AI586" s="781"/>
      <c r="AJ586" s="781"/>
      <c r="AK586" s="781"/>
      <c r="AL586" s="781"/>
      <c r="AM586" s="781"/>
      <c r="AN586" s="781"/>
      <c r="AO586" s="781"/>
      <c r="AP586" s="781"/>
      <c r="AQ586" s="781"/>
      <c r="AR586" s="781"/>
      <c r="AS586" s="781"/>
      <c r="AT586" s="781"/>
      <c r="AU586" s="781"/>
    </row>
    <row r="587" ht="15.75" customHeight="1">
      <c r="A587" s="795">
        <v>44470.0</v>
      </c>
      <c r="B587" s="822" t="s">
        <v>3059</v>
      </c>
      <c r="C587" s="797" t="s">
        <v>2547</v>
      </c>
      <c r="D587" s="772" t="s">
        <v>6346</v>
      </c>
      <c r="E587" s="821">
        <v>45000.0</v>
      </c>
      <c r="F587" s="772" t="s">
        <v>3058</v>
      </c>
      <c r="G587" s="782" t="s">
        <v>18</v>
      </c>
      <c r="H587" s="782" t="s">
        <v>176</v>
      </c>
      <c r="I587" s="782" t="s">
        <v>2634</v>
      </c>
      <c r="J587" s="782">
        <v>44266.0</v>
      </c>
      <c r="K587" s="785" t="s">
        <v>3836</v>
      </c>
      <c r="L587" s="781"/>
      <c r="M587" s="781"/>
      <c r="N587" s="781"/>
      <c r="O587" s="781"/>
      <c r="P587" s="781"/>
      <c r="Q587" s="781"/>
      <c r="R587" s="781"/>
      <c r="S587" s="781"/>
      <c r="T587" s="781"/>
      <c r="U587" s="781"/>
      <c r="V587" s="781"/>
      <c r="W587" s="781"/>
      <c r="X587" s="781"/>
      <c r="Y587" s="781"/>
      <c r="Z587" s="781"/>
      <c r="AA587" s="781"/>
      <c r="AB587" s="781"/>
      <c r="AC587" s="781"/>
      <c r="AD587" s="781"/>
      <c r="AE587" s="781"/>
      <c r="AF587" s="781"/>
      <c r="AG587" s="781"/>
      <c r="AH587" s="781"/>
      <c r="AI587" s="781"/>
      <c r="AJ587" s="781"/>
      <c r="AK587" s="781"/>
      <c r="AL587" s="781"/>
      <c r="AM587" s="781"/>
      <c r="AN587" s="781"/>
      <c r="AO587" s="781"/>
      <c r="AP587" s="781"/>
      <c r="AQ587" s="781"/>
      <c r="AR587" s="781"/>
      <c r="AS587" s="781"/>
      <c r="AT587" s="781"/>
      <c r="AU587" s="781"/>
    </row>
    <row r="588" ht="15.75" customHeight="1">
      <c r="A588" s="795">
        <v>44470.0</v>
      </c>
      <c r="B588" s="822" t="s">
        <v>2734</v>
      </c>
      <c r="C588" s="797" t="s">
        <v>2547</v>
      </c>
      <c r="D588" s="772" t="s">
        <v>6346</v>
      </c>
      <c r="E588" s="821">
        <v>10000.0</v>
      </c>
      <c r="F588" s="772" t="s">
        <v>2733</v>
      </c>
      <c r="G588" s="782" t="s">
        <v>18</v>
      </c>
      <c r="H588" s="782" t="s">
        <v>176</v>
      </c>
      <c r="I588" s="782" t="s">
        <v>2634</v>
      </c>
      <c r="J588" s="782">
        <v>44260.0</v>
      </c>
      <c r="K588" s="785" t="s">
        <v>3828</v>
      </c>
      <c r="L588" s="781"/>
      <c r="M588" s="781"/>
      <c r="N588" s="781"/>
      <c r="O588" s="781"/>
      <c r="P588" s="781"/>
      <c r="Q588" s="781"/>
      <c r="R588" s="781"/>
      <c r="S588" s="781"/>
      <c r="T588" s="781"/>
      <c r="U588" s="781"/>
      <c r="V588" s="781"/>
      <c r="W588" s="781"/>
      <c r="X588" s="781"/>
      <c r="Y588" s="781"/>
      <c r="Z588" s="781"/>
      <c r="AA588" s="781"/>
      <c r="AB588" s="781"/>
      <c r="AC588" s="781"/>
      <c r="AD588" s="781"/>
      <c r="AE588" s="781"/>
      <c r="AF588" s="781"/>
      <c r="AG588" s="781"/>
      <c r="AH588" s="781"/>
      <c r="AI588" s="781"/>
      <c r="AJ588" s="781"/>
      <c r="AK588" s="781"/>
      <c r="AL588" s="781"/>
      <c r="AM588" s="781"/>
      <c r="AN588" s="781"/>
      <c r="AO588" s="781"/>
      <c r="AP588" s="781"/>
      <c r="AQ588" s="781"/>
      <c r="AR588" s="781"/>
      <c r="AS588" s="781"/>
      <c r="AT588" s="781"/>
      <c r="AU588" s="781"/>
    </row>
    <row r="589" ht="15.75" customHeight="1">
      <c r="A589" s="795">
        <v>44470.0</v>
      </c>
      <c r="B589" s="822" t="s">
        <v>2823</v>
      </c>
      <c r="C589" s="797" t="s">
        <v>2547</v>
      </c>
      <c r="D589" s="772" t="s">
        <v>6346</v>
      </c>
      <c r="E589" s="821">
        <v>100000.0</v>
      </c>
      <c r="F589" s="772" t="s">
        <v>2822</v>
      </c>
      <c r="G589" s="782" t="s">
        <v>18</v>
      </c>
      <c r="H589" s="782" t="s">
        <v>176</v>
      </c>
      <c r="I589" s="782" t="s">
        <v>197</v>
      </c>
      <c r="J589" s="782">
        <v>44393.0</v>
      </c>
      <c r="K589" s="785" t="s">
        <v>4347</v>
      </c>
      <c r="L589" s="781"/>
      <c r="M589" s="781"/>
      <c r="N589" s="781"/>
      <c r="O589" s="781"/>
      <c r="P589" s="781"/>
      <c r="Q589" s="781"/>
      <c r="R589" s="781"/>
      <c r="S589" s="781"/>
      <c r="T589" s="781"/>
      <c r="U589" s="781"/>
      <c r="V589" s="781"/>
      <c r="W589" s="781"/>
      <c r="X589" s="781"/>
      <c r="Y589" s="781"/>
      <c r="Z589" s="781"/>
      <c r="AA589" s="781"/>
      <c r="AB589" s="781"/>
      <c r="AC589" s="781"/>
      <c r="AD589" s="781"/>
      <c r="AE589" s="781"/>
      <c r="AF589" s="781"/>
      <c r="AG589" s="781"/>
      <c r="AH589" s="781"/>
      <c r="AI589" s="781"/>
      <c r="AJ589" s="781"/>
      <c r="AK589" s="781"/>
      <c r="AL589" s="781"/>
      <c r="AM589" s="781"/>
      <c r="AN589" s="781"/>
      <c r="AO589" s="781"/>
      <c r="AP589" s="781"/>
      <c r="AQ589" s="781"/>
      <c r="AR589" s="781"/>
      <c r="AS589" s="781"/>
      <c r="AT589" s="781"/>
      <c r="AU589" s="781"/>
    </row>
    <row r="590" ht="15.75" customHeight="1">
      <c r="A590" s="819">
        <v>44470.0</v>
      </c>
      <c r="B590" s="806" t="s">
        <v>2734</v>
      </c>
      <c r="C590" s="772" t="s">
        <v>2547</v>
      </c>
      <c r="D590" s="772" t="s">
        <v>6345</v>
      </c>
      <c r="E590" s="784">
        <v>151371.24</v>
      </c>
      <c r="F590" s="772" t="s">
        <v>2733</v>
      </c>
      <c r="G590" s="782" t="s">
        <v>18</v>
      </c>
      <c r="H590" s="782" t="s">
        <v>176</v>
      </c>
      <c r="I590" s="782" t="s">
        <v>2634</v>
      </c>
      <c r="J590" s="782">
        <v>44260.0</v>
      </c>
      <c r="K590" s="785" t="s">
        <v>3828</v>
      </c>
      <c r="L590" s="781"/>
      <c r="M590" s="781"/>
      <c r="N590" s="781"/>
      <c r="O590" s="781"/>
      <c r="P590" s="781"/>
      <c r="Q590" s="781"/>
      <c r="R590" s="781"/>
      <c r="S590" s="781"/>
      <c r="T590" s="781"/>
      <c r="U590" s="781"/>
      <c r="V590" s="781"/>
      <c r="W590" s="781"/>
      <c r="X590" s="781"/>
      <c r="Y590" s="781"/>
      <c r="Z590" s="781"/>
      <c r="AA590" s="781"/>
      <c r="AB590" s="781"/>
      <c r="AC590" s="781"/>
      <c r="AD590" s="781"/>
      <c r="AE590" s="781"/>
      <c r="AF590" s="781"/>
      <c r="AG590" s="781"/>
      <c r="AH590" s="781"/>
      <c r="AI590" s="781"/>
      <c r="AJ590" s="781"/>
      <c r="AK590" s="781"/>
      <c r="AL590" s="781"/>
      <c r="AM590" s="781"/>
      <c r="AN590" s="781"/>
      <c r="AO590" s="781"/>
      <c r="AP590" s="781"/>
      <c r="AQ590" s="781"/>
      <c r="AR590" s="781"/>
      <c r="AS590" s="781"/>
      <c r="AT590" s="781"/>
      <c r="AU590" s="781"/>
    </row>
    <row r="591" ht="15.75" customHeight="1">
      <c r="A591" s="795">
        <v>44473.0</v>
      </c>
      <c r="B591" s="783" t="s">
        <v>3219</v>
      </c>
      <c r="C591" s="797" t="s">
        <v>2547</v>
      </c>
      <c r="D591" s="772" t="s">
        <v>6346</v>
      </c>
      <c r="E591" s="821">
        <v>80000.0</v>
      </c>
      <c r="F591" s="772" t="s">
        <v>3218</v>
      </c>
      <c r="G591" s="782" t="s">
        <v>18</v>
      </c>
      <c r="H591" s="782" t="s">
        <v>176</v>
      </c>
      <c r="I591" s="782" t="s">
        <v>2634</v>
      </c>
      <c r="J591" s="782">
        <v>44279.0</v>
      </c>
      <c r="K591" s="785" t="s">
        <v>3824</v>
      </c>
      <c r="L591" s="781"/>
      <c r="M591" s="781"/>
      <c r="N591" s="781"/>
      <c r="O591" s="781"/>
      <c r="P591" s="781"/>
      <c r="Q591" s="781"/>
      <c r="R591" s="781"/>
      <c r="S591" s="781"/>
      <c r="T591" s="781"/>
      <c r="U591" s="781"/>
      <c r="V591" s="781"/>
      <c r="W591" s="781"/>
      <c r="X591" s="781"/>
      <c r="Y591" s="781"/>
      <c r="Z591" s="781"/>
      <c r="AA591" s="781"/>
      <c r="AB591" s="781"/>
      <c r="AC591" s="781"/>
      <c r="AD591" s="781"/>
      <c r="AE591" s="781"/>
      <c r="AF591" s="781"/>
      <c r="AG591" s="781"/>
      <c r="AH591" s="781"/>
      <c r="AI591" s="781"/>
      <c r="AJ591" s="781"/>
      <c r="AK591" s="781"/>
      <c r="AL591" s="781"/>
      <c r="AM591" s="781"/>
      <c r="AN591" s="781"/>
      <c r="AO591" s="781"/>
      <c r="AP591" s="781"/>
      <c r="AQ591" s="781"/>
      <c r="AR591" s="781"/>
      <c r="AS591" s="781"/>
      <c r="AT591" s="781"/>
      <c r="AU591" s="781"/>
    </row>
    <row r="592" ht="15.75" customHeight="1">
      <c r="A592" s="819">
        <v>44473.0</v>
      </c>
      <c r="B592" s="787" t="s">
        <v>6424</v>
      </c>
      <c r="C592" s="772" t="s">
        <v>3820</v>
      </c>
      <c r="D592" s="772" t="s">
        <v>6345</v>
      </c>
      <c r="E592" s="784">
        <v>0.0</v>
      </c>
      <c r="F592" s="772" t="s">
        <v>5359</v>
      </c>
      <c r="G592" s="772" t="s">
        <v>105</v>
      </c>
      <c r="H592" s="772" t="s">
        <v>29</v>
      </c>
      <c r="I592" s="772" t="s">
        <v>4465</v>
      </c>
      <c r="J592" s="782">
        <v>44397.0</v>
      </c>
      <c r="K592" s="789" t="s">
        <v>3836</v>
      </c>
      <c r="L592" s="781"/>
      <c r="M592" s="781"/>
      <c r="N592" s="781"/>
      <c r="O592" s="781"/>
      <c r="P592" s="781"/>
      <c r="Q592" s="781"/>
      <c r="R592" s="781"/>
      <c r="S592" s="781"/>
      <c r="T592" s="781"/>
      <c r="U592" s="781"/>
      <c r="V592" s="781"/>
      <c r="W592" s="781"/>
      <c r="X592" s="781"/>
      <c r="Y592" s="781"/>
      <c r="Z592" s="781"/>
      <c r="AA592" s="781"/>
      <c r="AB592" s="781"/>
      <c r="AC592" s="781"/>
      <c r="AD592" s="781"/>
      <c r="AE592" s="781"/>
      <c r="AF592" s="781"/>
      <c r="AG592" s="781"/>
      <c r="AH592" s="781"/>
      <c r="AI592" s="781"/>
      <c r="AJ592" s="781"/>
      <c r="AK592" s="781"/>
      <c r="AL592" s="781"/>
      <c r="AM592" s="781"/>
      <c r="AN592" s="781"/>
      <c r="AO592" s="781"/>
      <c r="AP592" s="781"/>
      <c r="AQ592" s="781"/>
      <c r="AR592" s="781"/>
      <c r="AS592" s="781"/>
      <c r="AT592" s="781"/>
      <c r="AU592" s="781"/>
    </row>
    <row r="593" ht="15.75" customHeight="1">
      <c r="A593" s="819">
        <v>44473.0</v>
      </c>
      <c r="B593" s="823" t="s">
        <v>6455</v>
      </c>
      <c r="C593" s="772" t="s">
        <v>3820</v>
      </c>
      <c r="D593" s="772" t="s">
        <v>6345</v>
      </c>
      <c r="E593" s="784">
        <v>0.0</v>
      </c>
      <c r="F593" s="772" t="s">
        <v>3854</v>
      </c>
      <c r="G593" s="772" t="s">
        <v>18</v>
      </c>
      <c r="H593" s="772" t="s">
        <v>29</v>
      </c>
      <c r="I593" s="772" t="s">
        <v>3708</v>
      </c>
      <c r="J593" s="782">
        <v>44302.0</v>
      </c>
      <c r="K593" s="789" t="s">
        <v>3840</v>
      </c>
      <c r="L593" s="781"/>
      <c r="M593" s="781"/>
      <c r="N593" s="781"/>
      <c r="O593" s="781"/>
      <c r="P593" s="781"/>
      <c r="Q593" s="781"/>
      <c r="R593" s="781"/>
      <c r="S593" s="781"/>
      <c r="T593" s="781"/>
      <c r="U593" s="781"/>
      <c r="V593" s="781"/>
      <c r="W593" s="781"/>
      <c r="X593" s="781"/>
      <c r="Y593" s="781"/>
      <c r="Z593" s="781"/>
      <c r="AA593" s="781"/>
      <c r="AB593" s="781"/>
      <c r="AC593" s="781"/>
      <c r="AD593" s="781"/>
      <c r="AE593" s="781"/>
      <c r="AF593" s="781"/>
      <c r="AG593" s="781"/>
      <c r="AH593" s="781"/>
      <c r="AI593" s="781"/>
      <c r="AJ593" s="781"/>
      <c r="AK593" s="781"/>
      <c r="AL593" s="781"/>
      <c r="AM593" s="781"/>
      <c r="AN593" s="781"/>
      <c r="AO593" s="781"/>
      <c r="AP593" s="781"/>
      <c r="AQ593" s="781"/>
      <c r="AR593" s="781"/>
      <c r="AS593" s="781"/>
      <c r="AT593" s="781"/>
      <c r="AU593" s="781"/>
    </row>
    <row r="594" ht="15.75" customHeight="1">
      <c r="A594" s="819">
        <v>44473.0</v>
      </c>
      <c r="B594" s="783" t="s">
        <v>2757</v>
      </c>
      <c r="C594" s="772" t="s">
        <v>2547</v>
      </c>
      <c r="D594" s="772" t="s">
        <v>6345</v>
      </c>
      <c r="E594" s="784">
        <v>172836.33</v>
      </c>
      <c r="F594" s="772" t="s">
        <v>2756</v>
      </c>
      <c r="G594" s="782" t="s">
        <v>2550</v>
      </c>
      <c r="H594" s="782" t="s">
        <v>29</v>
      </c>
      <c r="I594" s="782" t="s">
        <v>2551</v>
      </c>
      <c r="J594" s="782">
        <v>43865.0</v>
      </c>
      <c r="K594" s="785" t="s">
        <v>3828</v>
      </c>
      <c r="L594" s="781"/>
      <c r="M594" s="781"/>
      <c r="N594" s="781"/>
      <c r="O594" s="781"/>
      <c r="P594" s="781"/>
      <c r="Q594" s="781"/>
      <c r="R594" s="781"/>
      <c r="S594" s="781"/>
      <c r="T594" s="781"/>
      <c r="U594" s="781"/>
      <c r="V594" s="781"/>
      <c r="W594" s="781"/>
      <c r="X594" s="781"/>
      <c r="Y594" s="781"/>
      <c r="Z594" s="781"/>
      <c r="AA594" s="781"/>
      <c r="AB594" s="781"/>
      <c r="AC594" s="781"/>
      <c r="AD594" s="781"/>
      <c r="AE594" s="781"/>
      <c r="AF594" s="781"/>
      <c r="AG594" s="781"/>
      <c r="AH594" s="781"/>
      <c r="AI594" s="781"/>
      <c r="AJ594" s="781"/>
      <c r="AK594" s="781"/>
      <c r="AL594" s="781"/>
      <c r="AM594" s="781"/>
      <c r="AN594" s="781"/>
      <c r="AO594" s="781"/>
      <c r="AP594" s="781"/>
      <c r="AQ594" s="781"/>
      <c r="AR594" s="781"/>
      <c r="AS594" s="781"/>
      <c r="AT594" s="781"/>
      <c r="AU594" s="781"/>
    </row>
    <row r="595" ht="15.75" customHeight="1">
      <c r="A595" s="819">
        <v>44473.0</v>
      </c>
      <c r="B595" s="823" t="s">
        <v>3269</v>
      </c>
      <c r="C595" s="772" t="s">
        <v>2547</v>
      </c>
      <c r="D595" s="772" t="s">
        <v>6345</v>
      </c>
      <c r="E595" s="784">
        <v>154589.27</v>
      </c>
      <c r="F595" s="772" t="s">
        <v>3268</v>
      </c>
      <c r="G595" s="782" t="s">
        <v>2550</v>
      </c>
      <c r="H595" s="782" t="s">
        <v>29</v>
      </c>
      <c r="I595" s="782" t="s">
        <v>2551</v>
      </c>
      <c r="J595" s="782">
        <v>43873.0</v>
      </c>
      <c r="K595" s="785" t="s">
        <v>3828</v>
      </c>
      <c r="L595" s="781"/>
      <c r="M595" s="781"/>
      <c r="N595" s="781"/>
      <c r="O595" s="781"/>
      <c r="P595" s="781"/>
      <c r="Q595" s="781"/>
      <c r="R595" s="781"/>
      <c r="S595" s="781"/>
      <c r="T595" s="781"/>
      <c r="U595" s="781"/>
      <c r="V595" s="781"/>
      <c r="W595" s="781"/>
      <c r="X595" s="781"/>
      <c r="Y595" s="781"/>
      <c r="Z595" s="781"/>
      <c r="AA595" s="781"/>
      <c r="AB595" s="781"/>
      <c r="AC595" s="781"/>
      <c r="AD595" s="781"/>
      <c r="AE595" s="781"/>
      <c r="AF595" s="781"/>
      <c r="AG595" s="781"/>
      <c r="AH595" s="781"/>
      <c r="AI595" s="781"/>
      <c r="AJ595" s="781"/>
      <c r="AK595" s="781"/>
      <c r="AL595" s="781"/>
      <c r="AM595" s="781"/>
      <c r="AN595" s="781"/>
      <c r="AO595" s="781"/>
      <c r="AP595" s="781"/>
      <c r="AQ595" s="781"/>
      <c r="AR595" s="781"/>
      <c r="AS595" s="781"/>
      <c r="AT595" s="781"/>
      <c r="AU595" s="781"/>
    </row>
    <row r="596" ht="15.75" customHeight="1">
      <c r="A596" s="819">
        <v>44473.0</v>
      </c>
      <c r="B596" s="806" t="s">
        <v>3219</v>
      </c>
      <c r="C596" s="772" t="s">
        <v>2547</v>
      </c>
      <c r="D596" s="772" t="s">
        <v>6345</v>
      </c>
      <c r="E596" s="784">
        <v>237009.79</v>
      </c>
      <c r="F596" s="772" t="s">
        <v>3218</v>
      </c>
      <c r="G596" s="782" t="s">
        <v>18</v>
      </c>
      <c r="H596" s="782" t="s">
        <v>176</v>
      </c>
      <c r="I596" s="782" t="s">
        <v>2634</v>
      </c>
      <c r="J596" s="782">
        <v>44279.0</v>
      </c>
      <c r="K596" s="785" t="s">
        <v>3824</v>
      </c>
      <c r="L596" s="781"/>
      <c r="M596" s="781"/>
      <c r="N596" s="781"/>
      <c r="O596" s="781"/>
      <c r="P596" s="781"/>
      <c r="Q596" s="781"/>
      <c r="R596" s="781"/>
      <c r="S596" s="781"/>
      <c r="T596" s="781"/>
      <c r="U596" s="781"/>
      <c r="V596" s="781"/>
      <c r="W596" s="781"/>
      <c r="X596" s="781"/>
      <c r="Y596" s="781"/>
      <c r="Z596" s="781"/>
      <c r="AA596" s="781"/>
      <c r="AB596" s="781"/>
      <c r="AC596" s="781"/>
      <c r="AD596" s="781"/>
      <c r="AE596" s="781"/>
      <c r="AF596" s="781"/>
      <c r="AG596" s="781"/>
      <c r="AH596" s="781"/>
      <c r="AI596" s="781"/>
      <c r="AJ596" s="781"/>
      <c r="AK596" s="781"/>
      <c r="AL596" s="781"/>
      <c r="AM596" s="781"/>
      <c r="AN596" s="781"/>
      <c r="AO596" s="781"/>
      <c r="AP596" s="781"/>
      <c r="AQ596" s="781"/>
      <c r="AR596" s="781"/>
      <c r="AS596" s="781"/>
      <c r="AT596" s="781"/>
      <c r="AU596" s="781"/>
    </row>
    <row r="597" ht="15.75" customHeight="1">
      <c r="A597" s="795">
        <v>44474.0</v>
      </c>
      <c r="B597" s="787" t="s">
        <v>2734</v>
      </c>
      <c r="C597" s="797" t="s">
        <v>2547</v>
      </c>
      <c r="D597" s="772" t="s">
        <v>6346</v>
      </c>
      <c r="E597" s="799">
        <v>49307.71</v>
      </c>
      <c r="F597" s="772" t="s">
        <v>2733</v>
      </c>
      <c r="G597" s="782" t="s">
        <v>18</v>
      </c>
      <c r="H597" s="782" t="s">
        <v>176</v>
      </c>
      <c r="I597" s="782" t="s">
        <v>2634</v>
      </c>
      <c r="J597" s="782">
        <v>44260.0</v>
      </c>
      <c r="K597" s="785" t="s">
        <v>3828</v>
      </c>
      <c r="L597" s="781"/>
      <c r="M597" s="781"/>
      <c r="N597" s="781"/>
      <c r="O597" s="781"/>
      <c r="P597" s="781"/>
      <c r="Q597" s="781"/>
      <c r="R597" s="781"/>
      <c r="S597" s="781"/>
      <c r="T597" s="781"/>
      <c r="U597" s="781"/>
      <c r="V597" s="781"/>
      <c r="W597" s="781"/>
      <c r="X597" s="781"/>
      <c r="Y597" s="781"/>
      <c r="Z597" s="781"/>
      <c r="AA597" s="781"/>
      <c r="AB597" s="781"/>
      <c r="AC597" s="781"/>
      <c r="AD597" s="781"/>
      <c r="AE597" s="781"/>
      <c r="AF597" s="781"/>
      <c r="AG597" s="781"/>
      <c r="AH597" s="781"/>
      <c r="AI597" s="781"/>
      <c r="AJ597" s="781"/>
      <c r="AK597" s="781"/>
      <c r="AL597" s="781"/>
      <c r="AM597" s="781"/>
      <c r="AN597" s="781"/>
      <c r="AO597" s="781"/>
      <c r="AP597" s="781"/>
      <c r="AQ597" s="781"/>
      <c r="AR597" s="781"/>
      <c r="AS597" s="781"/>
      <c r="AT597" s="781"/>
      <c r="AU597" s="781"/>
    </row>
    <row r="598" ht="15.75" customHeight="1">
      <c r="A598" s="795">
        <v>44474.0</v>
      </c>
      <c r="B598" s="787" t="s">
        <v>3048</v>
      </c>
      <c r="C598" s="797" t="s">
        <v>2547</v>
      </c>
      <c r="D598" s="772" t="s">
        <v>6346</v>
      </c>
      <c r="E598" s="821">
        <v>56000.0</v>
      </c>
      <c r="F598" s="772" t="s">
        <v>1242</v>
      </c>
      <c r="G598" s="782" t="s">
        <v>18</v>
      </c>
      <c r="H598" s="782" t="s">
        <v>176</v>
      </c>
      <c r="I598" s="782" t="s">
        <v>177</v>
      </c>
      <c r="J598" s="782">
        <v>44280.0</v>
      </c>
      <c r="K598" s="785" t="s">
        <v>3834</v>
      </c>
      <c r="L598" s="781"/>
      <c r="M598" s="781"/>
      <c r="N598" s="781"/>
      <c r="O598" s="781"/>
      <c r="P598" s="781"/>
      <c r="Q598" s="781"/>
      <c r="R598" s="781"/>
      <c r="S598" s="781"/>
      <c r="T598" s="781"/>
      <c r="U598" s="781"/>
      <c r="V598" s="781"/>
      <c r="W598" s="781"/>
      <c r="X598" s="781"/>
      <c r="Y598" s="781"/>
      <c r="Z598" s="781"/>
      <c r="AA598" s="781"/>
      <c r="AB598" s="781"/>
      <c r="AC598" s="781"/>
      <c r="AD598" s="781"/>
      <c r="AE598" s="781"/>
      <c r="AF598" s="781"/>
      <c r="AG598" s="781"/>
      <c r="AH598" s="781"/>
      <c r="AI598" s="781"/>
      <c r="AJ598" s="781"/>
      <c r="AK598" s="781"/>
      <c r="AL598" s="781"/>
      <c r="AM598" s="781"/>
      <c r="AN598" s="781"/>
      <c r="AO598" s="781"/>
      <c r="AP598" s="781"/>
      <c r="AQ598" s="781"/>
      <c r="AR598" s="781"/>
      <c r="AS598" s="781"/>
      <c r="AT598" s="781"/>
      <c r="AU598" s="781"/>
    </row>
    <row r="599" ht="15.75" customHeight="1">
      <c r="A599" s="795">
        <v>44474.0</v>
      </c>
      <c r="B599" s="787" t="s">
        <v>2975</v>
      </c>
      <c r="C599" s="797" t="s">
        <v>2547</v>
      </c>
      <c r="D599" s="772" t="s">
        <v>6346</v>
      </c>
      <c r="E599" s="821">
        <v>5500.0</v>
      </c>
      <c r="F599" s="772" t="s">
        <v>2974</v>
      </c>
      <c r="G599" s="782" t="s">
        <v>18</v>
      </c>
      <c r="H599" s="782" t="s">
        <v>176</v>
      </c>
      <c r="I599" s="782" t="s">
        <v>197</v>
      </c>
      <c r="J599" s="782">
        <v>44319.0</v>
      </c>
      <c r="K599" s="785" t="s">
        <v>3824</v>
      </c>
      <c r="L599" s="781"/>
      <c r="M599" s="781"/>
      <c r="N599" s="781"/>
      <c r="O599" s="781"/>
      <c r="P599" s="781"/>
      <c r="Q599" s="781"/>
      <c r="R599" s="781"/>
      <c r="S599" s="781"/>
      <c r="T599" s="781"/>
      <c r="U599" s="781"/>
      <c r="V599" s="781"/>
      <c r="W599" s="781"/>
      <c r="X599" s="781"/>
      <c r="Y599" s="781"/>
      <c r="Z599" s="781"/>
      <c r="AA599" s="781"/>
      <c r="AB599" s="781"/>
      <c r="AC599" s="781"/>
      <c r="AD599" s="781"/>
      <c r="AE599" s="781"/>
      <c r="AF599" s="781"/>
      <c r="AG599" s="781"/>
      <c r="AH599" s="781"/>
      <c r="AI599" s="781"/>
      <c r="AJ599" s="781"/>
      <c r="AK599" s="781"/>
      <c r="AL599" s="781"/>
      <c r="AM599" s="781"/>
      <c r="AN599" s="781"/>
      <c r="AO599" s="781"/>
      <c r="AP599" s="781"/>
      <c r="AQ599" s="781"/>
      <c r="AR599" s="781"/>
      <c r="AS599" s="781"/>
      <c r="AT599" s="781"/>
      <c r="AU599" s="781"/>
    </row>
    <row r="600" ht="15.75" customHeight="1">
      <c r="A600" s="795">
        <v>44474.0</v>
      </c>
      <c r="B600" s="787" t="s">
        <v>3026</v>
      </c>
      <c r="C600" s="797" t="s">
        <v>2547</v>
      </c>
      <c r="D600" s="772" t="s">
        <v>6346</v>
      </c>
      <c r="E600" s="821">
        <v>175000.0</v>
      </c>
      <c r="F600" s="772" t="s">
        <v>3025</v>
      </c>
      <c r="G600" s="782" t="s">
        <v>18</v>
      </c>
      <c r="H600" s="782" t="s">
        <v>176</v>
      </c>
      <c r="I600" s="782" t="s">
        <v>177</v>
      </c>
      <c r="J600" s="782">
        <v>44313.0</v>
      </c>
      <c r="K600" s="785" t="s">
        <v>3828</v>
      </c>
      <c r="L600" s="781"/>
      <c r="M600" s="781"/>
      <c r="N600" s="781"/>
      <c r="O600" s="781"/>
      <c r="P600" s="781"/>
      <c r="Q600" s="781"/>
      <c r="R600" s="781"/>
      <c r="S600" s="781"/>
      <c r="T600" s="781"/>
      <c r="U600" s="781"/>
      <c r="V600" s="781"/>
      <c r="W600" s="781"/>
      <c r="X600" s="781"/>
      <c r="Y600" s="781"/>
      <c r="Z600" s="781"/>
      <c r="AA600" s="781"/>
      <c r="AB600" s="781"/>
      <c r="AC600" s="781"/>
      <c r="AD600" s="781"/>
      <c r="AE600" s="781"/>
      <c r="AF600" s="781"/>
      <c r="AG600" s="781"/>
      <c r="AH600" s="781"/>
      <c r="AI600" s="781"/>
      <c r="AJ600" s="781"/>
      <c r="AK600" s="781"/>
      <c r="AL600" s="781"/>
      <c r="AM600" s="781"/>
      <c r="AN600" s="781"/>
      <c r="AO600" s="781"/>
      <c r="AP600" s="781"/>
      <c r="AQ600" s="781"/>
      <c r="AR600" s="781"/>
      <c r="AS600" s="781"/>
      <c r="AT600" s="781"/>
      <c r="AU600" s="781"/>
    </row>
    <row r="601" ht="15.75" customHeight="1">
      <c r="A601" s="795">
        <v>44474.0</v>
      </c>
      <c r="B601" s="787" t="s">
        <v>2699</v>
      </c>
      <c r="C601" s="797" t="s">
        <v>2547</v>
      </c>
      <c r="D601" s="772" t="s">
        <v>6346</v>
      </c>
      <c r="E601" s="821">
        <v>10000.0</v>
      </c>
      <c r="F601" s="772" t="s">
        <v>403</v>
      </c>
      <c r="G601" s="782" t="s">
        <v>18</v>
      </c>
      <c r="H601" s="782" t="s">
        <v>176</v>
      </c>
      <c r="I601" s="782" t="s">
        <v>177</v>
      </c>
      <c r="J601" s="782">
        <v>44421.0</v>
      </c>
      <c r="K601" s="785" t="s">
        <v>3828</v>
      </c>
      <c r="L601" s="781"/>
      <c r="M601" s="781"/>
      <c r="N601" s="781"/>
      <c r="O601" s="781"/>
      <c r="P601" s="781"/>
      <c r="Q601" s="781"/>
      <c r="R601" s="781"/>
      <c r="S601" s="781"/>
      <c r="T601" s="781"/>
      <c r="U601" s="781"/>
      <c r="V601" s="781"/>
      <c r="W601" s="781"/>
      <c r="X601" s="781"/>
      <c r="Y601" s="781"/>
      <c r="Z601" s="781"/>
      <c r="AA601" s="781"/>
      <c r="AB601" s="781"/>
      <c r="AC601" s="781"/>
      <c r="AD601" s="781"/>
      <c r="AE601" s="781"/>
      <c r="AF601" s="781"/>
      <c r="AG601" s="781"/>
      <c r="AH601" s="781"/>
      <c r="AI601" s="781"/>
      <c r="AJ601" s="781"/>
      <c r="AK601" s="781"/>
      <c r="AL601" s="781"/>
      <c r="AM601" s="781"/>
      <c r="AN601" s="781"/>
      <c r="AO601" s="781"/>
      <c r="AP601" s="781"/>
      <c r="AQ601" s="781"/>
      <c r="AR601" s="781"/>
      <c r="AS601" s="781"/>
      <c r="AT601" s="781"/>
      <c r="AU601" s="781"/>
    </row>
    <row r="602" ht="15.75" customHeight="1">
      <c r="A602" s="795">
        <v>44474.0</v>
      </c>
      <c r="B602" s="787" t="s">
        <v>2798</v>
      </c>
      <c r="C602" s="797" t="s">
        <v>2547</v>
      </c>
      <c r="D602" s="772" t="s">
        <v>6346</v>
      </c>
      <c r="E602" s="821">
        <v>10000.0</v>
      </c>
      <c r="F602" s="772" t="s">
        <v>649</v>
      </c>
      <c r="G602" s="782" t="s">
        <v>18</v>
      </c>
      <c r="H602" s="782" t="s">
        <v>176</v>
      </c>
      <c r="I602" s="782" t="s">
        <v>177</v>
      </c>
      <c r="J602" s="782">
        <v>44280.0</v>
      </c>
      <c r="K602" s="785" t="s">
        <v>3828</v>
      </c>
      <c r="L602" s="781"/>
      <c r="M602" s="781"/>
      <c r="N602" s="781"/>
      <c r="O602" s="781"/>
      <c r="P602" s="781"/>
      <c r="Q602" s="781"/>
      <c r="R602" s="781"/>
      <c r="S602" s="781"/>
      <c r="T602" s="781"/>
      <c r="U602" s="781"/>
      <c r="V602" s="781"/>
      <c r="W602" s="781"/>
      <c r="X602" s="781"/>
      <c r="Y602" s="781"/>
      <c r="Z602" s="781"/>
      <c r="AA602" s="781"/>
      <c r="AB602" s="781"/>
      <c r="AC602" s="781"/>
      <c r="AD602" s="781"/>
      <c r="AE602" s="781"/>
      <c r="AF602" s="781"/>
      <c r="AG602" s="781"/>
      <c r="AH602" s="781"/>
      <c r="AI602" s="781"/>
      <c r="AJ602" s="781"/>
      <c r="AK602" s="781"/>
      <c r="AL602" s="781"/>
      <c r="AM602" s="781"/>
      <c r="AN602" s="781"/>
      <c r="AO602" s="781"/>
      <c r="AP602" s="781"/>
      <c r="AQ602" s="781"/>
      <c r="AR602" s="781"/>
      <c r="AS602" s="781"/>
      <c r="AT602" s="781"/>
      <c r="AU602" s="781"/>
    </row>
    <row r="603" ht="15.75" customHeight="1">
      <c r="A603" s="795">
        <v>44474.0</v>
      </c>
      <c r="B603" s="787" t="s">
        <v>2982</v>
      </c>
      <c r="C603" s="797" t="s">
        <v>2547</v>
      </c>
      <c r="D603" s="772" t="s">
        <v>6346</v>
      </c>
      <c r="E603" s="821">
        <v>10000.0</v>
      </c>
      <c r="F603" s="772" t="s">
        <v>2981</v>
      </c>
      <c r="G603" s="782" t="s">
        <v>2550</v>
      </c>
      <c r="H603" s="782" t="s">
        <v>29</v>
      </c>
      <c r="I603" s="782" t="s">
        <v>2551</v>
      </c>
      <c r="J603" s="782">
        <v>43703.0</v>
      </c>
      <c r="K603" s="785" t="s">
        <v>4206</v>
      </c>
      <c r="L603" s="781"/>
      <c r="M603" s="781"/>
      <c r="N603" s="781"/>
      <c r="O603" s="781"/>
      <c r="P603" s="781"/>
      <c r="Q603" s="781"/>
      <c r="R603" s="781"/>
      <c r="S603" s="781"/>
      <c r="T603" s="781"/>
      <c r="U603" s="781"/>
      <c r="V603" s="781"/>
      <c r="W603" s="781"/>
      <c r="X603" s="781"/>
      <c r="Y603" s="781"/>
      <c r="Z603" s="781"/>
      <c r="AA603" s="781"/>
      <c r="AB603" s="781"/>
      <c r="AC603" s="781"/>
      <c r="AD603" s="781"/>
      <c r="AE603" s="781"/>
      <c r="AF603" s="781"/>
      <c r="AG603" s="781"/>
      <c r="AH603" s="781"/>
      <c r="AI603" s="781"/>
      <c r="AJ603" s="781"/>
      <c r="AK603" s="781"/>
      <c r="AL603" s="781"/>
      <c r="AM603" s="781"/>
      <c r="AN603" s="781"/>
      <c r="AO603" s="781"/>
      <c r="AP603" s="781"/>
      <c r="AQ603" s="781"/>
      <c r="AR603" s="781"/>
      <c r="AS603" s="781"/>
      <c r="AT603" s="781"/>
      <c r="AU603" s="781"/>
    </row>
    <row r="604" ht="15.75" customHeight="1">
      <c r="A604" s="795">
        <v>44474.0</v>
      </c>
      <c r="B604" s="787" t="s">
        <v>2847</v>
      </c>
      <c r="C604" s="797" t="s">
        <v>2547</v>
      </c>
      <c r="D604" s="772" t="s">
        <v>6346</v>
      </c>
      <c r="E604" s="821">
        <v>40000.0</v>
      </c>
      <c r="F604" s="772" t="s">
        <v>767</v>
      </c>
      <c r="G604" s="782" t="s">
        <v>18</v>
      </c>
      <c r="H604" s="782" t="s">
        <v>176</v>
      </c>
      <c r="I604" s="782" t="s">
        <v>177</v>
      </c>
      <c r="J604" s="782">
        <v>44321.0</v>
      </c>
      <c r="K604" s="785" t="s">
        <v>3828</v>
      </c>
      <c r="L604" s="781"/>
      <c r="M604" s="781"/>
      <c r="N604" s="781"/>
      <c r="O604" s="781"/>
      <c r="P604" s="781"/>
      <c r="Q604" s="781"/>
      <c r="R604" s="781"/>
      <c r="S604" s="781"/>
      <c r="T604" s="781"/>
      <c r="U604" s="781"/>
      <c r="V604" s="781"/>
      <c r="W604" s="781"/>
      <c r="X604" s="781"/>
      <c r="Y604" s="781"/>
      <c r="Z604" s="781"/>
      <c r="AA604" s="781"/>
      <c r="AB604" s="781"/>
      <c r="AC604" s="781"/>
      <c r="AD604" s="781"/>
      <c r="AE604" s="781"/>
      <c r="AF604" s="781"/>
      <c r="AG604" s="781"/>
      <c r="AH604" s="781"/>
      <c r="AI604" s="781"/>
      <c r="AJ604" s="781"/>
      <c r="AK604" s="781"/>
      <c r="AL604" s="781"/>
      <c r="AM604" s="781"/>
      <c r="AN604" s="781"/>
      <c r="AO604" s="781"/>
      <c r="AP604" s="781"/>
      <c r="AQ604" s="781"/>
      <c r="AR604" s="781"/>
      <c r="AS604" s="781"/>
      <c r="AT604" s="781"/>
      <c r="AU604" s="781"/>
    </row>
    <row r="605" ht="15.75" customHeight="1">
      <c r="A605" s="795">
        <v>44474.0</v>
      </c>
      <c r="B605" s="787" t="s">
        <v>3097</v>
      </c>
      <c r="C605" s="797" t="s">
        <v>2547</v>
      </c>
      <c r="D605" s="772" t="s">
        <v>6346</v>
      </c>
      <c r="E605" s="821">
        <v>150000.0</v>
      </c>
      <c r="F605" s="772" t="s">
        <v>3096</v>
      </c>
      <c r="G605" s="782" t="s">
        <v>2550</v>
      </c>
      <c r="H605" s="782" t="s">
        <v>29</v>
      </c>
      <c r="I605" s="782" t="s">
        <v>2551</v>
      </c>
      <c r="J605" s="782">
        <v>43879.0</v>
      </c>
      <c r="K605" s="785" t="s">
        <v>3828</v>
      </c>
      <c r="L605" s="781"/>
      <c r="M605" s="781"/>
      <c r="N605" s="781"/>
      <c r="O605" s="781"/>
      <c r="P605" s="781"/>
      <c r="Q605" s="781"/>
      <c r="R605" s="781"/>
      <c r="S605" s="781"/>
      <c r="T605" s="781"/>
      <c r="U605" s="781"/>
      <c r="V605" s="781"/>
      <c r="W605" s="781"/>
      <c r="X605" s="781"/>
      <c r="Y605" s="781"/>
      <c r="Z605" s="781"/>
      <c r="AA605" s="781"/>
      <c r="AB605" s="781"/>
      <c r="AC605" s="781"/>
      <c r="AD605" s="781"/>
      <c r="AE605" s="781"/>
      <c r="AF605" s="781"/>
      <c r="AG605" s="781"/>
      <c r="AH605" s="781"/>
      <c r="AI605" s="781"/>
      <c r="AJ605" s="781"/>
      <c r="AK605" s="781"/>
      <c r="AL605" s="781"/>
      <c r="AM605" s="781"/>
      <c r="AN605" s="781"/>
      <c r="AO605" s="781"/>
      <c r="AP605" s="781"/>
      <c r="AQ605" s="781"/>
      <c r="AR605" s="781"/>
      <c r="AS605" s="781"/>
      <c r="AT605" s="781"/>
      <c r="AU605" s="781"/>
    </row>
    <row r="606" ht="15.75" customHeight="1">
      <c r="A606" s="795">
        <v>44475.0</v>
      </c>
      <c r="B606" s="787" t="s">
        <v>3219</v>
      </c>
      <c r="C606" s="797" t="s">
        <v>2547</v>
      </c>
      <c r="D606" s="772" t="s">
        <v>6346</v>
      </c>
      <c r="E606" s="821">
        <v>30000.0</v>
      </c>
      <c r="F606" s="772" t="s">
        <v>3218</v>
      </c>
      <c r="G606" s="782" t="s">
        <v>18</v>
      </c>
      <c r="H606" s="782" t="s">
        <v>176</v>
      </c>
      <c r="I606" s="782" t="s">
        <v>2634</v>
      </c>
      <c r="J606" s="782">
        <v>44279.0</v>
      </c>
      <c r="K606" s="785" t="s">
        <v>3824</v>
      </c>
      <c r="L606" s="781"/>
      <c r="M606" s="781"/>
      <c r="N606" s="781"/>
      <c r="O606" s="781"/>
      <c r="P606" s="781"/>
      <c r="Q606" s="781"/>
      <c r="R606" s="781"/>
      <c r="S606" s="781"/>
      <c r="T606" s="781"/>
      <c r="U606" s="781"/>
      <c r="V606" s="781"/>
      <c r="W606" s="781"/>
      <c r="X606" s="781"/>
      <c r="Y606" s="781"/>
      <c r="Z606" s="781"/>
      <c r="AA606" s="781"/>
      <c r="AB606" s="781"/>
      <c r="AC606" s="781"/>
      <c r="AD606" s="781"/>
      <c r="AE606" s="781"/>
      <c r="AF606" s="781"/>
      <c r="AG606" s="781"/>
      <c r="AH606" s="781"/>
      <c r="AI606" s="781"/>
      <c r="AJ606" s="781"/>
      <c r="AK606" s="781"/>
      <c r="AL606" s="781"/>
      <c r="AM606" s="781"/>
      <c r="AN606" s="781"/>
      <c r="AO606" s="781"/>
      <c r="AP606" s="781"/>
      <c r="AQ606" s="781"/>
      <c r="AR606" s="781"/>
      <c r="AS606" s="781"/>
      <c r="AT606" s="781"/>
      <c r="AU606" s="781"/>
    </row>
    <row r="607" ht="15.75" customHeight="1">
      <c r="A607" s="795">
        <v>44475.0</v>
      </c>
      <c r="B607" s="787" t="s">
        <v>3216</v>
      </c>
      <c r="C607" s="797" t="s">
        <v>2547</v>
      </c>
      <c r="D607" s="772" t="s">
        <v>6346</v>
      </c>
      <c r="E607" s="821">
        <v>20000.0</v>
      </c>
      <c r="F607" s="772" t="s">
        <v>3215</v>
      </c>
      <c r="G607" s="782" t="s">
        <v>18</v>
      </c>
      <c r="H607" s="782" t="s">
        <v>176</v>
      </c>
      <c r="I607" s="782" t="s">
        <v>197</v>
      </c>
      <c r="J607" s="782">
        <v>44322.0</v>
      </c>
      <c r="K607" s="785" t="s">
        <v>3828</v>
      </c>
      <c r="L607" s="781"/>
      <c r="M607" s="781"/>
      <c r="N607" s="781"/>
      <c r="O607" s="781"/>
      <c r="P607" s="781"/>
      <c r="Q607" s="781"/>
      <c r="R607" s="781"/>
      <c r="S607" s="781"/>
      <c r="T607" s="781"/>
      <c r="U607" s="781"/>
      <c r="V607" s="781"/>
      <c r="W607" s="781"/>
      <c r="X607" s="781"/>
      <c r="Y607" s="781"/>
      <c r="Z607" s="781"/>
      <c r="AA607" s="781"/>
      <c r="AB607" s="781"/>
      <c r="AC607" s="781"/>
      <c r="AD607" s="781"/>
      <c r="AE607" s="781"/>
      <c r="AF607" s="781"/>
      <c r="AG607" s="781"/>
      <c r="AH607" s="781"/>
      <c r="AI607" s="781"/>
      <c r="AJ607" s="781"/>
      <c r="AK607" s="781"/>
      <c r="AL607" s="781"/>
      <c r="AM607" s="781"/>
      <c r="AN607" s="781"/>
      <c r="AO607" s="781"/>
      <c r="AP607" s="781"/>
      <c r="AQ607" s="781"/>
      <c r="AR607" s="781"/>
      <c r="AS607" s="781"/>
      <c r="AT607" s="781"/>
      <c r="AU607" s="781"/>
    </row>
    <row r="608" ht="15.75" customHeight="1">
      <c r="A608" s="795">
        <v>44476.0</v>
      </c>
      <c r="B608" s="787" t="s">
        <v>6456</v>
      </c>
      <c r="C608" s="797" t="s">
        <v>2547</v>
      </c>
      <c r="D608" s="772" t="s">
        <v>1481</v>
      </c>
      <c r="E608" s="825">
        <v>121689.31</v>
      </c>
      <c r="F608" s="772" t="s">
        <v>2962</v>
      </c>
      <c r="G608" s="782" t="s">
        <v>18</v>
      </c>
      <c r="H608" s="782" t="s">
        <v>176</v>
      </c>
      <c r="I608" s="782" t="s">
        <v>177</v>
      </c>
      <c r="J608" s="782">
        <v>44333.0</v>
      </c>
      <c r="K608" s="785" t="s">
        <v>3828</v>
      </c>
      <c r="L608" s="781"/>
      <c r="M608" s="781"/>
      <c r="N608" s="781"/>
      <c r="O608" s="781"/>
      <c r="P608" s="781"/>
      <c r="Q608" s="781"/>
      <c r="R608" s="781"/>
      <c r="S608" s="781"/>
      <c r="T608" s="781"/>
      <c r="U608" s="781"/>
      <c r="V608" s="781"/>
      <c r="W608" s="781"/>
      <c r="X608" s="781"/>
      <c r="Y608" s="781"/>
      <c r="Z608" s="781"/>
      <c r="AA608" s="781"/>
      <c r="AB608" s="781"/>
      <c r="AC608" s="781"/>
      <c r="AD608" s="781"/>
      <c r="AE608" s="781"/>
      <c r="AF608" s="781"/>
      <c r="AG608" s="781"/>
      <c r="AH608" s="781"/>
      <c r="AI608" s="781"/>
      <c r="AJ608" s="781"/>
      <c r="AK608" s="781"/>
      <c r="AL608" s="781"/>
      <c r="AM608" s="781"/>
      <c r="AN608" s="781"/>
      <c r="AO608" s="781"/>
      <c r="AP608" s="781"/>
      <c r="AQ608" s="781"/>
      <c r="AR608" s="781"/>
      <c r="AS608" s="781"/>
      <c r="AT608" s="781"/>
      <c r="AU608" s="781"/>
    </row>
    <row r="609" ht="15.75" customHeight="1">
      <c r="A609" s="795">
        <v>44477.0</v>
      </c>
      <c r="B609" s="826" t="s">
        <v>6381</v>
      </c>
      <c r="C609" s="797" t="s">
        <v>3820</v>
      </c>
      <c r="D609" s="772" t="s">
        <v>1481</v>
      </c>
      <c r="E609" s="825">
        <v>94947.93</v>
      </c>
      <c r="F609" s="772" t="s">
        <v>5246</v>
      </c>
      <c r="G609" s="772" t="s">
        <v>105</v>
      </c>
      <c r="H609" s="772" t="s">
        <v>29</v>
      </c>
      <c r="I609" s="772" t="s">
        <v>5247</v>
      </c>
      <c r="J609" s="782">
        <v>44105.0</v>
      </c>
      <c r="K609" s="789" t="s">
        <v>3840</v>
      </c>
      <c r="L609" s="781"/>
      <c r="M609" s="781"/>
      <c r="N609" s="781"/>
      <c r="O609" s="781"/>
      <c r="P609" s="781"/>
      <c r="Q609" s="781"/>
      <c r="R609" s="781"/>
      <c r="S609" s="781"/>
      <c r="T609" s="781"/>
      <c r="U609" s="781"/>
      <c r="V609" s="781"/>
      <c r="W609" s="781"/>
      <c r="X609" s="781"/>
      <c r="Y609" s="781"/>
      <c r="Z609" s="781"/>
      <c r="AA609" s="781"/>
      <c r="AB609" s="781"/>
      <c r="AC609" s="781"/>
      <c r="AD609" s="781"/>
      <c r="AE609" s="781"/>
      <c r="AF609" s="781"/>
      <c r="AG609" s="781"/>
      <c r="AH609" s="781"/>
      <c r="AI609" s="781"/>
      <c r="AJ609" s="781"/>
      <c r="AK609" s="781"/>
      <c r="AL609" s="781"/>
      <c r="AM609" s="781"/>
      <c r="AN609" s="781"/>
      <c r="AO609" s="781"/>
      <c r="AP609" s="781"/>
      <c r="AQ609" s="781"/>
      <c r="AR609" s="781"/>
      <c r="AS609" s="781"/>
      <c r="AT609" s="781"/>
      <c r="AU609" s="781"/>
    </row>
    <row r="610" ht="15.75" customHeight="1">
      <c r="A610" s="819">
        <v>44477.0</v>
      </c>
      <c r="B610" s="783" t="s">
        <v>6457</v>
      </c>
      <c r="C610" s="772" t="s">
        <v>3820</v>
      </c>
      <c r="D610" s="772" t="s">
        <v>6345</v>
      </c>
      <c r="E610" s="784">
        <v>0.0</v>
      </c>
      <c r="F610" s="772" t="s">
        <v>4404</v>
      </c>
      <c r="G610" s="772" t="s">
        <v>105</v>
      </c>
      <c r="H610" s="772" t="s">
        <v>29</v>
      </c>
      <c r="I610" s="772" t="s">
        <v>3660</v>
      </c>
      <c r="J610" s="782">
        <v>44238.0</v>
      </c>
      <c r="K610" s="789" t="s">
        <v>3824</v>
      </c>
      <c r="L610" s="781"/>
      <c r="M610" s="781"/>
      <c r="N610" s="781"/>
      <c r="O610" s="781"/>
      <c r="P610" s="781"/>
      <c r="Q610" s="781"/>
      <c r="R610" s="781"/>
      <c r="S610" s="781"/>
      <c r="T610" s="781"/>
      <c r="U610" s="781"/>
      <c r="V610" s="781"/>
      <c r="W610" s="781"/>
      <c r="X610" s="781"/>
      <c r="Y610" s="781"/>
      <c r="Z610" s="781"/>
      <c r="AA610" s="781"/>
      <c r="AB610" s="781"/>
      <c r="AC610" s="781"/>
      <c r="AD610" s="781"/>
      <c r="AE610" s="781"/>
      <c r="AF610" s="781"/>
      <c r="AG610" s="781"/>
      <c r="AH610" s="781"/>
      <c r="AI610" s="781"/>
      <c r="AJ610" s="781"/>
      <c r="AK610" s="781"/>
      <c r="AL610" s="781"/>
      <c r="AM610" s="781"/>
      <c r="AN610" s="781"/>
      <c r="AO610" s="781"/>
      <c r="AP610" s="781"/>
      <c r="AQ610" s="781"/>
      <c r="AR610" s="781"/>
      <c r="AS610" s="781"/>
      <c r="AT610" s="781"/>
      <c r="AU610" s="781"/>
    </row>
    <row r="611" ht="15.75" customHeight="1">
      <c r="A611" s="795">
        <v>44480.0</v>
      </c>
      <c r="B611" s="822" t="s">
        <v>3507</v>
      </c>
      <c r="C611" s="797" t="s">
        <v>2547</v>
      </c>
      <c r="D611" s="772" t="s">
        <v>6346</v>
      </c>
      <c r="E611" s="821">
        <v>20000.0</v>
      </c>
      <c r="F611" s="772" t="s">
        <v>3506</v>
      </c>
      <c r="G611" s="782" t="s">
        <v>18</v>
      </c>
      <c r="H611" s="782" t="s">
        <v>176</v>
      </c>
      <c r="I611" s="782" t="s">
        <v>177</v>
      </c>
      <c r="J611" s="782">
        <v>44263.0</v>
      </c>
      <c r="K611" s="785" t="s">
        <v>3836</v>
      </c>
      <c r="L611" s="781"/>
      <c r="M611" s="781"/>
      <c r="N611" s="781"/>
      <c r="O611" s="781"/>
      <c r="P611" s="781"/>
      <c r="Q611" s="781"/>
      <c r="R611" s="781"/>
      <c r="S611" s="781"/>
      <c r="T611" s="781"/>
      <c r="U611" s="781"/>
      <c r="V611" s="781"/>
      <c r="W611" s="781"/>
      <c r="X611" s="781"/>
      <c r="Y611" s="781"/>
      <c r="Z611" s="781"/>
      <c r="AA611" s="781"/>
      <c r="AB611" s="781"/>
      <c r="AC611" s="781"/>
      <c r="AD611" s="781"/>
      <c r="AE611" s="781"/>
      <c r="AF611" s="781"/>
      <c r="AG611" s="781"/>
      <c r="AH611" s="781"/>
      <c r="AI611" s="781"/>
      <c r="AJ611" s="781"/>
      <c r="AK611" s="781"/>
      <c r="AL611" s="781"/>
      <c r="AM611" s="781"/>
      <c r="AN611" s="781"/>
      <c r="AO611" s="781"/>
      <c r="AP611" s="781"/>
      <c r="AQ611" s="781"/>
      <c r="AR611" s="781"/>
      <c r="AS611" s="781"/>
      <c r="AT611" s="781"/>
      <c r="AU611" s="781"/>
    </row>
    <row r="612" ht="15.75" customHeight="1">
      <c r="A612" s="819">
        <v>44480.0</v>
      </c>
      <c r="B612" s="806" t="s">
        <v>3281</v>
      </c>
      <c r="C612" s="772" t="s">
        <v>2547</v>
      </c>
      <c r="D612" s="772" t="s">
        <v>6345</v>
      </c>
      <c r="E612" s="784">
        <v>489398.81</v>
      </c>
      <c r="F612" s="772" t="s">
        <v>3280</v>
      </c>
      <c r="G612" s="782" t="s">
        <v>18</v>
      </c>
      <c r="H612" s="782" t="s">
        <v>176</v>
      </c>
      <c r="I612" s="782" t="s">
        <v>197</v>
      </c>
      <c r="J612" s="782">
        <v>44280.0</v>
      </c>
      <c r="K612" s="785" t="s">
        <v>3824</v>
      </c>
      <c r="L612" s="781"/>
      <c r="M612" s="781"/>
      <c r="N612" s="781"/>
      <c r="O612" s="781"/>
      <c r="P612" s="781"/>
      <c r="Q612" s="781"/>
      <c r="R612" s="781"/>
      <c r="S612" s="781"/>
      <c r="T612" s="781"/>
      <c r="U612" s="781"/>
      <c r="V612" s="781"/>
      <c r="W612" s="781"/>
      <c r="X612" s="781"/>
      <c r="Y612" s="781"/>
      <c r="Z612" s="781"/>
      <c r="AA612" s="781"/>
      <c r="AB612" s="781"/>
      <c r="AC612" s="781"/>
      <c r="AD612" s="781"/>
      <c r="AE612" s="781"/>
      <c r="AF612" s="781"/>
      <c r="AG612" s="781"/>
      <c r="AH612" s="781"/>
      <c r="AI612" s="781"/>
      <c r="AJ612" s="781"/>
      <c r="AK612" s="781"/>
      <c r="AL612" s="781"/>
      <c r="AM612" s="781"/>
      <c r="AN612" s="781"/>
      <c r="AO612" s="781"/>
      <c r="AP612" s="781"/>
      <c r="AQ612" s="781"/>
      <c r="AR612" s="781"/>
      <c r="AS612" s="781"/>
      <c r="AT612" s="781"/>
      <c r="AU612" s="781"/>
    </row>
    <row r="613" ht="15.75" customHeight="1">
      <c r="A613" s="795">
        <v>44482.0</v>
      </c>
      <c r="B613" s="787" t="s">
        <v>6458</v>
      </c>
      <c r="C613" s="797" t="s">
        <v>3820</v>
      </c>
      <c r="D613" s="772" t="s">
        <v>1481</v>
      </c>
      <c r="E613" s="825">
        <v>274363.67</v>
      </c>
      <c r="F613" s="772" t="s">
        <v>5265</v>
      </c>
      <c r="G613" s="772" t="s">
        <v>18</v>
      </c>
      <c r="H613" s="772" t="s">
        <v>19</v>
      </c>
      <c r="I613" s="772" t="s">
        <v>5266</v>
      </c>
      <c r="J613" s="782">
        <v>44356.0</v>
      </c>
      <c r="K613" s="789" t="s">
        <v>3836</v>
      </c>
      <c r="L613" s="781"/>
      <c r="M613" s="781"/>
      <c r="N613" s="781"/>
      <c r="O613" s="781"/>
      <c r="P613" s="781"/>
      <c r="Q613" s="781"/>
      <c r="R613" s="781"/>
      <c r="S613" s="781"/>
      <c r="T613" s="781"/>
      <c r="U613" s="781"/>
      <c r="V613" s="781"/>
      <c r="W613" s="781"/>
      <c r="X613" s="781"/>
      <c r="Y613" s="781"/>
      <c r="Z613" s="781"/>
      <c r="AA613" s="781"/>
      <c r="AB613" s="781"/>
      <c r="AC613" s="781"/>
      <c r="AD613" s="781"/>
      <c r="AE613" s="781"/>
      <c r="AF613" s="781"/>
      <c r="AG613" s="781"/>
      <c r="AH613" s="781"/>
      <c r="AI613" s="781"/>
      <c r="AJ613" s="781"/>
      <c r="AK613" s="781"/>
      <c r="AL613" s="781"/>
      <c r="AM613" s="781"/>
      <c r="AN613" s="781"/>
      <c r="AO613" s="781"/>
      <c r="AP613" s="781"/>
      <c r="AQ613" s="781"/>
      <c r="AR613" s="781"/>
      <c r="AS613" s="781"/>
      <c r="AT613" s="781"/>
      <c r="AU613" s="781"/>
    </row>
    <row r="614" ht="15.75" customHeight="1">
      <c r="A614" s="795">
        <v>44482.0</v>
      </c>
      <c r="B614" s="783" t="s">
        <v>6459</v>
      </c>
      <c r="C614" s="797" t="s">
        <v>3820</v>
      </c>
      <c r="D614" s="772" t="s">
        <v>6346</v>
      </c>
      <c r="E614" s="825">
        <v>150000.0</v>
      </c>
      <c r="F614" s="772" t="s">
        <v>4588</v>
      </c>
      <c r="G614" s="772" t="s">
        <v>2550</v>
      </c>
      <c r="H614" s="772" t="s">
        <v>29</v>
      </c>
      <c r="I614" s="772" t="s">
        <v>2550</v>
      </c>
      <c r="J614" s="782">
        <v>44118.0</v>
      </c>
      <c r="K614" s="789" t="s">
        <v>3840</v>
      </c>
      <c r="L614" s="781"/>
      <c r="M614" s="781"/>
      <c r="N614" s="781"/>
      <c r="O614" s="781"/>
      <c r="P614" s="781"/>
      <c r="Q614" s="781"/>
      <c r="R614" s="781"/>
      <c r="S614" s="781"/>
      <c r="T614" s="781"/>
      <c r="U614" s="781"/>
      <c r="V614" s="781"/>
      <c r="W614" s="781"/>
      <c r="X614" s="781"/>
      <c r="Y614" s="781"/>
      <c r="Z614" s="781"/>
      <c r="AA614" s="781"/>
      <c r="AB614" s="781"/>
      <c r="AC614" s="781"/>
      <c r="AD614" s="781"/>
      <c r="AE614" s="781"/>
      <c r="AF614" s="781"/>
      <c r="AG614" s="781"/>
      <c r="AH614" s="781"/>
      <c r="AI614" s="781"/>
      <c r="AJ614" s="781"/>
      <c r="AK614" s="781"/>
      <c r="AL614" s="781"/>
      <c r="AM614" s="781"/>
      <c r="AN614" s="781"/>
      <c r="AO614" s="781"/>
      <c r="AP614" s="781"/>
      <c r="AQ614" s="781"/>
      <c r="AR614" s="781"/>
      <c r="AS614" s="781"/>
      <c r="AT614" s="781"/>
      <c r="AU614" s="781"/>
    </row>
    <row r="615" ht="15.75" customHeight="1">
      <c r="A615" s="819">
        <v>44482.0</v>
      </c>
      <c r="B615" s="783" t="s">
        <v>3056</v>
      </c>
      <c r="C615" s="772" t="s">
        <v>2547</v>
      </c>
      <c r="D615" s="772" t="s">
        <v>6345</v>
      </c>
      <c r="E615" s="784">
        <v>15.64</v>
      </c>
      <c r="F615" s="772" t="s">
        <v>3055</v>
      </c>
      <c r="G615" s="782" t="s">
        <v>2550</v>
      </c>
      <c r="H615" s="782" t="s">
        <v>29</v>
      </c>
      <c r="I615" s="782" t="s">
        <v>2562</v>
      </c>
      <c r="J615" s="782">
        <v>43559.0</v>
      </c>
      <c r="K615" s="785" t="s">
        <v>4206</v>
      </c>
      <c r="L615" s="781"/>
      <c r="M615" s="781"/>
      <c r="N615" s="781"/>
      <c r="O615" s="781"/>
      <c r="P615" s="781"/>
      <c r="Q615" s="781"/>
      <c r="R615" s="781"/>
      <c r="S615" s="781"/>
      <c r="T615" s="781"/>
      <c r="U615" s="781"/>
      <c r="V615" s="781"/>
      <c r="W615" s="781"/>
      <c r="X615" s="781"/>
      <c r="Y615" s="781"/>
      <c r="Z615" s="781"/>
      <c r="AA615" s="781"/>
      <c r="AB615" s="781"/>
      <c r="AC615" s="781"/>
      <c r="AD615" s="781"/>
      <c r="AE615" s="781"/>
      <c r="AF615" s="781"/>
      <c r="AG615" s="781"/>
      <c r="AH615" s="781"/>
      <c r="AI615" s="781"/>
      <c r="AJ615" s="781"/>
      <c r="AK615" s="781"/>
      <c r="AL615" s="781"/>
      <c r="AM615" s="781"/>
      <c r="AN615" s="781"/>
      <c r="AO615" s="781"/>
      <c r="AP615" s="781"/>
      <c r="AQ615" s="781"/>
      <c r="AR615" s="781"/>
      <c r="AS615" s="781"/>
      <c r="AT615" s="781"/>
      <c r="AU615" s="781"/>
    </row>
    <row r="616" ht="15.75" customHeight="1">
      <c r="A616" s="819">
        <v>44482.0</v>
      </c>
      <c r="B616" s="783" t="s">
        <v>3023</v>
      </c>
      <c r="C616" s="772" t="s">
        <v>2547</v>
      </c>
      <c r="D616" s="772" t="s">
        <v>6345</v>
      </c>
      <c r="E616" s="784">
        <v>115.28</v>
      </c>
      <c r="F616" s="772" t="s">
        <v>3022</v>
      </c>
      <c r="G616" s="782" t="s">
        <v>2550</v>
      </c>
      <c r="H616" s="782" t="s">
        <v>29</v>
      </c>
      <c r="I616" s="782" t="s">
        <v>2551</v>
      </c>
      <c r="J616" s="782">
        <v>43620.0</v>
      </c>
      <c r="K616" s="785" t="s">
        <v>3840</v>
      </c>
      <c r="L616" s="781"/>
      <c r="M616" s="781"/>
      <c r="N616" s="781"/>
      <c r="O616" s="781"/>
      <c r="P616" s="781"/>
      <c r="Q616" s="781"/>
      <c r="R616" s="781"/>
      <c r="S616" s="781"/>
      <c r="T616" s="781"/>
      <c r="U616" s="781"/>
      <c r="V616" s="781"/>
      <c r="W616" s="781"/>
      <c r="X616" s="781"/>
      <c r="Y616" s="781"/>
      <c r="Z616" s="781"/>
      <c r="AA616" s="781"/>
      <c r="AB616" s="781"/>
      <c r="AC616" s="781"/>
      <c r="AD616" s="781"/>
      <c r="AE616" s="781"/>
      <c r="AF616" s="781"/>
      <c r="AG616" s="781"/>
      <c r="AH616" s="781"/>
      <c r="AI616" s="781"/>
      <c r="AJ616" s="781"/>
      <c r="AK616" s="781"/>
      <c r="AL616" s="781"/>
      <c r="AM616" s="781"/>
      <c r="AN616" s="781"/>
      <c r="AO616" s="781"/>
      <c r="AP616" s="781"/>
      <c r="AQ616" s="781"/>
      <c r="AR616" s="781"/>
      <c r="AS616" s="781"/>
      <c r="AT616" s="781"/>
      <c r="AU616" s="781"/>
    </row>
    <row r="617" ht="15.75" customHeight="1">
      <c r="A617" s="819">
        <v>44482.0</v>
      </c>
      <c r="B617" s="783" t="s">
        <v>2877</v>
      </c>
      <c r="C617" s="772" t="s">
        <v>2547</v>
      </c>
      <c r="D617" s="772" t="s">
        <v>6345</v>
      </c>
      <c r="E617" s="784">
        <v>13.08</v>
      </c>
      <c r="F617" s="772" t="s">
        <v>2876</v>
      </c>
      <c r="G617" s="782" t="s">
        <v>2550</v>
      </c>
      <c r="H617" s="782" t="s">
        <v>29</v>
      </c>
      <c r="I617" s="782" t="s">
        <v>2551</v>
      </c>
      <c r="J617" s="782">
        <v>43675.0</v>
      </c>
      <c r="K617" s="785" t="s">
        <v>4206</v>
      </c>
      <c r="L617" s="781"/>
      <c r="M617" s="781"/>
      <c r="N617" s="781"/>
      <c r="O617" s="781"/>
      <c r="P617" s="781"/>
      <c r="Q617" s="781"/>
      <c r="R617" s="781"/>
      <c r="S617" s="781"/>
      <c r="T617" s="781"/>
      <c r="U617" s="781"/>
      <c r="V617" s="781"/>
      <c r="W617" s="781"/>
      <c r="X617" s="781"/>
      <c r="Y617" s="781"/>
      <c r="Z617" s="781"/>
      <c r="AA617" s="781"/>
      <c r="AB617" s="781"/>
      <c r="AC617" s="781"/>
      <c r="AD617" s="781"/>
      <c r="AE617" s="781"/>
      <c r="AF617" s="781"/>
      <c r="AG617" s="781"/>
      <c r="AH617" s="781"/>
      <c r="AI617" s="781"/>
      <c r="AJ617" s="781"/>
      <c r="AK617" s="781"/>
      <c r="AL617" s="781"/>
      <c r="AM617" s="781"/>
      <c r="AN617" s="781"/>
      <c r="AO617" s="781"/>
      <c r="AP617" s="781"/>
      <c r="AQ617" s="781"/>
      <c r="AR617" s="781"/>
      <c r="AS617" s="781"/>
      <c r="AT617" s="781"/>
      <c r="AU617" s="781"/>
    </row>
    <row r="618" ht="15.75" customHeight="1">
      <c r="A618" s="819">
        <v>44482.0</v>
      </c>
      <c r="B618" s="783" t="s">
        <v>2851</v>
      </c>
      <c r="C618" s="772" t="s">
        <v>2547</v>
      </c>
      <c r="D618" s="772" t="s">
        <v>6345</v>
      </c>
      <c r="E618" s="784"/>
      <c r="F618" s="772" t="s">
        <v>2850</v>
      </c>
      <c r="G618" s="782" t="s">
        <v>2550</v>
      </c>
      <c r="H618" s="782" t="s">
        <v>29</v>
      </c>
      <c r="I618" s="782" t="s">
        <v>2550</v>
      </c>
      <c r="J618" s="782" t="s">
        <v>2599</v>
      </c>
      <c r="K618" s="785" t="s">
        <v>3828</v>
      </c>
      <c r="L618" s="781"/>
      <c r="M618" s="781"/>
      <c r="N618" s="781"/>
      <c r="O618" s="781"/>
      <c r="P618" s="781"/>
      <c r="Q618" s="781"/>
      <c r="R618" s="781"/>
      <c r="S618" s="781"/>
      <c r="T618" s="781"/>
      <c r="U618" s="781"/>
      <c r="V618" s="781"/>
      <c r="W618" s="781"/>
      <c r="X618" s="781"/>
      <c r="Y618" s="781"/>
      <c r="Z618" s="781"/>
      <c r="AA618" s="781"/>
      <c r="AB618" s="781"/>
      <c r="AC618" s="781"/>
      <c r="AD618" s="781"/>
      <c r="AE618" s="781"/>
      <c r="AF618" s="781"/>
      <c r="AG618" s="781"/>
      <c r="AH618" s="781"/>
      <c r="AI618" s="781"/>
      <c r="AJ618" s="781"/>
      <c r="AK618" s="781"/>
      <c r="AL618" s="781"/>
      <c r="AM618" s="781"/>
      <c r="AN618" s="781"/>
      <c r="AO618" s="781"/>
      <c r="AP618" s="781"/>
      <c r="AQ618" s="781"/>
      <c r="AR618" s="781"/>
      <c r="AS618" s="781"/>
      <c r="AT618" s="781"/>
      <c r="AU618" s="781"/>
    </row>
    <row r="619" ht="15.75" customHeight="1">
      <c r="A619" s="819">
        <v>44482.0</v>
      </c>
      <c r="B619" s="783" t="s">
        <v>2809</v>
      </c>
      <c r="C619" s="772" t="s">
        <v>2547</v>
      </c>
      <c r="D619" s="772" t="s">
        <v>6345</v>
      </c>
      <c r="E619" s="784">
        <v>3049.18</v>
      </c>
      <c r="F619" s="772" t="s">
        <v>2808</v>
      </c>
      <c r="G619" s="782" t="s">
        <v>2550</v>
      </c>
      <c r="H619" s="782" t="s">
        <v>29</v>
      </c>
      <c r="I619" s="782" t="s">
        <v>2550</v>
      </c>
      <c r="J619" s="782">
        <v>44124.0</v>
      </c>
      <c r="K619" s="785" t="s">
        <v>3828</v>
      </c>
      <c r="L619" s="781"/>
      <c r="M619" s="781"/>
      <c r="N619" s="781"/>
      <c r="O619" s="781"/>
      <c r="P619" s="781"/>
      <c r="Q619" s="781"/>
      <c r="R619" s="781"/>
      <c r="S619" s="781"/>
      <c r="T619" s="781"/>
      <c r="U619" s="781"/>
      <c r="V619" s="781"/>
      <c r="W619" s="781"/>
      <c r="X619" s="781"/>
      <c r="Y619" s="781"/>
      <c r="Z619" s="781"/>
      <c r="AA619" s="781"/>
      <c r="AB619" s="781"/>
      <c r="AC619" s="781"/>
      <c r="AD619" s="781"/>
      <c r="AE619" s="781"/>
      <c r="AF619" s="781"/>
      <c r="AG619" s="781"/>
      <c r="AH619" s="781"/>
      <c r="AI619" s="781"/>
      <c r="AJ619" s="781"/>
      <c r="AK619" s="781"/>
      <c r="AL619" s="781"/>
      <c r="AM619" s="781"/>
      <c r="AN619" s="781"/>
      <c r="AO619" s="781"/>
      <c r="AP619" s="781"/>
      <c r="AQ619" s="781"/>
      <c r="AR619" s="781"/>
      <c r="AS619" s="781"/>
      <c r="AT619" s="781"/>
      <c r="AU619" s="781"/>
    </row>
    <row r="620" ht="15.75" customHeight="1">
      <c r="A620" s="819">
        <v>44482.0</v>
      </c>
      <c r="B620" s="783" t="s">
        <v>2813</v>
      </c>
      <c r="C620" s="772" t="s">
        <v>2547</v>
      </c>
      <c r="D620" s="772" t="s">
        <v>6345</v>
      </c>
      <c r="E620" s="784">
        <v>693.98</v>
      </c>
      <c r="F620" s="772" t="s">
        <v>2812</v>
      </c>
      <c r="G620" s="782" t="s">
        <v>2550</v>
      </c>
      <c r="H620" s="782" t="s">
        <v>29</v>
      </c>
      <c r="I620" s="782" t="s">
        <v>2550</v>
      </c>
      <c r="J620" s="782">
        <v>44118.0</v>
      </c>
      <c r="K620" s="785" t="s">
        <v>3828</v>
      </c>
      <c r="L620" s="781"/>
      <c r="M620" s="781"/>
      <c r="N620" s="781"/>
      <c r="O620" s="781"/>
      <c r="P620" s="781"/>
      <c r="Q620" s="781"/>
      <c r="R620" s="781"/>
      <c r="S620" s="781"/>
      <c r="T620" s="781"/>
      <c r="U620" s="781"/>
      <c r="V620" s="781"/>
      <c r="W620" s="781"/>
      <c r="X620" s="781"/>
      <c r="Y620" s="781"/>
      <c r="Z620" s="781"/>
      <c r="AA620" s="781"/>
      <c r="AB620" s="781"/>
      <c r="AC620" s="781"/>
      <c r="AD620" s="781"/>
      <c r="AE620" s="781"/>
      <c r="AF620" s="781"/>
      <c r="AG620" s="781"/>
      <c r="AH620" s="781"/>
      <c r="AI620" s="781"/>
      <c r="AJ620" s="781"/>
      <c r="AK620" s="781"/>
      <c r="AL620" s="781"/>
      <c r="AM620" s="781"/>
      <c r="AN620" s="781"/>
      <c r="AO620" s="781"/>
      <c r="AP620" s="781"/>
      <c r="AQ620" s="781"/>
      <c r="AR620" s="781"/>
      <c r="AS620" s="781"/>
      <c r="AT620" s="781"/>
      <c r="AU620" s="781"/>
    </row>
    <row r="621" ht="15.75" customHeight="1">
      <c r="A621" s="819">
        <v>44482.0</v>
      </c>
      <c r="B621" s="783" t="s">
        <v>2776</v>
      </c>
      <c r="C621" s="772" t="s">
        <v>2547</v>
      </c>
      <c r="D621" s="772" t="s">
        <v>6345</v>
      </c>
      <c r="E621" s="784"/>
      <c r="F621" s="772" t="s">
        <v>2775</v>
      </c>
      <c r="G621" s="782" t="s">
        <v>2550</v>
      </c>
      <c r="H621" s="782" t="s">
        <v>29</v>
      </c>
      <c r="I621" s="782" t="s">
        <v>2562</v>
      </c>
      <c r="J621" s="782">
        <v>43609.0</v>
      </c>
      <c r="K621" s="785" t="s">
        <v>3840</v>
      </c>
      <c r="L621" s="781"/>
      <c r="M621" s="781"/>
      <c r="N621" s="781"/>
      <c r="O621" s="781"/>
      <c r="P621" s="781"/>
      <c r="Q621" s="781"/>
      <c r="R621" s="781"/>
      <c r="S621" s="781"/>
      <c r="T621" s="781"/>
      <c r="U621" s="781"/>
      <c r="V621" s="781"/>
      <c r="W621" s="781"/>
      <c r="X621" s="781"/>
      <c r="Y621" s="781"/>
      <c r="Z621" s="781"/>
      <c r="AA621" s="781"/>
      <c r="AB621" s="781"/>
      <c r="AC621" s="781"/>
      <c r="AD621" s="781"/>
      <c r="AE621" s="781"/>
      <c r="AF621" s="781"/>
      <c r="AG621" s="781"/>
      <c r="AH621" s="781"/>
      <c r="AI621" s="781"/>
      <c r="AJ621" s="781"/>
      <c r="AK621" s="781"/>
      <c r="AL621" s="781"/>
      <c r="AM621" s="781"/>
      <c r="AN621" s="781"/>
      <c r="AO621" s="781"/>
      <c r="AP621" s="781"/>
      <c r="AQ621" s="781"/>
      <c r="AR621" s="781"/>
      <c r="AS621" s="781"/>
      <c r="AT621" s="781"/>
      <c r="AU621" s="781"/>
    </row>
    <row r="622" ht="15.75" customHeight="1">
      <c r="A622" s="819">
        <v>44482.0</v>
      </c>
      <c r="B622" s="783" t="s">
        <v>2778</v>
      </c>
      <c r="C622" s="772" t="s">
        <v>2547</v>
      </c>
      <c r="D622" s="772" t="s">
        <v>6345</v>
      </c>
      <c r="E622" s="784"/>
      <c r="F622" s="772" t="s">
        <v>2775</v>
      </c>
      <c r="G622" s="782" t="s">
        <v>2550</v>
      </c>
      <c r="H622" s="782" t="s">
        <v>29</v>
      </c>
      <c r="I622" s="782" t="s">
        <v>2562</v>
      </c>
      <c r="J622" s="782">
        <v>43609.0</v>
      </c>
      <c r="K622" s="785" t="s">
        <v>3836</v>
      </c>
      <c r="L622" s="781"/>
      <c r="M622" s="781"/>
      <c r="N622" s="781"/>
      <c r="O622" s="781"/>
      <c r="P622" s="781"/>
      <c r="Q622" s="781"/>
      <c r="R622" s="781"/>
      <c r="S622" s="781"/>
      <c r="T622" s="781"/>
      <c r="U622" s="781"/>
      <c r="V622" s="781"/>
      <c r="W622" s="781"/>
      <c r="X622" s="781"/>
      <c r="Y622" s="781"/>
      <c r="Z622" s="781"/>
      <c r="AA622" s="781"/>
      <c r="AB622" s="781"/>
      <c r="AC622" s="781"/>
      <c r="AD622" s="781"/>
      <c r="AE622" s="781"/>
      <c r="AF622" s="781"/>
      <c r="AG622" s="781"/>
      <c r="AH622" s="781"/>
      <c r="AI622" s="781"/>
      <c r="AJ622" s="781"/>
      <c r="AK622" s="781"/>
      <c r="AL622" s="781"/>
      <c r="AM622" s="781"/>
      <c r="AN622" s="781"/>
      <c r="AO622" s="781"/>
      <c r="AP622" s="781"/>
      <c r="AQ622" s="781"/>
      <c r="AR622" s="781"/>
      <c r="AS622" s="781"/>
      <c r="AT622" s="781"/>
      <c r="AU622" s="781"/>
    </row>
    <row r="623" ht="15.75" customHeight="1">
      <c r="A623" s="819">
        <v>44482.0</v>
      </c>
      <c r="B623" s="783" t="s">
        <v>2763</v>
      </c>
      <c r="C623" s="772" t="s">
        <v>2547</v>
      </c>
      <c r="D623" s="772" t="s">
        <v>6345</v>
      </c>
      <c r="E623" s="784"/>
      <c r="F623" s="772"/>
      <c r="G623" s="782"/>
      <c r="H623" s="782"/>
      <c r="I623" s="782"/>
      <c r="J623" s="782"/>
      <c r="K623" s="785"/>
      <c r="L623" s="781"/>
      <c r="M623" s="781"/>
      <c r="N623" s="781"/>
      <c r="O623" s="781"/>
      <c r="P623" s="781"/>
      <c r="Q623" s="781"/>
      <c r="R623" s="781"/>
      <c r="S623" s="781"/>
      <c r="T623" s="781"/>
      <c r="U623" s="781"/>
      <c r="V623" s="781"/>
      <c r="W623" s="781"/>
      <c r="X623" s="781"/>
      <c r="Y623" s="781"/>
      <c r="Z623" s="781"/>
      <c r="AA623" s="781"/>
      <c r="AB623" s="781"/>
      <c r="AC623" s="781"/>
      <c r="AD623" s="781"/>
      <c r="AE623" s="781"/>
      <c r="AF623" s="781"/>
      <c r="AG623" s="781"/>
      <c r="AH623" s="781"/>
      <c r="AI623" s="781"/>
      <c r="AJ623" s="781"/>
      <c r="AK623" s="781"/>
      <c r="AL623" s="781"/>
      <c r="AM623" s="781"/>
      <c r="AN623" s="781"/>
      <c r="AO623" s="781"/>
      <c r="AP623" s="781"/>
      <c r="AQ623" s="781"/>
      <c r="AR623" s="781"/>
      <c r="AS623" s="781"/>
      <c r="AT623" s="781"/>
      <c r="AU623" s="781"/>
    </row>
    <row r="624" ht="15.75" customHeight="1">
      <c r="A624" s="819">
        <v>44482.0</v>
      </c>
      <c r="B624" s="783" t="s">
        <v>2598</v>
      </c>
      <c r="C624" s="772" t="s">
        <v>2547</v>
      </c>
      <c r="D624" s="772" t="s">
        <v>6345</v>
      </c>
      <c r="E624" s="784"/>
      <c r="F624" s="772" t="s">
        <v>2597</v>
      </c>
      <c r="G624" s="782" t="s">
        <v>2550</v>
      </c>
      <c r="H624" s="782" t="s">
        <v>29</v>
      </c>
      <c r="I624" s="782" t="s">
        <v>2551</v>
      </c>
      <c r="J624" s="782" t="s">
        <v>2599</v>
      </c>
      <c r="K624" s="785" t="s">
        <v>3828</v>
      </c>
      <c r="L624" s="781"/>
      <c r="M624" s="781"/>
      <c r="N624" s="781"/>
      <c r="O624" s="781"/>
      <c r="P624" s="781"/>
      <c r="Q624" s="781"/>
      <c r="R624" s="781"/>
      <c r="S624" s="781"/>
      <c r="T624" s="781"/>
      <c r="U624" s="781"/>
      <c r="V624" s="781"/>
      <c r="W624" s="781"/>
      <c r="X624" s="781"/>
      <c r="Y624" s="781"/>
      <c r="Z624" s="781"/>
      <c r="AA624" s="781"/>
      <c r="AB624" s="781"/>
      <c r="AC624" s="781"/>
      <c r="AD624" s="781"/>
      <c r="AE624" s="781"/>
      <c r="AF624" s="781"/>
      <c r="AG624" s="781"/>
      <c r="AH624" s="781"/>
      <c r="AI624" s="781"/>
      <c r="AJ624" s="781"/>
      <c r="AK624" s="781"/>
      <c r="AL624" s="781"/>
      <c r="AM624" s="781"/>
      <c r="AN624" s="781"/>
      <c r="AO624" s="781"/>
      <c r="AP624" s="781"/>
      <c r="AQ624" s="781"/>
      <c r="AR624" s="781"/>
      <c r="AS624" s="781"/>
      <c r="AT624" s="781"/>
      <c r="AU624" s="781"/>
    </row>
    <row r="625" ht="15.75" customHeight="1">
      <c r="A625" s="819">
        <v>44482.0</v>
      </c>
      <c r="B625" s="783" t="s">
        <v>6381</v>
      </c>
      <c r="C625" s="772" t="s">
        <v>3820</v>
      </c>
      <c r="D625" s="772" t="s">
        <v>6345</v>
      </c>
      <c r="E625" s="784">
        <v>0.0</v>
      </c>
      <c r="F625" s="772" t="s">
        <v>5246</v>
      </c>
      <c r="G625" s="772" t="s">
        <v>105</v>
      </c>
      <c r="H625" s="772" t="s">
        <v>29</v>
      </c>
      <c r="I625" s="772" t="s">
        <v>5247</v>
      </c>
      <c r="J625" s="782">
        <v>44105.0</v>
      </c>
      <c r="K625" s="789" t="s">
        <v>3840</v>
      </c>
      <c r="L625" s="781"/>
      <c r="M625" s="781"/>
      <c r="N625" s="781"/>
      <c r="O625" s="781"/>
      <c r="P625" s="781"/>
      <c r="Q625" s="781"/>
      <c r="R625" s="781"/>
      <c r="S625" s="781"/>
      <c r="T625" s="781"/>
      <c r="U625" s="781"/>
      <c r="V625" s="781"/>
      <c r="W625" s="781"/>
      <c r="X625" s="781"/>
      <c r="Y625" s="781"/>
      <c r="Z625" s="781"/>
      <c r="AA625" s="781"/>
      <c r="AB625" s="781"/>
      <c r="AC625" s="781"/>
      <c r="AD625" s="781"/>
      <c r="AE625" s="781"/>
      <c r="AF625" s="781"/>
      <c r="AG625" s="781"/>
      <c r="AH625" s="781"/>
      <c r="AI625" s="781"/>
      <c r="AJ625" s="781"/>
      <c r="AK625" s="781"/>
      <c r="AL625" s="781"/>
      <c r="AM625" s="781"/>
      <c r="AN625" s="781"/>
      <c r="AO625" s="781"/>
      <c r="AP625" s="781"/>
      <c r="AQ625" s="781"/>
      <c r="AR625" s="781"/>
      <c r="AS625" s="781"/>
      <c r="AT625" s="781"/>
      <c r="AU625" s="781"/>
    </row>
    <row r="626" ht="15.75" customHeight="1">
      <c r="A626" s="795">
        <v>44483.0</v>
      </c>
      <c r="B626" s="827" t="s">
        <v>2991</v>
      </c>
      <c r="C626" s="772" t="s">
        <v>2547</v>
      </c>
      <c r="D626" s="772" t="s">
        <v>1481</v>
      </c>
      <c r="E626" s="828">
        <v>73572.75</v>
      </c>
      <c r="F626" s="772" t="s">
        <v>2990</v>
      </c>
      <c r="G626" s="782" t="s">
        <v>2550</v>
      </c>
      <c r="H626" s="782" t="s">
        <v>29</v>
      </c>
      <c r="I626" s="782" t="s">
        <v>2551</v>
      </c>
      <c r="J626" s="782">
        <v>43875.0</v>
      </c>
      <c r="K626" s="785" t="s">
        <v>3836</v>
      </c>
      <c r="L626" s="781"/>
      <c r="M626" s="781"/>
      <c r="N626" s="781"/>
      <c r="O626" s="781"/>
      <c r="P626" s="781"/>
      <c r="Q626" s="781"/>
      <c r="R626" s="781"/>
      <c r="S626" s="781"/>
      <c r="T626" s="781"/>
      <c r="U626" s="781"/>
      <c r="V626" s="781"/>
      <c r="W626" s="781"/>
      <c r="X626" s="781"/>
      <c r="Y626" s="781"/>
      <c r="Z626" s="781"/>
      <c r="AA626" s="781"/>
      <c r="AB626" s="781"/>
      <c r="AC626" s="781"/>
      <c r="AD626" s="781"/>
      <c r="AE626" s="781"/>
      <c r="AF626" s="781"/>
      <c r="AG626" s="781"/>
      <c r="AH626" s="781"/>
      <c r="AI626" s="781"/>
      <c r="AJ626" s="781"/>
      <c r="AK626" s="781"/>
      <c r="AL626" s="781"/>
      <c r="AM626" s="781"/>
      <c r="AN626" s="781"/>
      <c r="AO626" s="781"/>
      <c r="AP626" s="781"/>
      <c r="AQ626" s="781"/>
      <c r="AR626" s="781"/>
      <c r="AS626" s="781"/>
      <c r="AT626" s="781"/>
      <c r="AU626" s="781"/>
    </row>
    <row r="627" ht="15.75" customHeight="1">
      <c r="A627" s="795">
        <v>44483.0</v>
      </c>
      <c r="B627" s="827" t="s">
        <v>3091</v>
      </c>
      <c r="C627" s="772" t="s">
        <v>2547</v>
      </c>
      <c r="D627" s="772" t="s">
        <v>6346</v>
      </c>
      <c r="E627" s="821">
        <v>10000.0</v>
      </c>
      <c r="F627" s="772" t="s">
        <v>3090</v>
      </c>
      <c r="G627" s="782" t="s">
        <v>18</v>
      </c>
      <c r="H627" s="782" t="s">
        <v>176</v>
      </c>
      <c r="I627" s="782" t="s">
        <v>177</v>
      </c>
      <c r="J627" s="782">
        <v>44295.0</v>
      </c>
      <c r="K627" s="785" t="s">
        <v>3834</v>
      </c>
      <c r="L627" s="781"/>
      <c r="M627" s="781"/>
      <c r="N627" s="781"/>
      <c r="O627" s="781"/>
      <c r="P627" s="781"/>
      <c r="Q627" s="781"/>
      <c r="R627" s="781"/>
      <c r="S627" s="781"/>
      <c r="T627" s="781"/>
      <c r="U627" s="781"/>
      <c r="V627" s="781"/>
      <c r="W627" s="781"/>
      <c r="X627" s="781"/>
      <c r="Y627" s="781"/>
      <c r="Z627" s="781"/>
      <c r="AA627" s="781"/>
      <c r="AB627" s="781"/>
      <c r="AC627" s="781"/>
      <c r="AD627" s="781"/>
      <c r="AE627" s="781"/>
      <c r="AF627" s="781"/>
      <c r="AG627" s="781"/>
      <c r="AH627" s="781"/>
      <c r="AI627" s="781"/>
      <c r="AJ627" s="781"/>
      <c r="AK627" s="781"/>
      <c r="AL627" s="781"/>
      <c r="AM627" s="781"/>
      <c r="AN627" s="781"/>
      <c r="AO627" s="781"/>
      <c r="AP627" s="781"/>
      <c r="AQ627" s="781"/>
      <c r="AR627" s="781"/>
      <c r="AS627" s="781"/>
      <c r="AT627" s="781"/>
      <c r="AU627" s="781"/>
    </row>
    <row r="628" ht="15.75" customHeight="1">
      <c r="A628" s="795">
        <v>44484.0</v>
      </c>
      <c r="B628" s="800" t="s">
        <v>2975</v>
      </c>
      <c r="C628" s="797" t="s">
        <v>2547</v>
      </c>
      <c r="D628" s="772" t="s">
        <v>6345</v>
      </c>
      <c r="E628" s="829">
        <v>161212.56</v>
      </c>
      <c r="F628" s="772" t="s">
        <v>2974</v>
      </c>
      <c r="G628" s="782" t="s">
        <v>18</v>
      </c>
      <c r="H628" s="782" t="s">
        <v>176</v>
      </c>
      <c r="I628" s="782" t="s">
        <v>197</v>
      </c>
      <c r="J628" s="782">
        <v>44319.0</v>
      </c>
      <c r="K628" s="785" t="s">
        <v>3824</v>
      </c>
      <c r="L628" s="781"/>
      <c r="M628" s="781"/>
      <c r="N628" s="781"/>
      <c r="O628" s="781"/>
      <c r="P628" s="781"/>
      <c r="Q628" s="781"/>
      <c r="R628" s="781"/>
      <c r="S628" s="781"/>
      <c r="T628" s="781"/>
      <c r="U628" s="781"/>
      <c r="V628" s="781"/>
      <c r="W628" s="781"/>
      <c r="X628" s="781"/>
      <c r="Y628" s="781"/>
      <c r="Z628" s="781"/>
      <c r="AA628" s="781"/>
      <c r="AB628" s="781"/>
      <c r="AC628" s="781"/>
      <c r="AD628" s="781"/>
      <c r="AE628" s="781"/>
      <c r="AF628" s="781"/>
      <c r="AG628" s="781"/>
      <c r="AH628" s="781"/>
      <c r="AI628" s="781"/>
      <c r="AJ628" s="781"/>
      <c r="AK628" s="781"/>
      <c r="AL628" s="781"/>
      <c r="AM628" s="781"/>
      <c r="AN628" s="781"/>
      <c r="AO628" s="781"/>
      <c r="AP628" s="781"/>
      <c r="AQ628" s="781"/>
      <c r="AR628" s="781"/>
      <c r="AS628" s="781"/>
      <c r="AT628" s="781"/>
      <c r="AU628" s="781"/>
    </row>
    <row r="629" ht="15.75" customHeight="1">
      <c r="A629" s="819">
        <v>44484.0</v>
      </c>
      <c r="B629" s="783" t="s">
        <v>3529</v>
      </c>
      <c r="C629" s="772" t="s">
        <v>2547</v>
      </c>
      <c r="D629" s="772" t="s">
        <v>6345</v>
      </c>
      <c r="E629" s="784"/>
      <c r="F629" s="772" t="s">
        <v>3528</v>
      </c>
      <c r="G629" s="782" t="s">
        <v>2550</v>
      </c>
      <c r="H629" s="782" t="s">
        <v>29</v>
      </c>
      <c r="I629" s="782" t="s">
        <v>2562</v>
      </c>
      <c r="J629" s="782" t="s">
        <v>2599</v>
      </c>
      <c r="K629" s="785" t="s">
        <v>3836</v>
      </c>
      <c r="L629" s="781"/>
      <c r="M629" s="781"/>
      <c r="N629" s="781"/>
      <c r="O629" s="781"/>
      <c r="P629" s="781"/>
      <c r="Q629" s="781"/>
      <c r="R629" s="781"/>
      <c r="S629" s="781"/>
      <c r="T629" s="781"/>
      <c r="U629" s="781"/>
      <c r="V629" s="781"/>
      <c r="W629" s="781"/>
      <c r="X629" s="781"/>
      <c r="Y629" s="781"/>
      <c r="Z629" s="781"/>
      <c r="AA629" s="781"/>
      <c r="AB629" s="781"/>
      <c r="AC629" s="781"/>
      <c r="AD629" s="781"/>
      <c r="AE629" s="781"/>
      <c r="AF629" s="781"/>
      <c r="AG629" s="781"/>
      <c r="AH629" s="781"/>
      <c r="AI629" s="781"/>
      <c r="AJ629" s="781"/>
      <c r="AK629" s="781"/>
      <c r="AL629" s="781"/>
      <c r="AM629" s="781"/>
      <c r="AN629" s="781"/>
      <c r="AO629" s="781"/>
      <c r="AP629" s="781"/>
      <c r="AQ629" s="781"/>
      <c r="AR629" s="781"/>
      <c r="AS629" s="781"/>
      <c r="AT629" s="781"/>
      <c r="AU629" s="781"/>
    </row>
    <row r="630" ht="15.75" customHeight="1">
      <c r="A630" s="819">
        <v>44484.0</v>
      </c>
      <c r="B630" s="783" t="s">
        <v>3532</v>
      </c>
      <c r="C630" s="772" t="s">
        <v>2547</v>
      </c>
      <c r="D630" s="772" t="s">
        <v>6345</v>
      </c>
      <c r="E630" s="784"/>
      <c r="F630" s="772" t="s">
        <v>3528</v>
      </c>
      <c r="G630" s="782" t="s">
        <v>2550</v>
      </c>
      <c r="H630" s="782" t="s">
        <v>29</v>
      </c>
      <c r="I630" s="782" t="s">
        <v>2562</v>
      </c>
      <c r="J630" s="782" t="s">
        <v>2599</v>
      </c>
      <c r="K630" s="785" t="s">
        <v>3840</v>
      </c>
      <c r="L630" s="781"/>
      <c r="M630" s="781"/>
      <c r="N630" s="781"/>
      <c r="O630" s="781"/>
      <c r="P630" s="781"/>
      <c r="Q630" s="781"/>
      <c r="R630" s="781"/>
      <c r="S630" s="781"/>
      <c r="T630" s="781"/>
      <c r="U630" s="781"/>
      <c r="V630" s="781"/>
      <c r="W630" s="781"/>
      <c r="X630" s="781"/>
      <c r="Y630" s="781"/>
      <c r="Z630" s="781"/>
      <c r="AA630" s="781"/>
      <c r="AB630" s="781"/>
      <c r="AC630" s="781"/>
      <c r="AD630" s="781"/>
      <c r="AE630" s="781"/>
      <c r="AF630" s="781"/>
      <c r="AG630" s="781"/>
      <c r="AH630" s="781"/>
      <c r="AI630" s="781"/>
      <c r="AJ630" s="781"/>
      <c r="AK630" s="781"/>
      <c r="AL630" s="781"/>
      <c r="AM630" s="781"/>
      <c r="AN630" s="781"/>
      <c r="AO630" s="781"/>
      <c r="AP630" s="781"/>
      <c r="AQ630" s="781"/>
      <c r="AR630" s="781"/>
      <c r="AS630" s="781"/>
      <c r="AT630" s="781"/>
      <c r="AU630" s="781"/>
    </row>
    <row r="631" ht="15.75" customHeight="1">
      <c r="A631" s="819">
        <v>44484.0</v>
      </c>
      <c r="B631" s="823" t="s">
        <v>3434</v>
      </c>
      <c r="C631" s="772" t="s">
        <v>2547</v>
      </c>
      <c r="D631" s="772" t="s">
        <v>6345</v>
      </c>
      <c r="E631" s="784">
        <v>1.47</v>
      </c>
      <c r="F631" s="772" t="s">
        <v>3433</v>
      </c>
      <c r="G631" s="782" t="s">
        <v>2550</v>
      </c>
      <c r="H631" s="782" t="s">
        <v>29</v>
      </c>
      <c r="I631" s="782" t="s">
        <v>2562</v>
      </c>
      <c r="J631" s="782">
        <v>43861.0</v>
      </c>
      <c r="K631" s="785" t="s">
        <v>3836</v>
      </c>
      <c r="L631" s="781"/>
      <c r="M631" s="781"/>
      <c r="N631" s="781"/>
      <c r="O631" s="781"/>
      <c r="P631" s="781"/>
      <c r="Q631" s="781"/>
      <c r="R631" s="781"/>
      <c r="S631" s="781"/>
      <c r="T631" s="781"/>
      <c r="U631" s="781"/>
      <c r="V631" s="781"/>
      <c r="W631" s="781"/>
      <c r="X631" s="781"/>
      <c r="Y631" s="781"/>
      <c r="Z631" s="781"/>
      <c r="AA631" s="781"/>
      <c r="AB631" s="781"/>
      <c r="AC631" s="781"/>
      <c r="AD631" s="781"/>
      <c r="AE631" s="781"/>
      <c r="AF631" s="781"/>
      <c r="AG631" s="781"/>
      <c r="AH631" s="781"/>
      <c r="AI631" s="781"/>
      <c r="AJ631" s="781"/>
      <c r="AK631" s="781"/>
      <c r="AL631" s="781"/>
      <c r="AM631" s="781"/>
      <c r="AN631" s="781"/>
      <c r="AO631" s="781"/>
      <c r="AP631" s="781"/>
      <c r="AQ631" s="781"/>
      <c r="AR631" s="781"/>
      <c r="AS631" s="781"/>
      <c r="AT631" s="781"/>
      <c r="AU631" s="781"/>
    </row>
    <row r="632" ht="15.75" customHeight="1">
      <c r="A632" s="819">
        <v>44484.0</v>
      </c>
      <c r="B632" s="783" t="s">
        <v>3284</v>
      </c>
      <c r="C632" s="772" t="s">
        <v>2547</v>
      </c>
      <c r="D632" s="772" t="s">
        <v>6345</v>
      </c>
      <c r="E632" s="784">
        <v>2.93</v>
      </c>
      <c r="F632" s="772" t="s">
        <v>3283</v>
      </c>
      <c r="G632" s="782" t="s">
        <v>2550</v>
      </c>
      <c r="H632" s="782" t="s">
        <v>29</v>
      </c>
      <c r="I632" s="782" t="s">
        <v>2562</v>
      </c>
      <c r="J632" s="782">
        <v>43622.0</v>
      </c>
      <c r="K632" s="785" t="s">
        <v>3836</v>
      </c>
      <c r="L632" s="781"/>
      <c r="M632" s="781"/>
      <c r="N632" s="781"/>
      <c r="O632" s="781"/>
      <c r="P632" s="781"/>
      <c r="Q632" s="781"/>
      <c r="R632" s="781"/>
      <c r="S632" s="781"/>
      <c r="T632" s="781"/>
      <c r="U632" s="781"/>
      <c r="V632" s="781"/>
      <c r="W632" s="781"/>
      <c r="X632" s="781"/>
      <c r="Y632" s="781"/>
      <c r="Z632" s="781"/>
      <c r="AA632" s="781"/>
      <c r="AB632" s="781"/>
      <c r="AC632" s="781"/>
      <c r="AD632" s="781"/>
      <c r="AE632" s="781"/>
      <c r="AF632" s="781"/>
      <c r="AG632" s="781"/>
      <c r="AH632" s="781"/>
      <c r="AI632" s="781"/>
      <c r="AJ632" s="781"/>
      <c r="AK632" s="781"/>
      <c r="AL632" s="781"/>
      <c r="AM632" s="781"/>
      <c r="AN632" s="781"/>
      <c r="AO632" s="781"/>
      <c r="AP632" s="781"/>
      <c r="AQ632" s="781"/>
      <c r="AR632" s="781"/>
      <c r="AS632" s="781"/>
      <c r="AT632" s="781"/>
      <c r="AU632" s="781"/>
    </row>
    <row r="633" ht="15.75" customHeight="1">
      <c r="A633" s="819">
        <v>44484.0</v>
      </c>
      <c r="B633" s="783" t="s">
        <v>3286</v>
      </c>
      <c r="C633" s="772" t="s">
        <v>2547</v>
      </c>
      <c r="D633" s="772" t="s">
        <v>6345</v>
      </c>
      <c r="E633" s="784"/>
      <c r="F633" s="772" t="s">
        <v>3283</v>
      </c>
      <c r="G633" s="782" t="s">
        <v>2550</v>
      </c>
      <c r="H633" s="782" t="s">
        <v>29</v>
      </c>
      <c r="I633" s="782" t="s">
        <v>2562</v>
      </c>
      <c r="J633" s="782">
        <v>43622.0</v>
      </c>
      <c r="K633" s="785" t="s">
        <v>3828</v>
      </c>
      <c r="L633" s="781"/>
      <c r="M633" s="781"/>
      <c r="N633" s="781"/>
      <c r="O633" s="781"/>
      <c r="P633" s="781"/>
      <c r="Q633" s="781"/>
      <c r="R633" s="781"/>
      <c r="S633" s="781"/>
      <c r="T633" s="781"/>
      <c r="U633" s="781"/>
      <c r="V633" s="781"/>
      <c r="W633" s="781"/>
      <c r="X633" s="781"/>
      <c r="Y633" s="781"/>
      <c r="Z633" s="781"/>
      <c r="AA633" s="781"/>
      <c r="AB633" s="781"/>
      <c r="AC633" s="781"/>
      <c r="AD633" s="781"/>
      <c r="AE633" s="781"/>
      <c r="AF633" s="781"/>
      <c r="AG633" s="781"/>
      <c r="AH633" s="781"/>
      <c r="AI633" s="781"/>
      <c r="AJ633" s="781"/>
      <c r="AK633" s="781"/>
      <c r="AL633" s="781"/>
      <c r="AM633" s="781"/>
      <c r="AN633" s="781"/>
      <c r="AO633" s="781"/>
      <c r="AP633" s="781"/>
      <c r="AQ633" s="781"/>
      <c r="AR633" s="781"/>
      <c r="AS633" s="781"/>
      <c r="AT633" s="781"/>
      <c r="AU633" s="781"/>
    </row>
    <row r="634" ht="15.75" customHeight="1">
      <c r="A634" s="819">
        <v>44484.0</v>
      </c>
      <c r="B634" s="823" t="s">
        <v>3239</v>
      </c>
      <c r="C634" s="772" t="s">
        <v>2547</v>
      </c>
      <c r="D634" s="772" t="s">
        <v>6345</v>
      </c>
      <c r="E634" s="784">
        <v>0.22</v>
      </c>
      <c r="F634" s="772" t="s">
        <v>3238</v>
      </c>
      <c r="G634" s="782" t="s">
        <v>2550</v>
      </c>
      <c r="H634" s="782" t="s">
        <v>29</v>
      </c>
      <c r="I634" s="782" t="s">
        <v>2550</v>
      </c>
      <c r="J634" s="782">
        <v>44036.0</v>
      </c>
      <c r="K634" s="785" t="s">
        <v>3836</v>
      </c>
      <c r="L634" s="781"/>
      <c r="M634" s="781"/>
      <c r="N634" s="781"/>
      <c r="O634" s="781"/>
      <c r="P634" s="781"/>
      <c r="Q634" s="781"/>
      <c r="R634" s="781"/>
      <c r="S634" s="781"/>
      <c r="T634" s="781"/>
      <c r="U634" s="781"/>
      <c r="V634" s="781"/>
      <c r="W634" s="781"/>
      <c r="X634" s="781"/>
      <c r="Y634" s="781"/>
      <c r="Z634" s="781"/>
      <c r="AA634" s="781"/>
      <c r="AB634" s="781"/>
      <c r="AC634" s="781"/>
      <c r="AD634" s="781"/>
      <c r="AE634" s="781"/>
      <c r="AF634" s="781"/>
      <c r="AG634" s="781"/>
      <c r="AH634" s="781"/>
      <c r="AI634" s="781"/>
      <c r="AJ634" s="781"/>
      <c r="AK634" s="781"/>
      <c r="AL634" s="781"/>
      <c r="AM634" s="781"/>
      <c r="AN634" s="781"/>
      <c r="AO634" s="781"/>
      <c r="AP634" s="781"/>
      <c r="AQ634" s="781"/>
      <c r="AR634" s="781"/>
      <c r="AS634" s="781"/>
      <c r="AT634" s="781"/>
      <c r="AU634" s="781"/>
    </row>
    <row r="635" ht="15.75" customHeight="1">
      <c r="A635" s="819">
        <v>44484.0</v>
      </c>
      <c r="B635" s="783" t="s">
        <v>3180</v>
      </c>
      <c r="C635" s="772" t="s">
        <v>2547</v>
      </c>
      <c r="D635" s="772" t="s">
        <v>6345</v>
      </c>
      <c r="E635" s="784"/>
      <c r="F635" s="772" t="s">
        <v>3179</v>
      </c>
      <c r="G635" s="782" t="s">
        <v>2550</v>
      </c>
      <c r="H635" s="782" t="s">
        <v>29</v>
      </c>
      <c r="I635" s="782" t="s">
        <v>2562</v>
      </c>
      <c r="J635" s="782" t="s">
        <v>2599</v>
      </c>
      <c r="K635" s="785" t="s">
        <v>3836</v>
      </c>
      <c r="L635" s="781"/>
      <c r="M635" s="781"/>
      <c r="N635" s="781"/>
      <c r="O635" s="781"/>
      <c r="P635" s="781"/>
      <c r="Q635" s="781"/>
      <c r="R635" s="781"/>
      <c r="S635" s="781"/>
      <c r="T635" s="781"/>
      <c r="U635" s="781"/>
      <c r="V635" s="781"/>
      <c r="W635" s="781"/>
      <c r="X635" s="781"/>
      <c r="Y635" s="781"/>
      <c r="Z635" s="781"/>
      <c r="AA635" s="781"/>
      <c r="AB635" s="781"/>
      <c r="AC635" s="781"/>
      <c r="AD635" s="781"/>
      <c r="AE635" s="781"/>
      <c r="AF635" s="781"/>
      <c r="AG635" s="781"/>
      <c r="AH635" s="781"/>
      <c r="AI635" s="781"/>
      <c r="AJ635" s="781"/>
      <c r="AK635" s="781"/>
      <c r="AL635" s="781"/>
      <c r="AM635" s="781"/>
      <c r="AN635" s="781"/>
      <c r="AO635" s="781"/>
      <c r="AP635" s="781"/>
      <c r="AQ635" s="781"/>
      <c r="AR635" s="781"/>
      <c r="AS635" s="781"/>
      <c r="AT635" s="781"/>
      <c r="AU635" s="781"/>
    </row>
    <row r="636" ht="15.75" customHeight="1">
      <c r="A636" s="819">
        <v>44484.0</v>
      </c>
      <c r="B636" s="823" t="s">
        <v>3147</v>
      </c>
      <c r="C636" s="772" t="s">
        <v>2547</v>
      </c>
      <c r="D636" s="772" t="s">
        <v>6345</v>
      </c>
      <c r="E636" s="784">
        <v>146.69</v>
      </c>
      <c r="F636" s="772" t="s">
        <v>3146</v>
      </c>
      <c r="G636" s="782" t="s">
        <v>2550</v>
      </c>
      <c r="H636" s="782" t="s">
        <v>29</v>
      </c>
      <c r="I636" s="782" t="s">
        <v>2551</v>
      </c>
      <c r="J636" s="782">
        <v>43732.0</v>
      </c>
      <c r="K636" s="785" t="s">
        <v>4206</v>
      </c>
      <c r="L636" s="781"/>
      <c r="M636" s="781"/>
      <c r="N636" s="781"/>
      <c r="O636" s="781"/>
      <c r="P636" s="781"/>
      <c r="Q636" s="781"/>
      <c r="R636" s="781"/>
      <c r="S636" s="781"/>
      <c r="T636" s="781"/>
      <c r="U636" s="781"/>
      <c r="V636" s="781"/>
      <c r="W636" s="781"/>
      <c r="X636" s="781"/>
      <c r="Y636" s="781"/>
      <c r="Z636" s="781"/>
      <c r="AA636" s="781"/>
      <c r="AB636" s="781"/>
      <c r="AC636" s="781"/>
      <c r="AD636" s="781"/>
      <c r="AE636" s="781"/>
      <c r="AF636" s="781"/>
      <c r="AG636" s="781"/>
      <c r="AH636" s="781"/>
      <c r="AI636" s="781"/>
      <c r="AJ636" s="781"/>
      <c r="AK636" s="781"/>
      <c r="AL636" s="781"/>
      <c r="AM636" s="781"/>
      <c r="AN636" s="781"/>
      <c r="AO636" s="781"/>
      <c r="AP636" s="781"/>
      <c r="AQ636" s="781"/>
      <c r="AR636" s="781"/>
      <c r="AS636" s="781"/>
      <c r="AT636" s="781"/>
      <c r="AU636" s="781"/>
    </row>
    <row r="637" ht="15.75" customHeight="1">
      <c r="A637" s="819">
        <v>44484.0</v>
      </c>
      <c r="B637" s="783" t="s">
        <v>3088</v>
      </c>
      <c r="C637" s="772" t="s">
        <v>2547</v>
      </c>
      <c r="D637" s="772" t="s">
        <v>6345</v>
      </c>
      <c r="E637" s="784">
        <v>78.0</v>
      </c>
      <c r="F637" s="772" t="s">
        <v>3087</v>
      </c>
      <c r="G637" s="782" t="s">
        <v>2550</v>
      </c>
      <c r="H637" s="782" t="s">
        <v>29</v>
      </c>
      <c r="I637" s="782" t="s">
        <v>2562</v>
      </c>
      <c r="J637" s="782">
        <v>43853.0</v>
      </c>
      <c r="K637" s="785" t="s">
        <v>3828</v>
      </c>
      <c r="L637" s="781"/>
      <c r="M637" s="781"/>
      <c r="N637" s="781"/>
      <c r="O637" s="781"/>
      <c r="P637" s="781"/>
      <c r="Q637" s="781"/>
      <c r="R637" s="781"/>
      <c r="S637" s="781"/>
      <c r="T637" s="781"/>
      <c r="U637" s="781"/>
      <c r="V637" s="781"/>
      <c r="W637" s="781"/>
      <c r="X637" s="781"/>
      <c r="Y637" s="781"/>
      <c r="Z637" s="781"/>
      <c r="AA637" s="781"/>
      <c r="AB637" s="781"/>
      <c r="AC637" s="781"/>
      <c r="AD637" s="781"/>
      <c r="AE637" s="781"/>
      <c r="AF637" s="781"/>
      <c r="AG637" s="781"/>
      <c r="AH637" s="781"/>
      <c r="AI637" s="781"/>
      <c r="AJ637" s="781"/>
      <c r="AK637" s="781"/>
      <c r="AL637" s="781"/>
      <c r="AM637" s="781"/>
      <c r="AN637" s="781"/>
      <c r="AO637" s="781"/>
      <c r="AP637" s="781"/>
      <c r="AQ637" s="781"/>
      <c r="AR637" s="781"/>
      <c r="AS637" s="781"/>
      <c r="AT637" s="781"/>
      <c r="AU637" s="781"/>
    </row>
    <row r="638" ht="15.75" customHeight="1">
      <c r="A638" s="795">
        <v>44488.0</v>
      </c>
      <c r="B638" s="830" t="s">
        <v>6460</v>
      </c>
      <c r="C638" s="797" t="s">
        <v>3820</v>
      </c>
      <c r="D638" s="772" t="s">
        <v>1481</v>
      </c>
      <c r="E638" s="829">
        <v>44080.95</v>
      </c>
      <c r="F638" s="772" t="s">
        <v>4276</v>
      </c>
      <c r="G638" s="772" t="s">
        <v>105</v>
      </c>
      <c r="H638" s="772" t="s">
        <v>29</v>
      </c>
      <c r="I638" s="772" t="s">
        <v>6461</v>
      </c>
      <c r="J638" s="782">
        <v>44537.0</v>
      </c>
      <c r="K638" s="789" t="s">
        <v>3824</v>
      </c>
      <c r="L638" s="781"/>
      <c r="M638" s="781"/>
      <c r="N638" s="781"/>
      <c r="O638" s="781"/>
      <c r="P638" s="781"/>
      <c r="Q638" s="781"/>
      <c r="R638" s="781"/>
      <c r="S638" s="781"/>
      <c r="T638" s="781"/>
      <c r="U638" s="781"/>
      <c r="V638" s="781"/>
      <c r="W638" s="781"/>
      <c r="X638" s="781"/>
      <c r="Y638" s="781"/>
      <c r="Z638" s="781"/>
      <c r="AA638" s="781"/>
      <c r="AB638" s="781"/>
      <c r="AC638" s="781"/>
      <c r="AD638" s="781"/>
      <c r="AE638" s="781"/>
      <c r="AF638" s="781"/>
      <c r="AG638" s="781"/>
      <c r="AH638" s="781"/>
      <c r="AI638" s="781"/>
      <c r="AJ638" s="781"/>
      <c r="AK638" s="781"/>
      <c r="AL638" s="781"/>
      <c r="AM638" s="781"/>
      <c r="AN638" s="781"/>
      <c r="AO638" s="781"/>
      <c r="AP638" s="781"/>
      <c r="AQ638" s="781"/>
      <c r="AR638" s="781"/>
      <c r="AS638" s="781"/>
      <c r="AT638" s="781"/>
      <c r="AU638" s="781"/>
    </row>
    <row r="639" ht="15.75" customHeight="1">
      <c r="A639" s="795">
        <v>44489.0</v>
      </c>
      <c r="B639" s="827" t="s">
        <v>2823</v>
      </c>
      <c r="C639" s="797" t="s">
        <v>2547</v>
      </c>
      <c r="D639" s="772" t="s">
        <v>6346</v>
      </c>
      <c r="E639" s="829">
        <v>70000.0</v>
      </c>
      <c r="F639" s="772" t="s">
        <v>2822</v>
      </c>
      <c r="G639" s="782" t="s">
        <v>18</v>
      </c>
      <c r="H639" s="782" t="s">
        <v>176</v>
      </c>
      <c r="I639" s="782" t="s">
        <v>197</v>
      </c>
      <c r="J639" s="782">
        <v>44393.0</v>
      </c>
      <c r="K639" s="785" t="s">
        <v>4347</v>
      </c>
      <c r="L639" s="781"/>
      <c r="M639" s="781"/>
      <c r="N639" s="781"/>
      <c r="O639" s="781"/>
      <c r="P639" s="781"/>
      <c r="Q639" s="781"/>
      <c r="R639" s="781"/>
      <c r="S639" s="781"/>
      <c r="T639" s="781"/>
      <c r="U639" s="781"/>
      <c r="V639" s="781"/>
      <c r="W639" s="781"/>
      <c r="X639" s="781"/>
      <c r="Y639" s="781"/>
      <c r="Z639" s="781"/>
      <c r="AA639" s="781"/>
      <c r="AB639" s="781"/>
      <c r="AC639" s="781"/>
      <c r="AD639" s="781"/>
      <c r="AE639" s="781"/>
      <c r="AF639" s="781"/>
      <c r="AG639" s="781"/>
      <c r="AH639" s="781"/>
      <c r="AI639" s="781"/>
      <c r="AJ639" s="781"/>
      <c r="AK639" s="781"/>
      <c r="AL639" s="781"/>
      <c r="AM639" s="781"/>
      <c r="AN639" s="781"/>
      <c r="AO639" s="781"/>
      <c r="AP639" s="781"/>
      <c r="AQ639" s="781"/>
      <c r="AR639" s="781"/>
      <c r="AS639" s="781"/>
      <c r="AT639" s="781"/>
      <c r="AU639" s="781"/>
    </row>
    <row r="640" ht="15.75" customHeight="1">
      <c r="A640" s="795">
        <v>44489.0</v>
      </c>
      <c r="B640" s="827" t="s">
        <v>6462</v>
      </c>
      <c r="C640" s="797" t="s">
        <v>3820</v>
      </c>
      <c r="D640" s="772" t="s">
        <v>6346</v>
      </c>
      <c r="E640" s="829">
        <v>100000.0</v>
      </c>
      <c r="F640" s="831" t="s">
        <v>3087</v>
      </c>
      <c r="G640" s="772" t="s">
        <v>2550</v>
      </c>
      <c r="H640" s="772" t="s">
        <v>29</v>
      </c>
      <c r="I640" s="772" t="s">
        <v>2550</v>
      </c>
      <c r="J640" s="772" t="s">
        <v>6463</v>
      </c>
      <c r="K640" s="789" t="s">
        <v>3836</v>
      </c>
      <c r="L640" s="781"/>
      <c r="M640" s="781"/>
      <c r="N640" s="781"/>
      <c r="O640" s="781"/>
      <c r="P640" s="781"/>
      <c r="Q640" s="781"/>
      <c r="R640" s="781"/>
      <c r="S640" s="781"/>
      <c r="T640" s="781"/>
      <c r="U640" s="781"/>
      <c r="V640" s="781"/>
      <c r="W640" s="781"/>
      <c r="X640" s="781"/>
      <c r="Y640" s="781"/>
      <c r="Z640" s="781"/>
      <c r="AA640" s="781"/>
      <c r="AB640" s="781"/>
      <c r="AC640" s="781"/>
      <c r="AD640" s="781"/>
      <c r="AE640" s="781"/>
      <c r="AF640" s="781"/>
      <c r="AG640" s="781"/>
      <c r="AH640" s="781"/>
      <c r="AI640" s="781"/>
      <c r="AJ640" s="781"/>
      <c r="AK640" s="781"/>
      <c r="AL640" s="781"/>
      <c r="AM640" s="781"/>
      <c r="AN640" s="781"/>
      <c r="AO640" s="781"/>
      <c r="AP640" s="781"/>
      <c r="AQ640" s="781"/>
      <c r="AR640" s="781"/>
      <c r="AS640" s="781"/>
      <c r="AT640" s="781"/>
      <c r="AU640" s="781"/>
    </row>
    <row r="641" ht="15.75" customHeight="1">
      <c r="A641" s="795">
        <v>44489.0</v>
      </c>
      <c r="B641" s="796" t="s">
        <v>6464</v>
      </c>
      <c r="C641" s="797" t="s">
        <v>3820</v>
      </c>
      <c r="D641" s="772" t="s">
        <v>6345</v>
      </c>
      <c r="E641" s="829">
        <v>90625.34</v>
      </c>
      <c r="F641" s="772" t="s">
        <v>5085</v>
      </c>
      <c r="G641" s="772" t="s">
        <v>18</v>
      </c>
      <c r="H641" s="772" t="s">
        <v>19</v>
      </c>
      <c r="I641" s="772" t="s">
        <v>256</v>
      </c>
      <c r="J641" s="782">
        <v>44362.0</v>
      </c>
      <c r="K641" s="789" t="s">
        <v>3824</v>
      </c>
      <c r="L641" s="781"/>
      <c r="M641" s="781"/>
      <c r="N641" s="781"/>
      <c r="O641" s="781"/>
      <c r="P641" s="781"/>
      <c r="Q641" s="781"/>
      <c r="R641" s="781"/>
      <c r="S641" s="781"/>
      <c r="T641" s="781"/>
      <c r="U641" s="781"/>
      <c r="V641" s="781"/>
      <c r="W641" s="781"/>
      <c r="X641" s="781"/>
      <c r="Y641" s="781"/>
      <c r="Z641" s="781"/>
      <c r="AA641" s="781"/>
      <c r="AB641" s="781"/>
      <c r="AC641" s="781"/>
      <c r="AD641" s="781"/>
      <c r="AE641" s="781"/>
      <c r="AF641" s="781"/>
      <c r="AG641" s="781"/>
      <c r="AH641" s="781"/>
      <c r="AI641" s="781"/>
      <c r="AJ641" s="781"/>
      <c r="AK641" s="781"/>
      <c r="AL641" s="781"/>
      <c r="AM641" s="781"/>
      <c r="AN641" s="781"/>
      <c r="AO641" s="781"/>
      <c r="AP641" s="781"/>
      <c r="AQ641" s="781"/>
      <c r="AR641" s="781"/>
      <c r="AS641" s="781"/>
      <c r="AT641" s="781"/>
      <c r="AU641" s="781"/>
    </row>
    <row r="642" ht="15.75" customHeight="1">
      <c r="A642" s="795">
        <v>44490.0</v>
      </c>
      <c r="B642" s="830" t="s">
        <v>6384</v>
      </c>
      <c r="C642" s="797" t="s">
        <v>3820</v>
      </c>
      <c r="D642" s="772" t="s">
        <v>6346</v>
      </c>
      <c r="E642" s="829">
        <v>16000.0</v>
      </c>
      <c r="F642" s="772" t="s">
        <v>5098</v>
      </c>
      <c r="G642" s="772" t="s">
        <v>105</v>
      </c>
      <c r="H642" s="772" t="s">
        <v>29</v>
      </c>
      <c r="I642" s="772" t="s">
        <v>4486</v>
      </c>
      <c r="J642" s="782">
        <v>44180.0</v>
      </c>
      <c r="K642" s="789" t="s">
        <v>3828</v>
      </c>
      <c r="L642" s="781"/>
      <c r="M642" s="781"/>
      <c r="N642" s="781"/>
      <c r="O642" s="781"/>
      <c r="P642" s="781"/>
      <c r="Q642" s="781"/>
      <c r="R642" s="781"/>
      <c r="S642" s="781"/>
      <c r="T642" s="781"/>
      <c r="U642" s="781"/>
      <c r="V642" s="781"/>
      <c r="W642" s="781"/>
      <c r="X642" s="781"/>
      <c r="Y642" s="781"/>
      <c r="Z642" s="781"/>
      <c r="AA642" s="781"/>
      <c r="AB642" s="781"/>
      <c r="AC642" s="781"/>
      <c r="AD642" s="781"/>
      <c r="AE642" s="781"/>
      <c r="AF642" s="781"/>
      <c r="AG642" s="781"/>
      <c r="AH642" s="781"/>
      <c r="AI642" s="781"/>
      <c r="AJ642" s="781"/>
      <c r="AK642" s="781"/>
      <c r="AL642" s="781"/>
      <c r="AM642" s="781"/>
      <c r="AN642" s="781"/>
      <c r="AO642" s="781"/>
      <c r="AP642" s="781"/>
      <c r="AQ642" s="781"/>
      <c r="AR642" s="781"/>
      <c r="AS642" s="781"/>
      <c r="AT642" s="781"/>
      <c r="AU642" s="781"/>
    </row>
    <row r="643" ht="15.75" customHeight="1">
      <c r="A643" s="795">
        <v>44490.0</v>
      </c>
      <c r="B643" s="832" t="s">
        <v>6465</v>
      </c>
      <c r="C643" s="797" t="s">
        <v>3820</v>
      </c>
      <c r="D643" s="772" t="s">
        <v>6345</v>
      </c>
      <c r="E643" s="829">
        <v>661576.63</v>
      </c>
      <c r="F643" s="772" t="s">
        <v>5347</v>
      </c>
      <c r="G643" s="772" t="s">
        <v>105</v>
      </c>
      <c r="H643" s="772" t="s">
        <v>29</v>
      </c>
      <c r="I643" s="772" t="s">
        <v>4146</v>
      </c>
      <c r="J643" s="782">
        <v>44490.0</v>
      </c>
      <c r="K643" s="789" t="s">
        <v>3824</v>
      </c>
      <c r="L643" s="781"/>
      <c r="M643" s="781"/>
      <c r="N643" s="781"/>
      <c r="O643" s="781"/>
      <c r="P643" s="781"/>
      <c r="Q643" s="781"/>
      <c r="R643" s="781"/>
      <c r="S643" s="781"/>
      <c r="T643" s="781"/>
      <c r="U643" s="781"/>
      <c r="V643" s="781"/>
      <c r="W643" s="781"/>
      <c r="X643" s="781"/>
      <c r="Y643" s="781"/>
      <c r="Z643" s="781"/>
      <c r="AA643" s="781"/>
      <c r="AB643" s="781"/>
      <c r="AC643" s="781"/>
      <c r="AD643" s="781"/>
      <c r="AE643" s="781"/>
      <c r="AF643" s="781"/>
      <c r="AG643" s="781"/>
      <c r="AH643" s="781"/>
      <c r="AI643" s="781"/>
      <c r="AJ643" s="781"/>
      <c r="AK643" s="781"/>
      <c r="AL643" s="781"/>
      <c r="AM643" s="781"/>
      <c r="AN643" s="781"/>
      <c r="AO643" s="781"/>
      <c r="AP643" s="781"/>
      <c r="AQ643" s="781"/>
      <c r="AR643" s="781"/>
      <c r="AS643" s="781"/>
      <c r="AT643" s="781"/>
      <c r="AU643" s="781"/>
    </row>
    <row r="644" ht="15.75" customHeight="1">
      <c r="A644" s="795">
        <v>44490.0</v>
      </c>
      <c r="B644" s="783" t="s">
        <v>2697</v>
      </c>
      <c r="C644" s="797" t="s">
        <v>2547</v>
      </c>
      <c r="D644" s="772" t="s">
        <v>6345</v>
      </c>
      <c r="E644" s="829">
        <v>1915.0</v>
      </c>
      <c r="F644" s="772" t="s">
        <v>2696</v>
      </c>
      <c r="G644" s="782" t="s">
        <v>2550</v>
      </c>
      <c r="H644" s="782" t="s">
        <v>29</v>
      </c>
      <c r="I644" s="782" t="s">
        <v>2551</v>
      </c>
      <c r="J644" s="782">
        <v>43725.0</v>
      </c>
      <c r="K644" s="785" t="s">
        <v>4206</v>
      </c>
      <c r="L644" s="781"/>
      <c r="M644" s="781"/>
      <c r="N644" s="781"/>
      <c r="O644" s="781"/>
      <c r="P644" s="781"/>
      <c r="Q644" s="781"/>
      <c r="R644" s="781"/>
      <c r="S644" s="781"/>
      <c r="T644" s="781"/>
      <c r="U644" s="781"/>
      <c r="V644" s="781"/>
      <c r="W644" s="781"/>
      <c r="X644" s="781"/>
      <c r="Y644" s="781"/>
      <c r="Z644" s="781"/>
      <c r="AA644" s="781"/>
      <c r="AB644" s="781"/>
      <c r="AC644" s="781"/>
      <c r="AD644" s="781"/>
      <c r="AE644" s="781"/>
      <c r="AF644" s="781"/>
      <c r="AG644" s="781"/>
      <c r="AH644" s="781"/>
      <c r="AI644" s="781"/>
      <c r="AJ644" s="781"/>
      <c r="AK644" s="781"/>
      <c r="AL644" s="781"/>
      <c r="AM644" s="781"/>
      <c r="AN644" s="781"/>
      <c r="AO644" s="781"/>
      <c r="AP644" s="781"/>
      <c r="AQ644" s="781"/>
      <c r="AR644" s="781"/>
      <c r="AS644" s="781"/>
      <c r="AT644" s="781"/>
      <c r="AU644" s="781"/>
    </row>
    <row r="645" ht="15.75" customHeight="1">
      <c r="A645" s="795">
        <v>44490.0</v>
      </c>
      <c r="B645" s="796" t="s">
        <v>3409</v>
      </c>
      <c r="C645" s="797" t="s">
        <v>2547</v>
      </c>
      <c r="D645" s="772" t="s">
        <v>6346</v>
      </c>
      <c r="E645" s="829">
        <v>3000.0</v>
      </c>
      <c r="F645" s="772" t="s">
        <v>3408</v>
      </c>
      <c r="G645" s="782" t="s">
        <v>2550</v>
      </c>
      <c r="H645" s="782" t="s">
        <v>29</v>
      </c>
      <c r="I645" s="782" t="s">
        <v>2551</v>
      </c>
      <c r="J645" s="782">
        <v>43894.0</v>
      </c>
      <c r="K645" s="785" t="s">
        <v>3836</v>
      </c>
      <c r="L645" s="781"/>
      <c r="M645" s="781"/>
      <c r="N645" s="781"/>
      <c r="O645" s="781"/>
      <c r="P645" s="781"/>
      <c r="Q645" s="781"/>
      <c r="R645" s="781"/>
      <c r="S645" s="781"/>
      <c r="T645" s="781"/>
      <c r="U645" s="781"/>
      <c r="V645" s="781"/>
      <c r="W645" s="781"/>
      <c r="X645" s="781"/>
      <c r="Y645" s="781"/>
      <c r="Z645" s="781"/>
      <c r="AA645" s="781"/>
      <c r="AB645" s="781"/>
      <c r="AC645" s="781"/>
      <c r="AD645" s="781"/>
      <c r="AE645" s="781"/>
      <c r="AF645" s="781"/>
      <c r="AG645" s="781"/>
      <c r="AH645" s="781"/>
      <c r="AI645" s="781"/>
      <c r="AJ645" s="781"/>
      <c r="AK645" s="781"/>
      <c r="AL645" s="781"/>
      <c r="AM645" s="781"/>
      <c r="AN645" s="781"/>
      <c r="AO645" s="781"/>
      <c r="AP645" s="781"/>
      <c r="AQ645" s="781"/>
      <c r="AR645" s="781"/>
      <c r="AS645" s="781"/>
      <c r="AT645" s="781"/>
      <c r="AU645" s="781"/>
    </row>
    <row r="646" ht="15.75" customHeight="1">
      <c r="A646" s="795">
        <v>44494.0</v>
      </c>
      <c r="B646" s="833" t="s">
        <v>6466</v>
      </c>
      <c r="C646" s="797" t="s">
        <v>3820</v>
      </c>
      <c r="D646" s="772" t="s">
        <v>6345</v>
      </c>
      <c r="E646" s="829">
        <v>792665.02</v>
      </c>
      <c r="F646" s="772" t="s">
        <v>4459</v>
      </c>
      <c r="G646" s="772" t="s">
        <v>105</v>
      </c>
      <c r="H646" s="772" t="s">
        <v>29</v>
      </c>
      <c r="I646" s="772" t="s">
        <v>4122</v>
      </c>
      <c r="J646" s="782">
        <v>44368.0</v>
      </c>
      <c r="K646" s="789" t="s">
        <v>3840</v>
      </c>
      <c r="L646" s="781"/>
      <c r="M646" s="781"/>
      <c r="N646" s="781"/>
      <c r="O646" s="781"/>
      <c r="P646" s="781"/>
      <c r="Q646" s="781"/>
      <c r="R646" s="781"/>
      <c r="S646" s="781"/>
      <c r="T646" s="781"/>
      <c r="U646" s="781"/>
      <c r="V646" s="781"/>
      <c r="W646" s="781"/>
      <c r="X646" s="781"/>
      <c r="Y646" s="781"/>
      <c r="Z646" s="781"/>
      <c r="AA646" s="781"/>
      <c r="AB646" s="781"/>
      <c r="AC646" s="781"/>
      <c r="AD646" s="781"/>
      <c r="AE646" s="781"/>
      <c r="AF646" s="781"/>
      <c r="AG646" s="781"/>
      <c r="AH646" s="781"/>
      <c r="AI646" s="781"/>
      <c r="AJ646" s="781"/>
      <c r="AK646" s="781"/>
      <c r="AL646" s="781"/>
      <c r="AM646" s="781"/>
      <c r="AN646" s="781"/>
      <c r="AO646" s="781"/>
      <c r="AP646" s="781"/>
      <c r="AQ646" s="781"/>
      <c r="AR646" s="781"/>
      <c r="AS646" s="781"/>
      <c r="AT646" s="781"/>
      <c r="AU646" s="781"/>
    </row>
    <row r="647" ht="15.75" customHeight="1">
      <c r="A647" s="795">
        <v>44494.0</v>
      </c>
      <c r="B647" s="796" t="s">
        <v>3091</v>
      </c>
      <c r="C647" s="797" t="s">
        <v>2547</v>
      </c>
      <c r="D647" s="772" t="s">
        <v>6346</v>
      </c>
      <c r="E647" s="829">
        <v>10000.0</v>
      </c>
      <c r="F647" s="772" t="s">
        <v>3090</v>
      </c>
      <c r="G647" s="782" t="s">
        <v>18</v>
      </c>
      <c r="H647" s="782" t="s">
        <v>176</v>
      </c>
      <c r="I647" s="782" t="s">
        <v>177</v>
      </c>
      <c r="J647" s="782">
        <v>44295.0</v>
      </c>
      <c r="K647" s="785" t="s">
        <v>3834</v>
      </c>
      <c r="L647" s="781"/>
      <c r="M647" s="781"/>
      <c r="N647" s="781"/>
      <c r="O647" s="781"/>
      <c r="P647" s="781"/>
      <c r="Q647" s="781"/>
      <c r="R647" s="781"/>
      <c r="S647" s="781"/>
      <c r="T647" s="781"/>
      <c r="U647" s="781"/>
      <c r="V647" s="781"/>
      <c r="W647" s="781"/>
      <c r="X647" s="781"/>
      <c r="Y647" s="781"/>
      <c r="Z647" s="781"/>
      <c r="AA647" s="781"/>
      <c r="AB647" s="781"/>
      <c r="AC647" s="781"/>
      <c r="AD647" s="781"/>
      <c r="AE647" s="781"/>
      <c r="AF647" s="781"/>
      <c r="AG647" s="781"/>
      <c r="AH647" s="781"/>
      <c r="AI647" s="781"/>
      <c r="AJ647" s="781"/>
      <c r="AK647" s="781"/>
      <c r="AL647" s="781"/>
      <c r="AM647" s="781"/>
      <c r="AN647" s="781"/>
      <c r="AO647" s="781"/>
      <c r="AP647" s="781"/>
      <c r="AQ647" s="781"/>
      <c r="AR647" s="781"/>
      <c r="AS647" s="781"/>
      <c r="AT647" s="781"/>
      <c r="AU647" s="781"/>
    </row>
    <row r="648" ht="15.75" customHeight="1">
      <c r="A648" s="795">
        <v>44494.0</v>
      </c>
      <c r="B648" s="796" t="s">
        <v>3041</v>
      </c>
      <c r="C648" s="797" t="s">
        <v>2547</v>
      </c>
      <c r="D648" s="772" t="s">
        <v>6346</v>
      </c>
      <c r="E648" s="829">
        <v>12000.0</v>
      </c>
      <c r="F648" s="772" t="s">
        <v>3040</v>
      </c>
      <c r="G648" s="782" t="s">
        <v>2550</v>
      </c>
      <c r="H648" s="782" t="s">
        <v>29</v>
      </c>
      <c r="I648" s="782" t="s">
        <v>2551</v>
      </c>
      <c r="J648" s="782">
        <v>43605.0</v>
      </c>
      <c r="K648" s="785" t="s">
        <v>3836</v>
      </c>
      <c r="L648" s="781"/>
      <c r="M648" s="781"/>
      <c r="N648" s="781"/>
      <c r="O648" s="781"/>
      <c r="P648" s="781"/>
      <c r="Q648" s="781"/>
      <c r="R648" s="781"/>
      <c r="S648" s="781"/>
      <c r="T648" s="781"/>
      <c r="U648" s="781"/>
      <c r="V648" s="781"/>
      <c r="W648" s="781"/>
      <c r="X648" s="781"/>
      <c r="Y648" s="781"/>
      <c r="Z648" s="781"/>
      <c r="AA648" s="781"/>
      <c r="AB648" s="781"/>
      <c r="AC648" s="781"/>
      <c r="AD648" s="781"/>
      <c r="AE648" s="781"/>
      <c r="AF648" s="781"/>
      <c r="AG648" s="781"/>
      <c r="AH648" s="781"/>
      <c r="AI648" s="781"/>
      <c r="AJ648" s="781"/>
      <c r="AK648" s="781"/>
      <c r="AL648" s="781"/>
      <c r="AM648" s="781"/>
      <c r="AN648" s="781"/>
      <c r="AO648" s="781"/>
      <c r="AP648" s="781"/>
      <c r="AQ648" s="781"/>
      <c r="AR648" s="781"/>
      <c r="AS648" s="781"/>
      <c r="AT648" s="781"/>
      <c r="AU648" s="781"/>
    </row>
    <row r="649" ht="15.75" customHeight="1">
      <c r="A649" s="795">
        <v>44494.0</v>
      </c>
      <c r="B649" s="796" t="s">
        <v>6467</v>
      </c>
      <c r="C649" s="797" t="s">
        <v>2547</v>
      </c>
      <c r="D649" s="772" t="s">
        <v>6346</v>
      </c>
      <c r="E649" s="829">
        <v>33000.0</v>
      </c>
      <c r="F649" s="772" t="s">
        <v>640</v>
      </c>
      <c r="G649" s="772" t="s">
        <v>18</v>
      </c>
      <c r="H649" s="772" t="s">
        <v>176</v>
      </c>
      <c r="I649" s="772" t="s">
        <v>2634</v>
      </c>
      <c r="J649" s="782">
        <v>44383.0</v>
      </c>
      <c r="K649" s="789" t="s">
        <v>3836</v>
      </c>
      <c r="L649" s="781"/>
      <c r="M649" s="781"/>
      <c r="N649" s="781"/>
      <c r="O649" s="781"/>
      <c r="P649" s="781"/>
      <c r="Q649" s="781"/>
      <c r="R649" s="781"/>
      <c r="S649" s="781"/>
      <c r="T649" s="781"/>
      <c r="U649" s="781"/>
      <c r="V649" s="781"/>
      <c r="W649" s="781"/>
      <c r="X649" s="781"/>
      <c r="Y649" s="781"/>
      <c r="Z649" s="781"/>
      <c r="AA649" s="781"/>
      <c r="AB649" s="781"/>
      <c r="AC649" s="781"/>
      <c r="AD649" s="781"/>
      <c r="AE649" s="781"/>
      <c r="AF649" s="781"/>
      <c r="AG649" s="781"/>
      <c r="AH649" s="781"/>
      <c r="AI649" s="781"/>
      <c r="AJ649" s="781"/>
      <c r="AK649" s="781"/>
      <c r="AL649" s="781"/>
      <c r="AM649" s="781"/>
      <c r="AN649" s="781"/>
      <c r="AO649" s="781"/>
      <c r="AP649" s="781"/>
      <c r="AQ649" s="781"/>
      <c r="AR649" s="781"/>
      <c r="AS649" s="781"/>
      <c r="AT649" s="781"/>
      <c r="AU649" s="781"/>
    </row>
    <row r="650" ht="15.75" customHeight="1">
      <c r="A650" s="795">
        <v>44494.0</v>
      </c>
      <c r="B650" s="796" t="s">
        <v>3441</v>
      </c>
      <c r="C650" s="797" t="s">
        <v>2547</v>
      </c>
      <c r="D650" s="772" t="s">
        <v>6346</v>
      </c>
      <c r="E650" s="829">
        <v>10000.0</v>
      </c>
      <c r="F650" s="772" t="s">
        <v>3440</v>
      </c>
      <c r="G650" s="782" t="s">
        <v>18</v>
      </c>
      <c r="H650" s="782" t="s">
        <v>176</v>
      </c>
      <c r="I650" s="782" t="s">
        <v>197</v>
      </c>
      <c r="J650" s="782">
        <v>44319.0</v>
      </c>
      <c r="K650" s="785" t="s">
        <v>3828</v>
      </c>
      <c r="L650" s="781"/>
      <c r="M650" s="781"/>
      <c r="N650" s="781"/>
      <c r="O650" s="781"/>
      <c r="P650" s="781"/>
      <c r="Q650" s="781"/>
      <c r="R650" s="781"/>
      <c r="S650" s="781"/>
      <c r="T650" s="781"/>
      <c r="U650" s="781"/>
      <c r="V650" s="781"/>
      <c r="W650" s="781"/>
      <c r="X650" s="781"/>
      <c r="Y650" s="781"/>
      <c r="Z650" s="781"/>
      <c r="AA650" s="781"/>
      <c r="AB650" s="781"/>
      <c r="AC650" s="781"/>
      <c r="AD650" s="781"/>
      <c r="AE650" s="781"/>
      <c r="AF650" s="781"/>
      <c r="AG650" s="781"/>
      <c r="AH650" s="781"/>
      <c r="AI650" s="781"/>
      <c r="AJ650" s="781"/>
      <c r="AK650" s="781"/>
      <c r="AL650" s="781"/>
      <c r="AM650" s="781"/>
      <c r="AN650" s="781"/>
      <c r="AO650" s="781"/>
      <c r="AP650" s="781"/>
      <c r="AQ650" s="781"/>
      <c r="AR650" s="781"/>
      <c r="AS650" s="781"/>
      <c r="AT650" s="781"/>
      <c r="AU650" s="781"/>
    </row>
    <row r="651" ht="15.75" customHeight="1">
      <c r="A651" s="795">
        <v>44495.0</v>
      </c>
      <c r="B651" s="832" t="s">
        <v>6468</v>
      </c>
      <c r="C651" s="797" t="s">
        <v>3820</v>
      </c>
      <c r="D651" s="772" t="s">
        <v>6345</v>
      </c>
      <c r="E651" s="829">
        <v>295388.82</v>
      </c>
      <c r="F651" s="772" t="s">
        <v>4728</v>
      </c>
      <c r="G651" s="772" t="s">
        <v>105</v>
      </c>
      <c r="H651" s="772" t="s">
        <v>29</v>
      </c>
      <c r="I651" s="772" t="s">
        <v>4075</v>
      </c>
      <c r="J651" s="782">
        <v>44111.0</v>
      </c>
      <c r="K651" s="789" t="s">
        <v>3824</v>
      </c>
      <c r="L651" s="781"/>
      <c r="M651" s="781"/>
      <c r="N651" s="781"/>
      <c r="O651" s="781"/>
      <c r="P651" s="781"/>
      <c r="Q651" s="781"/>
      <c r="R651" s="781"/>
      <c r="S651" s="781"/>
      <c r="T651" s="781"/>
      <c r="U651" s="781"/>
      <c r="V651" s="781"/>
      <c r="W651" s="781"/>
      <c r="X651" s="781"/>
      <c r="Y651" s="781"/>
      <c r="Z651" s="781"/>
      <c r="AA651" s="781"/>
      <c r="AB651" s="781"/>
      <c r="AC651" s="781"/>
      <c r="AD651" s="781"/>
      <c r="AE651" s="781"/>
      <c r="AF651" s="781"/>
      <c r="AG651" s="781"/>
      <c r="AH651" s="781"/>
      <c r="AI651" s="781"/>
      <c r="AJ651" s="781"/>
      <c r="AK651" s="781"/>
      <c r="AL651" s="781"/>
      <c r="AM651" s="781"/>
      <c r="AN651" s="781"/>
      <c r="AO651" s="781"/>
      <c r="AP651" s="781"/>
      <c r="AQ651" s="781"/>
      <c r="AR651" s="781"/>
      <c r="AS651" s="781"/>
      <c r="AT651" s="781"/>
      <c r="AU651" s="781"/>
    </row>
    <row r="652" ht="15.75" customHeight="1">
      <c r="A652" s="795">
        <v>44495.0</v>
      </c>
      <c r="B652" s="796" t="s">
        <v>3396</v>
      </c>
      <c r="C652" s="797" t="s">
        <v>2547</v>
      </c>
      <c r="D652" s="772" t="s">
        <v>6346</v>
      </c>
      <c r="E652" s="829">
        <v>14000.0</v>
      </c>
      <c r="F652" s="772" t="s">
        <v>2019</v>
      </c>
      <c r="G652" s="782" t="s">
        <v>18</v>
      </c>
      <c r="H652" s="782" t="s">
        <v>176</v>
      </c>
      <c r="I652" s="782" t="s">
        <v>177</v>
      </c>
      <c r="J652" s="782">
        <v>44280.0</v>
      </c>
      <c r="K652" s="785" t="s">
        <v>3828</v>
      </c>
      <c r="L652" s="781"/>
      <c r="M652" s="781"/>
      <c r="N652" s="781"/>
      <c r="O652" s="781"/>
      <c r="P652" s="781"/>
      <c r="Q652" s="781"/>
      <c r="R652" s="781"/>
      <c r="S652" s="781"/>
      <c r="T652" s="781"/>
      <c r="U652" s="781"/>
      <c r="V652" s="781"/>
      <c r="W652" s="781"/>
      <c r="X652" s="781"/>
      <c r="Y652" s="781"/>
      <c r="Z652" s="781"/>
      <c r="AA652" s="781"/>
      <c r="AB652" s="781"/>
      <c r="AC652" s="781"/>
      <c r="AD652" s="781"/>
      <c r="AE652" s="781"/>
      <c r="AF652" s="781"/>
      <c r="AG652" s="781"/>
      <c r="AH652" s="781"/>
      <c r="AI652" s="781"/>
      <c r="AJ652" s="781"/>
      <c r="AK652" s="781"/>
      <c r="AL652" s="781"/>
      <c r="AM652" s="781"/>
      <c r="AN652" s="781"/>
      <c r="AO652" s="781"/>
      <c r="AP652" s="781"/>
      <c r="AQ652" s="781"/>
      <c r="AR652" s="781"/>
      <c r="AS652" s="781"/>
      <c r="AT652" s="781"/>
      <c r="AU652" s="781"/>
    </row>
    <row r="653" ht="15.75" customHeight="1">
      <c r="A653" s="795">
        <v>44497.0</v>
      </c>
      <c r="B653" s="796" t="s">
        <v>3059</v>
      </c>
      <c r="C653" s="797" t="s">
        <v>2547</v>
      </c>
      <c r="D653" s="772" t="s">
        <v>6346</v>
      </c>
      <c r="E653" s="829">
        <v>40000.0</v>
      </c>
      <c r="F653" s="772" t="s">
        <v>3058</v>
      </c>
      <c r="G653" s="782" t="s">
        <v>18</v>
      </c>
      <c r="H653" s="782" t="s">
        <v>176</v>
      </c>
      <c r="I653" s="782" t="s">
        <v>2634</v>
      </c>
      <c r="J653" s="782">
        <v>44266.0</v>
      </c>
      <c r="K653" s="785" t="s">
        <v>3836</v>
      </c>
      <c r="L653" s="781"/>
      <c r="M653" s="781"/>
      <c r="N653" s="781"/>
      <c r="O653" s="781"/>
      <c r="P653" s="781"/>
      <c r="Q653" s="781"/>
      <c r="R653" s="781"/>
      <c r="S653" s="781"/>
      <c r="T653" s="781"/>
      <c r="U653" s="781"/>
      <c r="V653" s="781"/>
      <c r="W653" s="781"/>
      <c r="X653" s="781"/>
      <c r="Y653" s="781"/>
      <c r="Z653" s="781"/>
      <c r="AA653" s="781"/>
      <c r="AB653" s="781"/>
      <c r="AC653" s="781"/>
      <c r="AD653" s="781"/>
      <c r="AE653" s="781"/>
      <c r="AF653" s="781"/>
      <c r="AG653" s="781"/>
      <c r="AH653" s="781"/>
      <c r="AI653" s="781"/>
      <c r="AJ653" s="781"/>
      <c r="AK653" s="781"/>
      <c r="AL653" s="781"/>
      <c r="AM653" s="781"/>
      <c r="AN653" s="781"/>
      <c r="AO653" s="781"/>
      <c r="AP653" s="781"/>
      <c r="AQ653" s="781"/>
      <c r="AR653" s="781"/>
      <c r="AS653" s="781"/>
      <c r="AT653" s="781"/>
      <c r="AU653" s="781"/>
    </row>
    <row r="654" ht="15.75" customHeight="1">
      <c r="A654" s="795">
        <v>44497.0</v>
      </c>
      <c r="B654" s="832" t="s">
        <v>6469</v>
      </c>
      <c r="C654" s="797" t="s">
        <v>3820</v>
      </c>
      <c r="D654" s="772" t="s">
        <v>6345</v>
      </c>
      <c r="E654" s="829">
        <v>142605.94</v>
      </c>
      <c r="F654" s="772" t="s">
        <v>5213</v>
      </c>
      <c r="G654" s="772" t="s">
        <v>18</v>
      </c>
      <c r="H654" s="772" t="s">
        <v>29</v>
      </c>
      <c r="I654" s="772" t="s">
        <v>5215</v>
      </c>
      <c r="J654" s="782">
        <v>44271.0</v>
      </c>
      <c r="K654" s="789" t="s">
        <v>3869</v>
      </c>
      <c r="L654" s="781"/>
      <c r="M654" s="781"/>
      <c r="N654" s="781"/>
      <c r="O654" s="781"/>
      <c r="P654" s="781"/>
      <c r="Q654" s="781"/>
      <c r="R654" s="781"/>
      <c r="S654" s="781"/>
      <c r="T654" s="781"/>
      <c r="U654" s="781"/>
      <c r="V654" s="781"/>
      <c r="W654" s="781"/>
      <c r="X654" s="781"/>
      <c r="Y654" s="781"/>
      <c r="Z654" s="781"/>
      <c r="AA654" s="781"/>
      <c r="AB654" s="781"/>
      <c r="AC654" s="781"/>
      <c r="AD654" s="781"/>
      <c r="AE654" s="781"/>
      <c r="AF654" s="781"/>
      <c r="AG654" s="781"/>
      <c r="AH654" s="781"/>
      <c r="AI654" s="781"/>
      <c r="AJ654" s="781"/>
      <c r="AK654" s="781"/>
      <c r="AL654" s="781"/>
      <c r="AM654" s="781"/>
      <c r="AN654" s="781"/>
      <c r="AO654" s="781"/>
      <c r="AP654" s="781"/>
      <c r="AQ654" s="781"/>
      <c r="AR654" s="781"/>
      <c r="AS654" s="781"/>
      <c r="AT654" s="781"/>
      <c r="AU654" s="781"/>
    </row>
    <row r="655" ht="15.75" customHeight="1">
      <c r="A655" s="795">
        <v>44497.0</v>
      </c>
      <c r="B655" s="832" t="s">
        <v>6470</v>
      </c>
      <c r="C655" s="797" t="s">
        <v>3820</v>
      </c>
      <c r="D655" s="772" t="s">
        <v>6345</v>
      </c>
      <c r="E655" s="829">
        <v>148678.48</v>
      </c>
      <c r="F655" s="772" t="s">
        <v>5213</v>
      </c>
      <c r="G655" s="772" t="s">
        <v>18</v>
      </c>
      <c r="H655" s="772" t="s">
        <v>29</v>
      </c>
      <c r="I655" s="772" t="s">
        <v>3827</v>
      </c>
      <c r="J655" s="782">
        <v>44272.0</v>
      </c>
      <c r="K655" s="789" t="s">
        <v>3836</v>
      </c>
      <c r="L655" s="781"/>
      <c r="M655" s="781"/>
      <c r="N655" s="781"/>
      <c r="O655" s="781"/>
      <c r="P655" s="781"/>
      <c r="Q655" s="781"/>
      <c r="R655" s="781"/>
      <c r="S655" s="781"/>
      <c r="T655" s="781"/>
      <c r="U655" s="781"/>
      <c r="V655" s="781"/>
      <c r="W655" s="781"/>
      <c r="X655" s="781"/>
      <c r="Y655" s="781"/>
      <c r="Z655" s="781"/>
      <c r="AA655" s="781"/>
      <c r="AB655" s="781"/>
      <c r="AC655" s="781"/>
      <c r="AD655" s="781"/>
      <c r="AE655" s="781"/>
      <c r="AF655" s="781"/>
      <c r="AG655" s="781"/>
      <c r="AH655" s="781"/>
      <c r="AI655" s="781"/>
      <c r="AJ655" s="781"/>
      <c r="AK655" s="781"/>
      <c r="AL655" s="781"/>
      <c r="AM655" s="781"/>
      <c r="AN655" s="781"/>
      <c r="AO655" s="781"/>
      <c r="AP655" s="781"/>
      <c r="AQ655" s="781"/>
      <c r="AR655" s="781"/>
      <c r="AS655" s="781"/>
      <c r="AT655" s="781"/>
      <c r="AU655" s="781"/>
    </row>
    <row r="656" ht="15.75" customHeight="1">
      <c r="A656" s="795">
        <v>44498.0</v>
      </c>
      <c r="B656" s="796" t="s">
        <v>2902</v>
      </c>
      <c r="C656" s="797" t="s">
        <v>2547</v>
      </c>
      <c r="D656" s="772" t="s">
        <v>6346</v>
      </c>
      <c r="E656" s="829">
        <v>20000.0</v>
      </c>
      <c r="F656" s="772" t="s">
        <v>2901</v>
      </c>
      <c r="G656" s="782" t="s">
        <v>18</v>
      </c>
      <c r="H656" s="782" t="s">
        <v>176</v>
      </c>
      <c r="I656" s="782" t="s">
        <v>197</v>
      </c>
      <c r="J656" s="782">
        <v>44298.0</v>
      </c>
      <c r="K656" s="785" t="s">
        <v>3828</v>
      </c>
      <c r="L656" s="781"/>
      <c r="M656" s="781"/>
      <c r="N656" s="781"/>
      <c r="O656" s="781"/>
      <c r="P656" s="781"/>
      <c r="Q656" s="781"/>
      <c r="R656" s="781"/>
      <c r="S656" s="781"/>
      <c r="T656" s="781"/>
      <c r="U656" s="781"/>
      <c r="V656" s="781"/>
      <c r="W656" s="781"/>
      <c r="X656" s="781"/>
      <c r="Y656" s="781"/>
      <c r="Z656" s="781"/>
      <c r="AA656" s="781"/>
      <c r="AB656" s="781"/>
      <c r="AC656" s="781"/>
      <c r="AD656" s="781"/>
      <c r="AE656" s="781"/>
      <c r="AF656" s="781"/>
      <c r="AG656" s="781"/>
      <c r="AH656" s="781"/>
      <c r="AI656" s="781"/>
      <c r="AJ656" s="781"/>
      <c r="AK656" s="781"/>
      <c r="AL656" s="781"/>
      <c r="AM656" s="781"/>
      <c r="AN656" s="781"/>
      <c r="AO656" s="781"/>
      <c r="AP656" s="781"/>
      <c r="AQ656" s="781"/>
      <c r="AR656" s="781"/>
      <c r="AS656" s="781"/>
      <c r="AT656" s="781"/>
      <c r="AU656" s="781"/>
    </row>
    <row r="657" ht="15.75" customHeight="1">
      <c r="A657" s="795">
        <v>44498.0</v>
      </c>
      <c r="B657" s="796" t="s">
        <v>3478</v>
      </c>
      <c r="C657" s="797" t="s">
        <v>2547</v>
      </c>
      <c r="D657" s="772" t="s">
        <v>6346</v>
      </c>
      <c r="E657" s="829">
        <v>30000.0</v>
      </c>
      <c r="F657" s="772" t="s">
        <v>2174</v>
      </c>
      <c r="G657" s="782" t="s">
        <v>18</v>
      </c>
      <c r="H657" s="782" t="s">
        <v>176</v>
      </c>
      <c r="I657" s="782" t="s">
        <v>177</v>
      </c>
      <c r="J657" s="782">
        <v>44280.0</v>
      </c>
      <c r="K657" s="785" t="s">
        <v>3824</v>
      </c>
      <c r="L657" s="781"/>
      <c r="M657" s="781"/>
      <c r="N657" s="781"/>
      <c r="O657" s="781"/>
      <c r="P657" s="781"/>
      <c r="Q657" s="781"/>
      <c r="R657" s="781"/>
      <c r="S657" s="781"/>
      <c r="T657" s="781"/>
      <c r="U657" s="781"/>
      <c r="V657" s="781"/>
      <c r="W657" s="781"/>
      <c r="X657" s="781"/>
      <c r="Y657" s="781"/>
      <c r="Z657" s="781"/>
      <c r="AA657" s="781"/>
      <c r="AB657" s="781"/>
      <c r="AC657" s="781"/>
      <c r="AD657" s="781"/>
      <c r="AE657" s="781"/>
      <c r="AF657" s="781"/>
      <c r="AG657" s="781"/>
      <c r="AH657" s="781"/>
      <c r="AI657" s="781"/>
      <c r="AJ657" s="781"/>
      <c r="AK657" s="781"/>
      <c r="AL657" s="781"/>
      <c r="AM657" s="781"/>
      <c r="AN657" s="781"/>
      <c r="AO657" s="781"/>
      <c r="AP657" s="781"/>
      <c r="AQ657" s="781"/>
      <c r="AR657" s="781"/>
      <c r="AS657" s="781"/>
      <c r="AT657" s="781"/>
      <c r="AU657" s="781"/>
    </row>
    <row r="658" ht="15.75" customHeight="1">
      <c r="A658" s="795">
        <v>44501.0</v>
      </c>
      <c r="B658" s="796" t="s">
        <v>3166</v>
      </c>
      <c r="C658" s="797" t="s">
        <v>2547</v>
      </c>
      <c r="D658" s="772" t="s">
        <v>6346</v>
      </c>
      <c r="E658" s="829">
        <v>200000.0</v>
      </c>
      <c r="F658" s="772" t="s">
        <v>3165</v>
      </c>
      <c r="G658" s="782" t="s">
        <v>2550</v>
      </c>
      <c r="H658" s="782" t="s">
        <v>29</v>
      </c>
      <c r="I658" s="782" t="s">
        <v>2551</v>
      </c>
      <c r="J658" s="782">
        <v>43620.0</v>
      </c>
      <c r="K658" s="785" t="s">
        <v>3828</v>
      </c>
      <c r="L658" s="781"/>
      <c r="M658" s="781"/>
      <c r="N658" s="781"/>
      <c r="O658" s="781"/>
      <c r="P658" s="781"/>
      <c r="Q658" s="781"/>
      <c r="R658" s="781"/>
      <c r="S658" s="781"/>
      <c r="T658" s="781"/>
      <c r="U658" s="781"/>
      <c r="V658" s="781"/>
      <c r="W658" s="781"/>
      <c r="X658" s="781"/>
      <c r="Y658" s="781"/>
      <c r="Z658" s="781"/>
      <c r="AA658" s="781"/>
      <c r="AB658" s="781"/>
      <c r="AC658" s="781"/>
      <c r="AD658" s="781"/>
      <c r="AE658" s="781"/>
      <c r="AF658" s="781"/>
      <c r="AG658" s="781"/>
      <c r="AH658" s="781"/>
      <c r="AI658" s="781"/>
      <c r="AJ658" s="781"/>
      <c r="AK658" s="781"/>
      <c r="AL658" s="781"/>
      <c r="AM658" s="781"/>
      <c r="AN658" s="781"/>
      <c r="AO658" s="781"/>
      <c r="AP658" s="781"/>
      <c r="AQ658" s="781"/>
      <c r="AR658" s="781"/>
      <c r="AS658" s="781"/>
      <c r="AT658" s="781"/>
      <c r="AU658" s="781"/>
    </row>
    <row r="659" ht="15.75" customHeight="1">
      <c r="A659" s="795">
        <v>44501.0</v>
      </c>
      <c r="B659" s="796" t="s">
        <v>2902</v>
      </c>
      <c r="C659" s="797" t="s">
        <v>2547</v>
      </c>
      <c r="D659" s="772" t="s">
        <v>6346</v>
      </c>
      <c r="E659" s="829">
        <v>3000.0</v>
      </c>
      <c r="F659" s="772" t="s">
        <v>2901</v>
      </c>
      <c r="G659" s="782" t="s">
        <v>18</v>
      </c>
      <c r="H659" s="782" t="s">
        <v>176</v>
      </c>
      <c r="I659" s="782" t="s">
        <v>197</v>
      </c>
      <c r="J659" s="782">
        <v>44298.0</v>
      </c>
      <c r="K659" s="785" t="s">
        <v>3828</v>
      </c>
      <c r="L659" s="781"/>
      <c r="M659" s="781"/>
      <c r="N659" s="781"/>
      <c r="O659" s="781"/>
      <c r="P659" s="781"/>
      <c r="Q659" s="781"/>
      <c r="R659" s="781"/>
      <c r="S659" s="781"/>
      <c r="T659" s="781"/>
      <c r="U659" s="781"/>
      <c r="V659" s="781"/>
      <c r="W659" s="781"/>
      <c r="X659" s="781"/>
      <c r="Y659" s="781"/>
      <c r="Z659" s="781"/>
      <c r="AA659" s="781"/>
      <c r="AB659" s="781"/>
      <c r="AC659" s="781"/>
      <c r="AD659" s="781"/>
      <c r="AE659" s="781"/>
      <c r="AF659" s="781"/>
      <c r="AG659" s="781"/>
      <c r="AH659" s="781"/>
      <c r="AI659" s="781"/>
      <c r="AJ659" s="781"/>
      <c r="AK659" s="781"/>
      <c r="AL659" s="781"/>
      <c r="AM659" s="781"/>
      <c r="AN659" s="781"/>
      <c r="AO659" s="781"/>
      <c r="AP659" s="781"/>
      <c r="AQ659" s="781"/>
      <c r="AR659" s="781"/>
      <c r="AS659" s="781"/>
      <c r="AT659" s="781"/>
      <c r="AU659" s="781"/>
    </row>
    <row r="660" ht="15.75" customHeight="1">
      <c r="A660" s="795">
        <v>44501.0</v>
      </c>
      <c r="B660" s="796" t="s">
        <v>2847</v>
      </c>
      <c r="C660" s="797" t="s">
        <v>2547</v>
      </c>
      <c r="D660" s="772" t="s">
        <v>6346</v>
      </c>
      <c r="E660" s="829">
        <v>40000.0</v>
      </c>
      <c r="F660" s="772" t="s">
        <v>767</v>
      </c>
      <c r="G660" s="782" t="s">
        <v>18</v>
      </c>
      <c r="H660" s="782" t="s">
        <v>176</v>
      </c>
      <c r="I660" s="782" t="s">
        <v>177</v>
      </c>
      <c r="J660" s="782">
        <v>44321.0</v>
      </c>
      <c r="K660" s="785" t="s">
        <v>3828</v>
      </c>
      <c r="L660" s="781"/>
      <c r="M660" s="781"/>
      <c r="N660" s="781"/>
      <c r="O660" s="781"/>
      <c r="P660" s="781"/>
      <c r="Q660" s="781"/>
      <c r="R660" s="781"/>
      <c r="S660" s="781"/>
      <c r="T660" s="781"/>
      <c r="U660" s="781"/>
      <c r="V660" s="781"/>
      <c r="W660" s="781"/>
      <c r="X660" s="781"/>
      <c r="Y660" s="781"/>
      <c r="Z660" s="781"/>
      <c r="AA660" s="781"/>
      <c r="AB660" s="781"/>
      <c r="AC660" s="781"/>
      <c r="AD660" s="781"/>
      <c r="AE660" s="781"/>
      <c r="AF660" s="781"/>
      <c r="AG660" s="781"/>
      <c r="AH660" s="781"/>
      <c r="AI660" s="781"/>
      <c r="AJ660" s="781"/>
      <c r="AK660" s="781"/>
      <c r="AL660" s="781"/>
      <c r="AM660" s="781"/>
      <c r="AN660" s="781"/>
      <c r="AO660" s="781"/>
      <c r="AP660" s="781"/>
      <c r="AQ660" s="781"/>
      <c r="AR660" s="781"/>
      <c r="AS660" s="781"/>
      <c r="AT660" s="781"/>
      <c r="AU660" s="781"/>
    </row>
    <row r="661" ht="15.75" customHeight="1">
      <c r="A661" s="795">
        <v>44503.0</v>
      </c>
      <c r="B661" s="796" t="s">
        <v>3412</v>
      </c>
      <c r="C661" s="797" t="s">
        <v>2547</v>
      </c>
      <c r="D661" s="772" t="s">
        <v>6346</v>
      </c>
      <c r="E661" s="829">
        <v>30000.0</v>
      </c>
      <c r="F661" s="772" t="s">
        <v>3411</v>
      </c>
      <c r="G661" s="782" t="s">
        <v>18</v>
      </c>
      <c r="H661" s="782" t="s">
        <v>176</v>
      </c>
      <c r="I661" s="782" t="s">
        <v>197</v>
      </c>
      <c r="J661" s="782">
        <v>44279.0</v>
      </c>
      <c r="K661" s="785" t="s">
        <v>3828</v>
      </c>
      <c r="L661" s="781"/>
      <c r="M661" s="781"/>
      <c r="N661" s="781"/>
      <c r="O661" s="781"/>
      <c r="P661" s="781"/>
      <c r="Q661" s="781"/>
      <c r="R661" s="781"/>
      <c r="S661" s="781"/>
      <c r="T661" s="781"/>
      <c r="U661" s="781"/>
      <c r="V661" s="781"/>
      <c r="W661" s="781"/>
      <c r="X661" s="781"/>
      <c r="Y661" s="781"/>
      <c r="Z661" s="781"/>
      <c r="AA661" s="781"/>
      <c r="AB661" s="781"/>
      <c r="AC661" s="781"/>
      <c r="AD661" s="781"/>
      <c r="AE661" s="781"/>
      <c r="AF661" s="781"/>
      <c r="AG661" s="781"/>
      <c r="AH661" s="781"/>
      <c r="AI661" s="781"/>
      <c r="AJ661" s="781"/>
      <c r="AK661" s="781"/>
      <c r="AL661" s="781"/>
      <c r="AM661" s="781"/>
      <c r="AN661" s="781"/>
      <c r="AO661" s="781"/>
      <c r="AP661" s="781"/>
      <c r="AQ661" s="781"/>
      <c r="AR661" s="781"/>
      <c r="AS661" s="781"/>
      <c r="AT661" s="781"/>
      <c r="AU661" s="781"/>
    </row>
    <row r="662" ht="15.75" customHeight="1">
      <c r="A662" s="795">
        <v>44503.0</v>
      </c>
      <c r="B662" s="830" t="s">
        <v>6368</v>
      </c>
      <c r="C662" s="797" t="s">
        <v>3820</v>
      </c>
      <c r="D662" s="772" t="s">
        <v>6346</v>
      </c>
      <c r="E662" s="829">
        <v>5000.0</v>
      </c>
      <c r="F662" s="772" t="s">
        <v>4388</v>
      </c>
      <c r="G662" s="772" t="s">
        <v>105</v>
      </c>
      <c r="H662" s="772" t="s">
        <v>29</v>
      </c>
      <c r="I662" s="772" t="s">
        <v>3887</v>
      </c>
      <c r="J662" s="819">
        <v>44263.0</v>
      </c>
      <c r="K662" s="789" t="s">
        <v>3828</v>
      </c>
      <c r="L662" s="781"/>
      <c r="M662" s="781"/>
      <c r="N662" s="781"/>
      <c r="O662" s="781"/>
      <c r="P662" s="781"/>
      <c r="Q662" s="781"/>
      <c r="R662" s="781"/>
      <c r="S662" s="781"/>
      <c r="T662" s="781"/>
      <c r="U662" s="781"/>
      <c r="V662" s="781"/>
      <c r="W662" s="781"/>
      <c r="X662" s="781"/>
      <c r="Y662" s="781"/>
      <c r="Z662" s="781"/>
      <c r="AA662" s="781"/>
      <c r="AB662" s="781"/>
      <c r="AC662" s="781"/>
      <c r="AD662" s="781"/>
      <c r="AE662" s="781"/>
      <c r="AF662" s="781"/>
      <c r="AG662" s="781"/>
      <c r="AH662" s="781"/>
      <c r="AI662" s="781"/>
      <c r="AJ662" s="781"/>
      <c r="AK662" s="781"/>
      <c r="AL662" s="781"/>
      <c r="AM662" s="781"/>
      <c r="AN662" s="781"/>
      <c r="AO662" s="781"/>
      <c r="AP662" s="781"/>
      <c r="AQ662" s="781"/>
      <c r="AR662" s="781"/>
      <c r="AS662" s="781"/>
      <c r="AT662" s="781"/>
      <c r="AU662" s="781"/>
    </row>
    <row r="663" ht="15.75" customHeight="1">
      <c r="A663" s="795">
        <v>44504.0</v>
      </c>
      <c r="B663" s="834" t="s">
        <v>6402</v>
      </c>
      <c r="C663" s="797" t="s">
        <v>3820</v>
      </c>
      <c r="D663" s="772" t="s">
        <v>6346</v>
      </c>
      <c r="E663" s="829">
        <v>12284.53</v>
      </c>
      <c r="F663" s="772" t="s">
        <v>3896</v>
      </c>
      <c r="G663" s="772" t="s">
        <v>105</v>
      </c>
      <c r="H663" s="772" t="s">
        <v>29</v>
      </c>
      <c r="I663" s="772" t="s">
        <v>6471</v>
      </c>
      <c r="J663" s="782">
        <v>44180.0</v>
      </c>
      <c r="K663" s="789" t="s">
        <v>3836</v>
      </c>
      <c r="L663" s="781"/>
      <c r="M663" s="781"/>
      <c r="N663" s="781"/>
      <c r="O663" s="781"/>
      <c r="P663" s="781"/>
      <c r="Q663" s="781"/>
      <c r="R663" s="781"/>
      <c r="S663" s="781"/>
      <c r="T663" s="781"/>
      <c r="U663" s="781"/>
      <c r="V663" s="781"/>
      <c r="W663" s="781"/>
      <c r="X663" s="781"/>
      <c r="Y663" s="781"/>
      <c r="Z663" s="781"/>
      <c r="AA663" s="781"/>
      <c r="AB663" s="781"/>
      <c r="AC663" s="781"/>
      <c r="AD663" s="781"/>
      <c r="AE663" s="781"/>
      <c r="AF663" s="781"/>
      <c r="AG663" s="781"/>
      <c r="AH663" s="781"/>
      <c r="AI663" s="781"/>
      <c r="AJ663" s="781"/>
      <c r="AK663" s="781"/>
      <c r="AL663" s="781"/>
      <c r="AM663" s="781"/>
      <c r="AN663" s="781"/>
      <c r="AO663" s="781"/>
      <c r="AP663" s="781"/>
      <c r="AQ663" s="781"/>
      <c r="AR663" s="781"/>
      <c r="AS663" s="781"/>
      <c r="AT663" s="781"/>
      <c r="AU663" s="781"/>
    </row>
    <row r="664" ht="15.75" customHeight="1">
      <c r="A664" s="795">
        <v>44504.0</v>
      </c>
      <c r="B664" s="832" t="s">
        <v>6472</v>
      </c>
      <c r="C664" s="797" t="s">
        <v>3820</v>
      </c>
      <c r="D664" s="772" t="s">
        <v>6345</v>
      </c>
      <c r="E664" s="829">
        <v>282779.84</v>
      </c>
      <c r="F664" s="772" t="s">
        <v>4393</v>
      </c>
      <c r="G664" s="772" t="s">
        <v>105</v>
      </c>
      <c r="H664" s="772" t="s">
        <v>29</v>
      </c>
      <c r="I664" s="772" t="s">
        <v>3660</v>
      </c>
      <c r="J664" s="819">
        <v>44238.0</v>
      </c>
      <c r="K664" s="789" t="s">
        <v>3824</v>
      </c>
      <c r="L664" s="781"/>
      <c r="M664" s="835"/>
      <c r="N664" s="781"/>
      <c r="O664" s="781"/>
      <c r="P664" s="781"/>
      <c r="Q664" s="781"/>
      <c r="R664" s="781"/>
      <c r="S664" s="781"/>
      <c r="T664" s="781"/>
      <c r="U664" s="781"/>
      <c r="V664" s="781"/>
      <c r="W664" s="781"/>
      <c r="X664" s="781"/>
      <c r="Y664" s="781"/>
      <c r="Z664" s="781"/>
      <c r="AA664" s="781"/>
      <c r="AB664" s="781"/>
      <c r="AC664" s="781"/>
      <c r="AD664" s="781"/>
      <c r="AE664" s="781"/>
      <c r="AF664" s="781"/>
      <c r="AG664" s="781"/>
      <c r="AH664" s="781"/>
      <c r="AI664" s="781"/>
      <c r="AJ664" s="781"/>
      <c r="AK664" s="781"/>
      <c r="AL664" s="781"/>
      <c r="AM664" s="781"/>
      <c r="AN664" s="781"/>
      <c r="AO664" s="781"/>
      <c r="AP664" s="781"/>
      <c r="AQ664" s="781"/>
      <c r="AR664" s="781"/>
      <c r="AS664" s="781"/>
      <c r="AT664" s="781"/>
      <c r="AU664" s="781"/>
    </row>
    <row r="665" ht="15.75" customHeight="1">
      <c r="A665" s="795">
        <v>44504.0</v>
      </c>
      <c r="B665" s="827" t="s">
        <v>3507</v>
      </c>
      <c r="C665" s="797" t="s">
        <v>2547</v>
      </c>
      <c r="D665" s="772" t="s">
        <v>6346</v>
      </c>
      <c r="E665" s="829">
        <v>25000.0</v>
      </c>
      <c r="F665" s="772" t="s">
        <v>3506</v>
      </c>
      <c r="G665" s="782" t="s">
        <v>18</v>
      </c>
      <c r="H665" s="782" t="s">
        <v>176</v>
      </c>
      <c r="I665" s="782" t="s">
        <v>177</v>
      </c>
      <c r="J665" s="782">
        <v>44263.0</v>
      </c>
      <c r="K665" s="785" t="s">
        <v>3836</v>
      </c>
      <c r="L665" s="781"/>
      <c r="M665" s="781"/>
      <c r="N665" s="781"/>
      <c r="O665" s="781"/>
      <c r="P665" s="781"/>
      <c r="Q665" s="781"/>
      <c r="R665" s="781"/>
      <c r="S665" s="781"/>
      <c r="T665" s="781"/>
      <c r="U665" s="781"/>
      <c r="V665" s="781"/>
      <c r="W665" s="781"/>
      <c r="X665" s="781"/>
      <c r="Y665" s="781"/>
      <c r="Z665" s="781"/>
      <c r="AA665" s="781"/>
      <c r="AB665" s="781"/>
      <c r="AC665" s="781"/>
      <c r="AD665" s="781"/>
      <c r="AE665" s="781"/>
      <c r="AF665" s="781"/>
      <c r="AG665" s="781"/>
      <c r="AH665" s="781"/>
      <c r="AI665" s="781"/>
      <c r="AJ665" s="781"/>
      <c r="AK665" s="781"/>
      <c r="AL665" s="781"/>
      <c r="AM665" s="781"/>
      <c r="AN665" s="781"/>
      <c r="AO665" s="781"/>
      <c r="AP665" s="781"/>
      <c r="AQ665" s="781"/>
      <c r="AR665" s="781"/>
      <c r="AS665" s="781"/>
      <c r="AT665" s="781"/>
      <c r="AU665" s="781"/>
    </row>
    <row r="666" ht="15.75" customHeight="1">
      <c r="A666" s="795">
        <v>44504.0</v>
      </c>
      <c r="B666" s="800" t="s">
        <v>3156</v>
      </c>
      <c r="C666" s="797" t="s">
        <v>2547</v>
      </c>
      <c r="D666" s="772" t="s">
        <v>6346</v>
      </c>
      <c r="E666" s="829">
        <v>50000.0</v>
      </c>
      <c r="F666" s="772" t="s">
        <v>3155</v>
      </c>
      <c r="G666" s="782" t="s">
        <v>18</v>
      </c>
      <c r="H666" s="782" t="s">
        <v>176</v>
      </c>
      <c r="I666" s="782" t="s">
        <v>177</v>
      </c>
      <c r="J666" s="782">
        <v>44263.0</v>
      </c>
      <c r="K666" s="785" t="s">
        <v>3824</v>
      </c>
      <c r="L666" s="781"/>
      <c r="M666" s="781"/>
      <c r="N666" s="781"/>
      <c r="O666" s="781"/>
      <c r="P666" s="781"/>
      <c r="Q666" s="781"/>
      <c r="R666" s="781"/>
      <c r="S666" s="781"/>
      <c r="T666" s="781"/>
      <c r="U666" s="781"/>
      <c r="V666" s="781"/>
      <c r="W666" s="781"/>
      <c r="X666" s="781"/>
      <c r="Y666" s="781"/>
      <c r="Z666" s="781"/>
      <c r="AA666" s="781"/>
      <c r="AB666" s="781"/>
      <c r="AC666" s="781"/>
      <c r="AD666" s="781"/>
      <c r="AE666" s="781"/>
      <c r="AF666" s="781"/>
      <c r="AG666" s="781"/>
      <c r="AH666" s="781"/>
      <c r="AI666" s="781"/>
      <c r="AJ666" s="781"/>
      <c r="AK666" s="781"/>
      <c r="AL666" s="781"/>
      <c r="AM666" s="781"/>
      <c r="AN666" s="781"/>
      <c r="AO666" s="781"/>
      <c r="AP666" s="781"/>
      <c r="AQ666" s="781"/>
      <c r="AR666" s="781"/>
      <c r="AS666" s="781"/>
      <c r="AT666" s="781"/>
      <c r="AU666" s="781"/>
    </row>
    <row r="667" ht="15.75" customHeight="1">
      <c r="A667" s="795">
        <v>44504.0</v>
      </c>
      <c r="B667" s="800" t="s">
        <v>3226</v>
      </c>
      <c r="C667" s="797" t="s">
        <v>2547</v>
      </c>
      <c r="D667" s="772" t="s">
        <v>6346</v>
      </c>
      <c r="E667" s="829">
        <v>10000.0</v>
      </c>
      <c r="F667" s="772" t="s">
        <v>3225</v>
      </c>
      <c r="G667" s="782" t="s">
        <v>18</v>
      </c>
      <c r="H667" s="782" t="s">
        <v>176</v>
      </c>
      <c r="I667" s="782" t="s">
        <v>177</v>
      </c>
      <c r="J667" s="782">
        <v>44323.0</v>
      </c>
      <c r="K667" s="785" t="s">
        <v>3869</v>
      </c>
      <c r="L667" s="781"/>
      <c r="M667" s="781"/>
      <c r="N667" s="781"/>
      <c r="O667" s="781"/>
      <c r="P667" s="781"/>
      <c r="Q667" s="781"/>
      <c r="R667" s="781"/>
      <c r="S667" s="781"/>
      <c r="T667" s="781"/>
      <c r="U667" s="781"/>
      <c r="V667" s="781"/>
      <c r="W667" s="781"/>
      <c r="X667" s="781"/>
      <c r="Y667" s="781"/>
      <c r="Z667" s="781"/>
      <c r="AA667" s="781"/>
      <c r="AB667" s="781"/>
      <c r="AC667" s="781"/>
      <c r="AD667" s="781"/>
      <c r="AE667" s="781"/>
      <c r="AF667" s="781"/>
      <c r="AG667" s="781"/>
      <c r="AH667" s="781"/>
      <c r="AI667" s="781"/>
      <c r="AJ667" s="781"/>
      <c r="AK667" s="781"/>
      <c r="AL667" s="781"/>
      <c r="AM667" s="781"/>
      <c r="AN667" s="781"/>
      <c r="AO667" s="781"/>
      <c r="AP667" s="781"/>
      <c r="AQ667" s="781"/>
      <c r="AR667" s="781"/>
      <c r="AS667" s="781"/>
      <c r="AT667" s="781"/>
      <c r="AU667" s="781"/>
    </row>
    <row r="668" ht="15.75" customHeight="1">
      <c r="A668" s="795">
        <v>44505.0</v>
      </c>
      <c r="B668" s="830" t="s">
        <v>6473</v>
      </c>
      <c r="C668" s="797" t="s">
        <v>3820</v>
      </c>
      <c r="D668" s="772" t="s">
        <v>6346</v>
      </c>
      <c r="E668" s="829">
        <v>18000.0</v>
      </c>
      <c r="F668" s="772" t="s">
        <v>3353</v>
      </c>
      <c r="G668" s="772" t="s">
        <v>2550</v>
      </c>
      <c r="H668" s="772" t="s">
        <v>29</v>
      </c>
      <c r="I668" s="772" t="s">
        <v>2550</v>
      </c>
      <c r="J668" s="782">
        <v>44151.0</v>
      </c>
      <c r="K668" s="789" t="s">
        <v>3828</v>
      </c>
      <c r="L668" s="781"/>
      <c r="M668" s="781"/>
      <c r="N668" s="781"/>
      <c r="O668" s="781"/>
      <c r="P668" s="781"/>
      <c r="Q668" s="781"/>
      <c r="R668" s="781"/>
      <c r="S668" s="781"/>
      <c r="T668" s="781"/>
      <c r="U668" s="781"/>
      <c r="V668" s="781"/>
      <c r="W668" s="781"/>
      <c r="X668" s="781"/>
      <c r="Y668" s="781"/>
      <c r="Z668" s="781"/>
      <c r="AA668" s="781"/>
      <c r="AB668" s="781"/>
      <c r="AC668" s="781"/>
      <c r="AD668" s="781"/>
      <c r="AE668" s="781"/>
      <c r="AF668" s="781"/>
      <c r="AG668" s="781"/>
      <c r="AH668" s="781"/>
      <c r="AI668" s="781"/>
      <c r="AJ668" s="781"/>
      <c r="AK668" s="781"/>
      <c r="AL668" s="781"/>
      <c r="AM668" s="781"/>
      <c r="AN668" s="781"/>
      <c r="AO668" s="781"/>
      <c r="AP668" s="781"/>
      <c r="AQ668" s="781"/>
      <c r="AR668" s="781"/>
      <c r="AS668" s="781"/>
      <c r="AT668" s="781"/>
      <c r="AU668" s="781"/>
    </row>
    <row r="669" ht="15.75" customHeight="1">
      <c r="A669" s="795">
        <v>44505.0</v>
      </c>
      <c r="B669" s="827" t="s">
        <v>3499</v>
      </c>
      <c r="C669" s="797" t="s">
        <v>2547</v>
      </c>
      <c r="D669" s="772" t="s">
        <v>1481</v>
      </c>
      <c r="E669" s="799">
        <v>52493.45</v>
      </c>
      <c r="F669" s="772" t="s">
        <v>3498</v>
      </c>
      <c r="G669" s="782" t="s">
        <v>18</v>
      </c>
      <c r="H669" s="782" t="s">
        <v>176</v>
      </c>
      <c r="I669" s="782" t="s">
        <v>177</v>
      </c>
      <c r="J669" s="782">
        <v>44411.0</v>
      </c>
      <c r="K669" s="785" t="s">
        <v>3828</v>
      </c>
      <c r="L669" s="781"/>
      <c r="M669" s="781"/>
      <c r="N669" s="781"/>
      <c r="O669" s="781"/>
      <c r="P669" s="781"/>
      <c r="Q669" s="781"/>
      <c r="R669" s="781"/>
      <c r="S669" s="781"/>
      <c r="T669" s="781"/>
      <c r="U669" s="781"/>
      <c r="V669" s="781"/>
      <c r="W669" s="781"/>
      <c r="X669" s="781"/>
      <c r="Y669" s="781"/>
      <c r="Z669" s="781"/>
      <c r="AA669" s="781"/>
      <c r="AB669" s="781"/>
      <c r="AC669" s="781"/>
      <c r="AD669" s="781"/>
      <c r="AE669" s="781"/>
      <c r="AF669" s="781"/>
      <c r="AG669" s="781"/>
      <c r="AH669" s="781"/>
      <c r="AI669" s="781"/>
      <c r="AJ669" s="781"/>
      <c r="AK669" s="781"/>
      <c r="AL669" s="781"/>
      <c r="AM669" s="781"/>
      <c r="AN669" s="781"/>
      <c r="AO669" s="781"/>
      <c r="AP669" s="781"/>
      <c r="AQ669" s="781"/>
      <c r="AR669" s="781"/>
      <c r="AS669" s="781"/>
      <c r="AT669" s="781"/>
      <c r="AU669" s="781"/>
    </row>
    <row r="670" ht="15.75" customHeight="1">
      <c r="A670" s="795">
        <v>44505.0</v>
      </c>
      <c r="B670" s="827" t="s">
        <v>3590</v>
      </c>
      <c r="C670" s="797" t="s">
        <v>2547</v>
      </c>
      <c r="D670" s="772" t="s">
        <v>6346</v>
      </c>
      <c r="E670" s="829">
        <v>200000.0</v>
      </c>
      <c r="F670" s="772" t="s">
        <v>3589</v>
      </c>
      <c r="G670" s="782" t="s">
        <v>2550</v>
      </c>
      <c r="H670" s="782" t="s">
        <v>29</v>
      </c>
      <c r="I670" s="782" t="s">
        <v>2551</v>
      </c>
      <c r="J670" s="782">
        <v>43567.0</v>
      </c>
      <c r="K670" s="785" t="s">
        <v>3828</v>
      </c>
      <c r="L670" s="781"/>
      <c r="M670" s="781"/>
      <c r="N670" s="781"/>
      <c r="O670" s="781"/>
      <c r="P670" s="781"/>
      <c r="Q670" s="781"/>
      <c r="R670" s="781"/>
      <c r="S670" s="781"/>
      <c r="T670" s="781"/>
      <c r="U670" s="781"/>
      <c r="V670" s="781"/>
      <c r="W670" s="781"/>
      <c r="X670" s="781"/>
      <c r="Y670" s="781"/>
      <c r="Z670" s="781"/>
      <c r="AA670" s="781"/>
      <c r="AB670" s="781"/>
      <c r="AC670" s="781"/>
      <c r="AD670" s="781"/>
      <c r="AE670" s="781"/>
      <c r="AF670" s="781"/>
      <c r="AG670" s="781"/>
      <c r="AH670" s="781"/>
      <c r="AI670" s="781"/>
      <c r="AJ670" s="781"/>
      <c r="AK670" s="781"/>
      <c r="AL670" s="781"/>
      <c r="AM670" s="781"/>
      <c r="AN670" s="781"/>
      <c r="AO670" s="781"/>
      <c r="AP670" s="781"/>
      <c r="AQ670" s="781"/>
      <c r="AR670" s="781"/>
      <c r="AS670" s="781"/>
      <c r="AT670" s="781"/>
      <c r="AU670" s="781"/>
    </row>
    <row r="671" ht="15.75" customHeight="1">
      <c r="A671" s="795">
        <v>44505.0</v>
      </c>
      <c r="B671" s="836" t="s">
        <v>2988</v>
      </c>
      <c r="C671" s="797" t="s">
        <v>2547</v>
      </c>
      <c r="D671" s="772" t="s">
        <v>6345</v>
      </c>
      <c r="E671" s="829">
        <v>386234.9</v>
      </c>
      <c r="F671" s="772" t="s">
        <v>2987</v>
      </c>
      <c r="G671" s="782" t="s">
        <v>2550</v>
      </c>
      <c r="H671" s="782" t="s">
        <v>29</v>
      </c>
      <c r="I671" s="782" t="s">
        <v>2551</v>
      </c>
      <c r="J671" s="782">
        <v>43692.0</v>
      </c>
      <c r="K671" s="785" t="s">
        <v>4206</v>
      </c>
      <c r="L671" s="781"/>
      <c r="M671" s="781"/>
      <c r="N671" s="781"/>
      <c r="O671" s="781"/>
      <c r="P671" s="781"/>
      <c r="Q671" s="781"/>
      <c r="R671" s="781"/>
      <c r="S671" s="781"/>
      <c r="T671" s="781"/>
      <c r="U671" s="781"/>
      <c r="V671" s="781"/>
      <c r="W671" s="781"/>
      <c r="X671" s="781"/>
      <c r="Y671" s="781"/>
      <c r="Z671" s="781"/>
      <c r="AA671" s="781"/>
      <c r="AB671" s="781"/>
      <c r="AC671" s="781"/>
      <c r="AD671" s="781"/>
      <c r="AE671" s="781"/>
      <c r="AF671" s="781"/>
      <c r="AG671" s="781"/>
      <c r="AH671" s="781"/>
      <c r="AI671" s="781"/>
      <c r="AJ671" s="781"/>
      <c r="AK671" s="781"/>
      <c r="AL671" s="781"/>
      <c r="AM671" s="781"/>
      <c r="AN671" s="781"/>
      <c r="AO671" s="781"/>
      <c r="AP671" s="781"/>
      <c r="AQ671" s="781"/>
      <c r="AR671" s="781"/>
      <c r="AS671" s="781"/>
      <c r="AT671" s="781"/>
      <c r="AU671" s="781"/>
    </row>
    <row r="672" ht="15.75" customHeight="1">
      <c r="A672" s="795">
        <v>44509.0</v>
      </c>
      <c r="B672" s="827" t="s">
        <v>3046</v>
      </c>
      <c r="C672" s="797" t="s">
        <v>2547</v>
      </c>
      <c r="D672" s="772" t="s">
        <v>1481</v>
      </c>
      <c r="E672" s="829">
        <v>1035319.0</v>
      </c>
      <c r="F672" s="772" t="s">
        <v>3045</v>
      </c>
      <c r="G672" s="782" t="s">
        <v>18</v>
      </c>
      <c r="H672" s="782" t="s">
        <v>176</v>
      </c>
      <c r="I672" s="782" t="s">
        <v>177</v>
      </c>
      <c r="J672" s="782">
        <v>44319.0</v>
      </c>
      <c r="K672" s="785" t="s">
        <v>3828</v>
      </c>
      <c r="L672" s="781"/>
      <c r="M672" s="781"/>
      <c r="N672" s="781"/>
      <c r="O672" s="781"/>
      <c r="P672" s="781"/>
      <c r="Q672" s="781"/>
      <c r="R672" s="781"/>
      <c r="S672" s="781"/>
      <c r="T672" s="781"/>
      <c r="U672" s="781"/>
      <c r="V672" s="781"/>
      <c r="W672" s="781"/>
      <c r="X672" s="781"/>
      <c r="Y672" s="781"/>
      <c r="Z672" s="781"/>
      <c r="AA672" s="781"/>
      <c r="AB672" s="781"/>
      <c r="AC672" s="781"/>
      <c r="AD672" s="781"/>
      <c r="AE672" s="781"/>
      <c r="AF672" s="781"/>
      <c r="AG672" s="781"/>
      <c r="AH672" s="781"/>
      <c r="AI672" s="781"/>
      <c r="AJ672" s="781"/>
      <c r="AK672" s="781"/>
      <c r="AL672" s="781"/>
      <c r="AM672" s="781"/>
      <c r="AN672" s="781"/>
      <c r="AO672" s="781"/>
      <c r="AP672" s="781"/>
      <c r="AQ672" s="781"/>
      <c r="AR672" s="781"/>
      <c r="AS672" s="781"/>
      <c r="AT672" s="781"/>
      <c r="AU672" s="781"/>
    </row>
    <row r="673" ht="15.75" customHeight="1">
      <c r="A673" s="795">
        <v>44509.0</v>
      </c>
      <c r="B673" s="827" t="s">
        <v>2549</v>
      </c>
      <c r="C673" s="797" t="s">
        <v>2547</v>
      </c>
      <c r="D673" s="772" t="s">
        <v>6346</v>
      </c>
      <c r="E673" s="829">
        <v>359568.24</v>
      </c>
      <c r="F673" s="772" t="s">
        <v>2548</v>
      </c>
      <c r="G673" s="782" t="s">
        <v>2550</v>
      </c>
      <c r="H673" s="782" t="s">
        <v>29</v>
      </c>
      <c r="I673" s="782" t="s">
        <v>2551</v>
      </c>
      <c r="J673" s="782">
        <v>43570.0</v>
      </c>
      <c r="K673" s="785" t="s">
        <v>3836</v>
      </c>
      <c r="L673" s="781"/>
      <c r="M673" s="781"/>
      <c r="N673" s="781"/>
      <c r="O673" s="781"/>
      <c r="P673" s="781"/>
      <c r="Q673" s="781"/>
      <c r="R673" s="781"/>
      <c r="S673" s="781"/>
      <c r="T673" s="781"/>
      <c r="U673" s="781"/>
      <c r="V673" s="781"/>
      <c r="W673" s="781"/>
      <c r="X673" s="781"/>
      <c r="Y673" s="781"/>
      <c r="Z673" s="781"/>
      <c r="AA673" s="781"/>
      <c r="AB673" s="781"/>
      <c r="AC673" s="781"/>
      <c r="AD673" s="781"/>
      <c r="AE673" s="781"/>
      <c r="AF673" s="781"/>
      <c r="AG673" s="781"/>
      <c r="AH673" s="781"/>
      <c r="AI673" s="781"/>
      <c r="AJ673" s="781"/>
      <c r="AK673" s="781"/>
      <c r="AL673" s="781"/>
      <c r="AM673" s="781"/>
      <c r="AN673" s="781"/>
      <c r="AO673" s="781"/>
      <c r="AP673" s="781"/>
      <c r="AQ673" s="781"/>
      <c r="AR673" s="781"/>
      <c r="AS673" s="781"/>
      <c r="AT673" s="781"/>
      <c r="AU673" s="781"/>
    </row>
    <row r="674" ht="15.75" customHeight="1">
      <c r="A674" s="795">
        <v>44509.0</v>
      </c>
      <c r="B674" s="796" t="s">
        <v>2982</v>
      </c>
      <c r="C674" s="797" t="s">
        <v>2547</v>
      </c>
      <c r="D674" s="772" t="s">
        <v>6346</v>
      </c>
      <c r="E674" s="798">
        <v>10000.0</v>
      </c>
      <c r="F674" s="772" t="s">
        <v>2981</v>
      </c>
      <c r="G674" s="782" t="s">
        <v>2550</v>
      </c>
      <c r="H674" s="782" t="s">
        <v>29</v>
      </c>
      <c r="I674" s="782" t="s">
        <v>2551</v>
      </c>
      <c r="J674" s="782">
        <v>43703.0</v>
      </c>
      <c r="K674" s="785" t="s">
        <v>4206</v>
      </c>
      <c r="L674" s="781"/>
      <c r="M674" s="781"/>
      <c r="N674" s="781"/>
      <c r="O674" s="781"/>
      <c r="P674" s="781"/>
      <c r="Q674" s="781"/>
      <c r="R674" s="781"/>
      <c r="S674" s="781"/>
      <c r="T674" s="781"/>
      <c r="U674" s="781"/>
      <c r="V674" s="781"/>
      <c r="W674" s="781"/>
      <c r="X674" s="781"/>
      <c r="Y674" s="781"/>
      <c r="Z674" s="781"/>
      <c r="AA674" s="781"/>
      <c r="AB674" s="781"/>
      <c r="AC674" s="781"/>
      <c r="AD674" s="781"/>
      <c r="AE674" s="781"/>
      <c r="AF674" s="781"/>
      <c r="AG674" s="781"/>
      <c r="AH674" s="781"/>
      <c r="AI674" s="781"/>
      <c r="AJ674" s="781"/>
      <c r="AK674" s="781"/>
      <c r="AL674" s="781"/>
      <c r="AM674" s="781"/>
      <c r="AN674" s="781"/>
      <c r="AO674" s="781"/>
      <c r="AP674" s="781"/>
      <c r="AQ674" s="781"/>
      <c r="AR674" s="781"/>
      <c r="AS674" s="781"/>
      <c r="AT674" s="781"/>
      <c r="AU674" s="781"/>
    </row>
    <row r="675" ht="15.75" customHeight="1">
      <c r="A675" s="795">
        <v>44509.0</v>
      </c>
      <c r="B675" s="836" t="s">
        <v>2593</v>
      </c>
      <c r="C675" s="797" t="s">
        <v>2547</v>
      </c>
      <c r="D675" s="772" t="s">
        <v>6345</v>
      </c>
      <c r="E675" s="798">
        <v>103527.44</v>
      </c>
      <c r="F675" s="772" t="s">
        <v>2592</v>
      </c>
      <c r="G675" s="782" t="s">
        <v>2550</v>
      </c>
      <c r="H675" s="782" t="s">
        <v>29</v>
      </c>
      <c r="I675" s="782" t="s">
        <v>2562</v>
      </c>
      <c r="J675" s="782">
        <v>43633.0</v>
      </c>
      <c r="K675" s="785" t="s">
        <v>3836</v>
      </c>
      <c r="L675" s="781"/>
      <c r="M675" s="781"/>
      <c r="N675" s="781"/>
      <c r="O675" s="781"/>
      <c r="P675" s="781"/>
      <c r="Q675" s="781"/>
      <c r="R675" s="781"/>
      <c r="S675" s="781"/>
      <c r="T675" s="781"/>
      <c r="U675" s="781"/>
      <c r="V675" s="781"/>
      <c r="W675" s="781"/>
      <c r="X675" s="781"/>
      <c r="Y675" s="781"/>
      <c r="Z675" s="781"/>
      <c r="AA675" s="781"/>
      <c r="AB675" s="781"/>
      <c r="AC675" s="781"/>
      <c r="AD675" s="781"/>
      <c r="AE675" s="781"/>
      <c r="AF675" s="781"/>
      <c r="AG675" s="781"/>
      <c r="AH675" s="781"/>
      <c r="AI675" s="781"/>
      <c r="AJ675" s="781"/>
      <c r="AK675" s="781"/>
      <c r="AL675" s="781"/>
      <c r="AM675" s="781"/>
      <c r="AN675" s="781"/>
      <c r="AO675" s="781"/>
      <c r="AP675" s="781"/>
      <c r="AQ675" s="781"/>
      <c r="AR675" s="781"/>
      <c r="AS675" s="781"/>
      <c r="AT675" s="781"/>
      <c r="AU675" s="781"/>
    </row>
    <row r="676" ht="15.75" customHeight="1">
      <c r="A676" s="795">
        <v>44510.0</v>
      </c>
      <c r="B676" s="830" t="s">
        <v>6384</v>
      </c>
      <c r="C676" s="797" t="s">
        <v>3820</v>
      </c>
      <c r="D676" s="772" t="s">
        <v>6346</v>
      </c>
      <c r="E676" s="798">
        <v>20000.0</v>
      </c>
      <c r="F676" s="772" t="s">
        <v>5098</v>
      </c>
      <c r="G676" s="772" t="s">
        <v>105</v>
      </c>
      <c r="H676" s="772" t="s">
        <v>29</v>
      </c>
      <c r="I676" s="772" t="s">
        <v>4486</v>
      </c>
      <c r="J676" s="782">
        <v>44180.0</v>
      </c>
      <c r="K676" s="789" t="s">
        <v>3828</v>
      </c>
      <c r="L676" s="781"/>
      <c r="M676" s="781"/>
      <c r="N676" s="781"/>
      <c r="O676" s="781"/>
      <c r="P676" s="781"/>
      <c r="Q676" s="781"/>
      <c r="R676" s="781"/>
      <c r="S676" s="781"/>
      <c r="T676" s="781"/>
      <c r="U676" s="781"/>
      <c r="V676" s="781"/>
      <c r="W676" s="781"/>
      <c r="X676" s="781"/>
      <c r="Y676" s="781"/>
      <c r="Z676" s="781"/>
      <c r="AA676" s="781"/>
      <c r="AB676" s="781"/>
      <c r="AC676" s="781"/>
      <c r="AD676" s="781"/>
      <c r="AE676" s="781"/>
      <c r="AF676" s="781"/>
      <c r="AG676" s="781"/>
      <c r="AH676" s="781"/>
      <c r="AI676" s="781"/>
      <c r="AJ676" s="781"/>
      <c r="AK676" s="781"/>
      <c r="AL676" s="781"/>
      <c r="AM676" s="781"/>
      <c r="AN676" s="781"/>
      <c r="AO676" s="781"/>
      <c r="AP676" s="781"/>
      <c r="AQ676" s="781"/>
      <c r="AR676" s="781"/>
      <c r="AS676" s="781"/>
      <c r="AT676" s="781"/>
      <c r="AU676" s="781"/>
    </row>
    <row r="677" ht="15.75" customHeight="1">
      <c r="A677" s="795">
        <v>44510.0</v>
      </c>
      <c r="B677" s="796" t="s">
        <v>3091</v>
      </c>
      <c r="C677" s="797" t="s">
        <v>2547</v>
      </c>
      <c r="D677" s="772" t="s">
        <v>6346</v>
      </c>
      <c r="E677" s="798">
        <v>10000.0</v>
      </c>
      <c r="F677" s="772" t="s">
        <v>3090</v>
      </c>
      <c r="G677" s="782" t="s">
        <v>18</v>
      </c>
      <c r="H677" s="782" t="s">
        <v>176</v>
      </c>
      <c r="I677" s="782" t="s">
        <v>177</v>
      </c>
      <c r="J677" s="782">
        <v>44295.0</v>
      </c>
      <c r="K677" s="785" t="s">
        <v>3834</v>
      </c>
      <c r="L677" s="781"/>
      <c r="M677" s="781"/>
      <c r="N677" s="781"/>
      <c r="O677" s="781"/>
      <c r="P677" s="781"/>
      <c r="Q677" s="781"/>
      <c r="R677" s="781"/>
      <c r="S677" s="781"/>
      <c r="T677" s="781"/>
      <c r="U677" s="781"/>
      <c r="V677" s="781"/>
      <c r="W677" s="781"/>
      <c r="X677" s="781"/>
      <c r="Y677" s="781"/>
      <c r="Z677" s="781"/>
      <c r="AA677" s="781"/>
      <c r="AB677" s="781"/>
      <c r="AC677" s="781"/>
      <c r="AD677" s="781"/>
      <c r="AE677" s="781"/>
      <c r="AF677" s="781"/>
      <c r="AG677" s="781"/>
      <c r="AH677" s="781"/>
      <c r="AI677" s="781"/>
      <c r="AJ677" s="781"/>
      <c r="AK677" s="781"/>
      <c r="AL677" s="781"/>
      <c r="AM677" s="781"/>
      <c r="AN677" s="781"/>
      <c r="AO677" s="781"/>
      <c r="AP677" s="781"/>
      <c r="AQ677" s="781"/>
      <c r="AR677" s="781"/>
      <c r="AS677" s="781"/>
      <c r="AT677" s="781"/>
      <c r="AU677" s="781"/>
    </row>
    <row r="678" ht="15.75" customHeight="1">
      <c r="A678" s="795">
        <v>44511.0</v>
      </c>
      <c r="B678" s="796" t="s">
        <v>3274</v>
      </c>
      <c r="C678" s="797" t="s">
        <v>2547</v>
      </c>
      <c r="D678" s="772" t="s">
        <v>1481</v>
      </c>
      <c r="E678" s="837">
        <v>52575.43</v>
      </c>
      <c r="F678" s="772" t="s">
        <v>1714</v>
      </c>
      <c r="G678" s="782" t="s">
        <v>18</v>
      </c>
      <c r="H678" s="782" t="s">
        <v>176</v>
      </c>
      <c r="I678" s="782" t="s">
        <v>177</v>
      </c>
      <c r="J678" s="782">
        <v>44322.0</v>
      </c>
      <c r="K678" s="785" t="s">
        <v>3828</v>
      </c>
      <c r="L678" s="781"/>
      <c r="M678" s="781"/>
      <c r="N678" s="781"/>
      <c r="O678" s="781"/>
      <c r="P678" s="781"/>
      <c r="Q678" s="781"/>
      <c r="R678" s="781"/>
      <c r="S678" s="781"/>
      <c r="T678" s="781"/>
      <c r="U678" s="781"/>
      <c r="V678" s="781"/>
      <c r="W678" s="781"/>
      <c r="X678" s="781"/>
      <c r="Y678" s="781"/>
      <c r="Z678" s="781"/>
      <c r="AA678" s="781"/>
      <c r="AB678" s="781"/>
      <c r="AC678" s="781"/>
      <c r="AD678" s="781"/>
      <c r="AE678" s="781"/>
      <c r="AF678" s="781"/>
      <c r="AG678" s="781"/>
      <c r="AH678" s="781"/>
      <c r="AI678" s="781"/>
      <c r="AJ678" s="781"/>
      <c r="AK678" s="781"/>
      <c r="AL678" s="781"/>
      <c r="AM678" s="781"/>
      <c r="AN678" s="781"/>
      <c r="AO678" s="781"/>
      <c r="AP678" s="781"/>
      <c r="AQ678" s="781"/>
      <c r="AR678" s="781"/>
      <c r="AS678" s="781"/>
      <c r="AT678" s="781"/>
      <c r="AU678" s="781"/>
    </row>
    <row r="679" ht="15.75" customHeight="1">
      <c r="A679" s="795">
        <v>44511.0</v>
      </c>
      <c r="B679" s="796" t="s">
        <v>2699</v>
      </c>
      <c r="C679" s="797" t="s">
        <v>2547</v>
      </c>
      <c r="D679" s="772" t="s">
        <v>6346</v>
      </c>
      <c r="E679" s="799">
        <v>6843.64</v>
      </c>
      <c r="F679" s="772" t="s">
        <v>403</v>
      </c>
      <c r="G679" s="782" t="s">
        <v>18</v>
      </c>
      <c r="H679" s="782" t="s">
        <v>176</v>
      </c>
      <c r="I679" s="782" t="s">
        <v>177</v>
      </c>
      <c r="J679" s="782">
        <v>44421.0</v>
      </c>
      <c r="K679" s="785" t="s">
        <v>3828</v>
      </c>
      <c r="L679" s="781"/>
      <c r="M679" s="781"/>
      <c r="N679" s="781"/>
      <c r="O679" s="781"/>
      <c r="P679" s="781"/>
      <c r="Q679" s="781"/>
      <c r="R679" s="781"/>
      <c r="S679" s="781"/>
      <c r="T679" s="781"/>
      <c r="U679" s="781"/>
      <c r="V679" s="781"/>
      <c r="W679" s="781"/>
      <c r="X679" s="781"/>
      <c r="Y679" s="781"/>
      <c r="Z679" s="781"/>
      <c r="AA679" s="781"/>
      <c r="AB679" s="781"/>
      <c r="AC679" s="781"/>
      <c r="AD679" s="781"/>
      <c r="AE679" s="781"/>
      <c r="AF679" s="781"/>
      <c r="AG679" s="781"/>
      <c r="AH679" s="781"/>
      <c r="AI679" s="781"/>
      <c r="AJ679" s="781"/>
      <c r="AK679" s="781"/>
      <c r="AL679" s="781"/>
      <c r="AM679" s="781"/>
      <c r="AN679" s="781"/>
      <c r="AO679" s="781"/>
      <c r="AP679" s="781"/>
      <c r="AQ679" s="781"/>
      <c r="AR679" s="781"/>
      <c r="AS679" s="781"/>
      <c r="AT679" s="781"/>
      <c r="AU679" s="781"/>
    </row>
    <row r="680" ht="15.75" customHeight="1">
      <c r="A680" s="795">
        <v>44512.0</v>
      </c>
      <c r="B680" s="832" t="s">
        <v>6474</v>
      </c>
      <c r="C680" s="797" t="s">
        <v>3820</v>
      </c>
      <c r="D680" s="772" t="s">
        <v>6345</v>
      </c>
      <c r="E680" s="798">
        <v>124370.77</v>
      </c>
      <c r="F680" s="772" t="s">
        <v>5405</v>
      </c>
      <c r="G680" s="772" t="s">
        <v>105</v>
      </c>
      <c r="H680" s="772" t="s">
        <v>29</v>
      </c>
      <c r="I680" s="772" t="s">
        <v>5406</v>
      </c>
      <c r="J680" s="782">
        <v>44209.0</v>
      </c>
      <c r="K680" s="789" t="s">
        <v>3869</v>
      </c>
      <c r="L680" s="781"/>
      <c r="M680" s="781"/>
      <c r="N680" s="781"/>
      <c r="O680" s="781"/>
      <c r="P680" s="781"/>
      <c r="Q680" s="781"/>
      <c r="R680" s="781"/>
      <c r="S680" s="781"/>
      <c r="T680" s="781"/>
      <c r="U680" s="781"/>
      <c r="V680" s="781"/>
      <c r="W680" s="781"/>
      <c r="X680" s="781"/>
      <c r="Y680" s="781"/>
      <c r="Z680" s="781"/>
      <c r="AA680" s="781"/>
      <c r="AB680" s="781"/>
      <c r="AC680" s="781"/>
      <c r="AD680" s="781"/>
      <c r="AE680" s="781"/>
      <c r="AF680" s="781"/>
      <c r="AG680" s="781"/>
      <c r="AH680" s="781"/>
      <c r="AI680" s="781"/>
      <c r="AJ680" s="781"/>
      <c r="AK680" s="781"/>
      <c r="AL680" s="781"/>
      <c r="AM680" s="781"/>
      <c r="AN680" s="781"/>
      <c r="AO680" s="781"/>
      <c r="AP680" s="781"/>
      <c r="AQ680" s="781"/>
      <c r="AR680" s="781"/>
      <c r="AS680" s="781"/>
      <c r="AT680" s="781"/>
      <c r="AU680" s="781"/>
    </row>
    <row r="681" ht="15.75" customHeight="1">
      <c r="A681" s="795">
        <v>44512.0</v>
      </c>
      <c r="B681" s="796" t="s">
        <v>3216</v>
      </c>
      <c r="C681" s="797" t="s">
        <v>2547</v>
      </c>
      <c r="D681" s="772" t="s">
        <v>6346</v>
      </c>
      <c r="E681" s="798">
        <v>3000.0</v>
      </c>
      <c r="F681" s="772" t="s">
        <v>3215</v>
      </c>
      <c r="G681" s="782" t="s">
        <v>18</v>
      </c>
      <c r="H681" s="782" t="s">
        <v>176</v>
      </c>
      <c r="I681" s="782" t="s">
        <v>197</v>
      </c>
      <c r="J681" s="782">
        <v>44322.0</v>
      </c>
      <c r="K681" s="785" t="s">
        <v>3828</v>
      </c>
      <c r="L681" s="781"/>
      <c r="M681" s="781"/>
      <c r="N681" s="781"/>
      <c r="O681" s="781"/>
      <c r="P681" s="781"/>
      <c r="Q681" s="781"/>
      <c r="R681" s="781"/>
      <c r="S681" s="781"/>
      <c r="T681" s="781"/>
      <c r="U681" s="781"/>
      <c r="V681" s="781"/>
      <c r="W681" s="781"/>
      <c r="X681" s="781"/>
      <c r="Y681" s="781"/>
      <c r="Z681" s="781"/>
      <c r="AA681" s="781"/>
      <c r="AB681" s="781"/>
      <c r="AC681" s="781"/>
      <c r="AD681" s="781"/>
      <c r="AE681" s="781"/>
      <c r="AF681" s="781"/>
      <c r="AG681" s="781"/>
      <c r="AH681" s="781"/>
      <c r="AI681" s="781"/>
      <c r="AJ681" s="781"/>
      <c r="AK681" s="781"/>
      <c r="AL681" s="781"/>
      <c r="AM681" s="781"/>
      <c r="AN681" s="781"/>
      <c r="AO681" s="781"/>
      <c r="AP681" s="781"/>
      <c r="AQ681" s="781"/>
      <c r="AR681" s="781"/>
      <c r="AS681" s="781"/>
      <c r="AT681" s="781"/>
      <c r="AU681" s="781"/>
    </row>
    <row r="682" ht="15.75" customHeight="1">
      <c r="A682" s="795">
        <v>44512.0</v>
      </c>
      <c r="B682" s="838" t="s">
        <v>3499</v>
      </c>
      <c r="C682" s="797" t="s">
        <v>2547</v>
      </c>
      <c r="D682" s="772" t="s">
        <v>6345</v>
      </c>
      <c r="E682" s="798">
        <v>0.0</v>
      </c>
      <c r="F682" s="772" t="s">
        <v>3498</v>
      </c>
      <c r="G682" s="782" t="s">
        <v>18</v>
      </c>
      <c r="H682" s="782" t="s">
        <v>176</v>
      </c>
      <c r="I682" s="782" t="s">
        <v>177</v>
      </c>
      <c r="J682" s="782">
        <v>44411.0</v>
      </c>
      <c r="K682" s="785" t="s">
        <v>3828</v>
      </c>
      <c r="L682" s="781"/>
      <c r="M682" s="781"/>
      <c r="N682" s="781"/>
      <c r="O682" s="781"/>
      <c r="P682" s="781"/>
      <c r="Q682" s="781"/>
      <c r="R682" s="781"/>
      <c r="S682" s="781"/>
      <c r="T682" s="781"/>
      <c r="U682" s="781"/>
      <c r="V682" s="781"/>
      <c r="W682" s="781"/>
      <c r="X682" s="781"/>
      <c r="Y682" s="781"/>
      <c r="Z682" s="781"/>
      <c r="AA682" s="781"/>
      <c r="AB682" s="781"/>
      <c r="AC682" s="781"/>
      <c r="AD682" s="781"/>
      <c r="AE682" s="781"/>
      <c r="AF682" s="781"/>
      <c r="AG682" s="781"/>
      <c r="AH682" s="781"/>
      <c r="AI682" s="781"/>
      <c r="AJ682" s="781"/>
      <c r="AK682" s="781"/>
      <c r="AL682" s="781"/>
      <c r="AM682" s="781"/>
      <c r="AN682" s="781"/>
      <c r="AO682" s="781"/>
      <c r="AP682" s="781"/>
      <c r="AQ682" s="781"/>
      <c r="AR682" s="781"/>
      <c r="AS682" s="781"/>
      <c r="AT682" s="781"/>
      <c r="AU682" s="781"/>
    </row>
    <row r="683" ht="15.75" customHeight="1">
      <c r="A683" s="795">
        <v>44512.0</v>
      </c>
      <c r="B683" s="838" t="s">
        <v>3274</v>
      </c>
      <c r="C683" s="797" t="s">
        <v>2547</v>
      </c>
      <c r="D683" s="772" t="s">
        <v>6345</v>
      </c>
      <c r="E683" s="837">
        <v>52575.43</v>
      </c>
      <c r="F683" s="772" t="s">
        <v>1714</v>
      </c>
      <c r="G683" s="782" t="s">
        <v>18</v>
      </c>
      <c r="H683" s="782" t="s">
        <v>176</v>
      </c>
      <c r="I683" s="782" t="s">
        <v>177</v>
      </c>
      <c r="J683" s="782">
        <v>44322.0</v>
      </c>
      <c r="K683" s="785" t="s">
        <v>3828</v>
      </c>
      <c r="L683" s="781"/>
      <c r="M683" s="781"/>
      <c r="N683" s="781"/>
      <c r="O683" s="781"/>
      <c r="P683" s="781"/>
      <c r="Q683" s="781"/>
      <c r="R683" s="781"/>
      <c r="S683" s="781"/>
      <c r="T683" s="781"/>
      <c r="U683" s="781"/>
      <c r="V683" s="781"/>
      <c r="W683" s="781"/>
      <c r="X683" s="781"/>
      <c r="Y683" s="781"/>
      <c r="Z683" s="781"/>
      <c r="AA683" s="781"/>
      <c r="AB683" s="781"/>
      <c r="AC683" s="781"/>
      <c r="AD683" s="781"/>
      <c r="AE683" s="781"/>
      <c r="AF683" s="781"/>
      <c r="AG683" s="781"/>
      <c r="AH683" s="781"/>
      <c r="AI683" s="781"/>
      <c r="AJ683" s="781"/>
      <c r="AK683" s="781"/>
      <c r="AL683" s="781"/>
      <c r="AM683" s="781"/>
      <c r="AN683" s="781"/>
      <c r="AO683" s="781"/>
      <c r="AP683" s="781"/>
      <c r="AQ683" s="781"/>
      <c r="AR683" s="781"/>
      <c r="AS683" s="781"/>
      <c r="AT683" s="781"/>
      <c r="AU683" s="781"/>
    </row>
    <row r="684" ht="15.75" customHeight="1">
      <c r="A684" s="795">
        <v>44512.0</v>
      </c>
      <c r="B684" s="833" t="s">
        <v>6456</v>
      </c>
      <c r="C684" s="797" t="s">
        <v>2547</v>
      </c>
      <c r="D684" s="772" t="s">
        <v>6345</v>
      </c>
      <c r="E684" s="837">
        <v>3940.3</v>
      </c>
      <c r="F684" s="772" t="s">
        <v>2962</v>
      </c>
      <c r="G684" s="782" t="s">
        <v>18</v>
      </c>
      <c r="H684" s="782" t="s">
        <v>176</v>
      </c>
      <c r="I684" s="782" t="s">
        <v>177</v>
      </c>
      <c r="J684" s="782">
        <v>44333.0</v>
      </c>
      <c r="K684" s="785" t="s">
        <v>3828</v>
      </c>
      <c r="L684" s="781"/>
      <c r="M684" s="781"/>
      <c r="N684" s="781"/>
      <c r="O684" s="781"/>
      <c r="P684" s="781"/>
      <c r="Q684" s="781"/>
      <c r="R684" s="781"/>
      <c r="S684" s="781"/>
      <c r="T684" s="781"/>
      <c r="U684" s="781"/>
      <c r="V684" s="781"/>
      <c r="W684" s="781"/>
      <c r="X684" s="781"/>
      <c r="Y684" s="781"/>
      <c r="Z684" s="781"/>
      <c r="AA684" s="781"/>
      <c r="AB684" s="781"/>
      <c r="AC684" s="781"/>
      <c r="AD684" s="781"/>
      <c r="AE684" s="781"/>
      <c r="AF684" s="781"/>
      <c r="AG684" s="781"/>
      <c r="AH684" s="781"/>
      <c r="AI684" s="781"/>
      <c r="AJ684" s="781"/>
      <c r="AK684" s="781"/>
      <c r="AL684" s="781"/>
      <c r="AM684" s="781"/>
      <c r="AN684" s="781"/>
      <c r="AO684" s="781"/>
      <c r="AP684" s="781"/>
      <c r="AQ684" s="781"/>
      <c r="AR684" s="781"/>
      <c r="AS684" s="781"/>
      <c r="AT684" s="781"/>
      <c r="AU684" s="781"/>
    </row>
    <row r="685" ht="15.75" customHeight="1">
      <c r="A685" s="795">
        <v>44512.0</v>
      </c>
      <c r="B685" s="836" t="s">
        <v>2687</v>
      </c>
      <c r="C685" s="797" t="s">
        <v>2547</v>
      </c>
      <c r="D685" s="772" t="s">
        <v>6345</v>
      </c>
      <c r="E685" s="798">
        <v>2041.36</v>
      </c>
      <c r="F685" s="772" t="s">
        <v>2686</v>
      </c>
      <c r="G685" s="782" t="s">
        <v>18</v>
      </c>
      <c r="H685" s="782" t="s">
        <v>176</v>
      </c>
      <c r="I685" s="782" t="s">
        <v>177</v>
      </c>
      <c r="J685" s="782">
        <v>44280.0</v>
      </c>
      <c r="K685" s="785" t="s">
        <v>3840</v>
      </c>
      <c r="L685" s="781"/>
      <c r="M685" s="781"/>
      <c r="N685" s="781"/>
      <c r="O685" s="781"/>
      <c r="P685" s="781"/>
      <c r="Q685" s="781"/>
      <c r="R685" s="781"/>
      <c r="S685" s="781"/>
      <c r="T685" s="781"/>
      <c r="U685" s="781"/>
      <c r="V685" s="781"/>
      <c r="W685" s="781"/>
      <c r="X685" s="781"/>
      <c r="Y685" s="781"/>
      <c r="Z685" s="781"/>
      <c r="AA685" s="781"/>
      <c r="AB685" s="781"/>
      <c r="AC685" s="781"/>
      <c r="AD685" s="781"/>
      <c r="AE685" s="781"/>
      <c r="AF685" s="781"/>
      <c r="AG685" s="781"/>
      <c r="AH685" s="781"/>
      <c r="AI685" s="781"/>
      <c r="AJ685" s="781"/>
      <c r="AK685" s="781"/>
      <c r="AL685" s="781"/>
      <c r="AM685" s="781"/>
      <c r="AN685" s="781"/>
      <c r="AO685" s="781"/>
      <c r="AP685" s="781"/>
      <c r="AQ685" s="781"/>
      <c r="AR685" s="781"/>
      <c r="AS685" s="781"/>
      <c r="AT685" s="781"/>
      <c r="AU685" s="781"/>
    </row>
    <row r="686" ht="15.75" customHeight="1">
      <c r="A686" s="795">
        <v>44516.0</v>
      </c>
      <c r="B686" s="796" t="s">
        <v>3412</v>
      </c>
      <c r="C686" s="797" t="s">
        <v>2547</v>
      </c>
      <c r="D686" s="772" t="s">
        <v>6346</v>
      </c>
      <c r="E686" s="798">
        <v>54835.4</v>
      </c>
      <c r="F686" s="772" t="s">
        <v>3411</v>
      </c>
      <c r="G686" s="782" t="s">
        <v>18</v>
      </c>
      <c r="H686" s="782" t="s">
        <v>176</v>
      </c>
      <c r="I686" s="782" t="s">
        <v>197</v>
      </c>
      <c r="J686" s="782">
        <v>44279.0</v>
      </c>
      <c r="K686" s="785" t="s">
        <v>3828</v>
      </c>
      <c r="L686" s="781"/>
      <c r="M686" s="781"/>
      <c r="N686" s="781"/>
      <c r="O686" s="781"/>
      <c r="P686" s="781"/>
      <c r="Q686" s="781"/>
      <c r="R686" s="781"/>
      <c r="S686" s="781"/>
      <c r="T686" s="781"/>
      <c r="U686" s="781"/>
      <c r="V686" s="781"/>
      <c r="W686" s="781"/>
      <c r="X686" s="781"/>
      <c r="Y686" s="781"/>
      <c r="Z686" s="781"/>
      <c r="AA686" s="781"/>
      <c r="AB686" s="781"/>
      <c r="AC686" s="781"/>
      <c r="AD686" s="781"/>
      <c r="AE686" s="781"/>
      <c r="AF686" s="781"/>
      <c r="AG686" s="781"/>
      <c r="AH686" s="781"/>
      <c r="AI686" s="781"/>
      <c r="AJ686" s="781"/>
      <c r="AK686" s="781"/>
      <c r="AL686" s="781"/>
      <c r="AM686" s="781"/>
      <c r="AN686" s="781"/>
      <c r="AO686" s="781"/>
      <c r="AP686" s="781"/>
      <c r="AQ686" s="781"/>
      <c r="AR686" s="781"/>
      <c r="AS686" s="781"/>
      <c r="AT686" s="781"/>
      <c r="AU686" s="781"/>
    </row>
    <row r="687" ht="15.75" customHeight="1">
      <c r="A687" s="795">
        <v>44516.0</v>
      </c>
      <c r="B687" s="796" t="s">
        <v>2568</v>
      </c>
      <c r="C687" s="797" t="s">
        <v>2547</v>
      </c>
      <c r="D687" s="772" t="s">
        <v>6346</v>
      </c>
      <c r="E687" s="798">
        <v>100000.0</v>
      </c>
      <c r="F687" s="772" t="s">
        <v>2567</v>
      </c>
      <c r="G687" s="782" t="s">
        <v>18</v>
      </c>
      <c r="H687" s="782" t="s">
        <v>176</v>
      </c>
      <c r="I687" s="782" t="s">
        <v>197</v>
      </c>
      <c r="J687" s="782">
        <v>44321.0</v>
      </c>
      <c r="K687" s="785" t="s">
        <v>3836</v>
      </c>
      <c r="L687" s="781"/>
      <c r="M687" s="781"/>
      <c r="N687" s="781"/>
      <c r="O687" s="781"/>
      <c r="P687" s="781"/>
      <c r="Q687" s="781"/>
      <c r="R687" s="781"/>
      <c r="S687" s="781"/>
      <c r="T687" s="781"/>
      <c r="U687" s="781"/>
      <c r="V687" s="781"/>
      <c r="W687" s="781"/>
      <c r="X687" s="781"/>
      <c r="Y687" s="781"/>
      <c r="Z687" s="781"/>
      <c r="AA687" s="781"/>
      <c r="AB687" s="781"/>
      <c r="AC687" s="781"/>
      <c r="AD687" s="781"/>
      <c r="AE687" s="781"/>
      <c r="AF687" s="781"/>
      <c r="AG687" s="781"/>
      <c r="AH687" s="781"/>
      <c r="AI687" s="781"/>
      <c r="AJ687" s="781"/>
      <c r="AK687" s="781"/>
      <c r="AL687" s="781"/>
      <c r="AM687" s="781"/>
      <c r="AN687" s="781"/>
      <c r="AO687" s="781"/>
      <c r="AP687" s="781"/>
      <c r="AQ687" s="781"/>
      <c r="AR687" s="781"/>
      <c r="AS687" s="781"/>
      <c r="AT687" s="781"/>
      <c r="AU687" s="781"/>
    </row>
    <row r="688" ht="15.75" customHeight="1">
      <c r="A688" s="795">
        <v>44516.0</v>
      </c>
      <c r="B688" s="830" t="s">
        <v>6475</v>
      </c>
      <c r="C688" s="797" t="s">
        <v>3820</v>
      </c>
      <c r="D688" s="772" t="s">
        <v>6345</v>
      </c>
      <c r="E688" s="798">
        <v>290532.13</v>
      </c>
      <c r="F688" s="772" t="s">
        <v>5153</v>
      </c>
      <c r="G688" s="772" t="s">
        <v>18</v>
      </c>
      <c r="H688" s="772" t="s">
        <v>19</v>
      </c>
      <c r="I688" s="772" t="s">
        <v>256</v>
      </c>
      <c r="J688" s="782">
        <v>44259.0</v>
      </c>
      <c r="K688" s="789" t="s">
        <v>3840</v>
      </c>
      <c r="L688" s="781"/>
      <c r="M688" s="781"/>
      <c r="N688" s="781"/>
      <c r="O688" s="781"/>
      <c r="P688" s="781"/>
      <c r="Q688" s="781"/>
      <c r="R688" s="781"/>
      <c r="S688" s="781"/>
      <c r="T688" s="781"/>
      <c r="U688" s="781"/>
      <c r="V688" s="781"/>
      <c r="W688" s="781"/>
      <c r="X688" s="781"/>
      <c r="Y688" s="781"/>
      <c r="Z688" s="781"/>
      <c r="AA688" s="781"/>
      <c r="AB688" s="781"/>
      <c r="AC688" s="781"/>
      <c r="AD688" s="781"/>
      <c r="AE688" s="781"/>
      <c r="AF688" s="781"/>
      <c r="AG688" s="781"/>
      <c r="AH688" s="781"/>
      <c r="AI688" s="781"/>
      <c r="AJ688" s="781"/>
      <c r="AK688" s="781"/>
      <c r="AL688" s="781"/>
      <c r="AM688" s="781"/>
      <c r="AN688" s="781"/>
      <c r="AO688" s="781"/>
      <c r="AP688" s="781"/>
      <c r="AQ688" s="781"/>
      <c r="AR688" s="781"/>
      <c r="AS688" s="781"/>
      <c r="AT688" s="781"/>
      <c r="AU688" s="781"/>
    </row>
    <row r="689" ht="15.75" customHeight="1">
      <c r="A689" s="795">
        <v>44516.0</v>
      </c>
      <c r="B689" s="800" t="s">
        <v>6368</v>
      </c>
      <c r="C689" s="797" t="s">
        <v>3820</v>
      </c>
      <c r="D689" s="772" t="s">
        <v>6346</v>
      </c>
      <c r="E689" s="798">
        <v>5000.0</v>
      </c>
      <c r="F689" s="772" t="s">
        <v>4388</v>
      </c>
      <c r="G689" s="772" t="s">
        <v>105</v>
      </c>
      <c r="H689" s="772" t="s">
        <v>29</v>
      </c>
      <c r="I689" s="772" t="s">
        <v>3887</v>
      </c>
      <c r="J689" s="782">
        <v>44263.0</v>
      </c>
      <c r="K689" s="789" t="s">
        <v>3824</v>
      </c>
      <c r="L689" s="781"/>
      <c r="M689" s="781"/>
      <c r="N689" s="781"/>
      <c r="O689" s="781"/>
      <c r="P689" s="781"/>
      <c r="Q689" s="781"/>
      <c r="R689" s="781"/>
      <c r="S689" s="781"/>
      <c r="T689" s="781"/>
      <c r="U689" s="781"/>
      <c r="V689" s="781"/>
      <c r="W689" s="781"/>
      <c r="X689" s="781"/>
      <c r="Y689" s="781"/>
      <c r="Z689" s="781"/>
      <c r="AA689" s="781"/>
      <c r="AB689" s="781"/>
      <c r="AC689" s="781"/>
      <c r="AD689" s="781"/>
      <c r="AE689" s="781"/>
      <c r="AF689" s="781"/>
      <c r="AG689" s="781"/>
      <c r="AH689" s="781"/>
      <c r="AI689" s="781"/>
      <c r="AJ689" s="781"/>
      <c r="AK689" s="781"/>
      <c r="AL689" s="781"/>
      <c r="AM689" s="781"/>
      <c r="AN689" s="781"/>
      <c r="AO689" s="781"/>
      <c r="AP689" s="781"/>
      <c r="AQ689" s="781"/>
      <c r="AR689" s="781"/>
      <c r="AS689" s="781"/>
      <c r="AT689" s="781"/>
      <c r="AU689" s="781"/>
    </row>
    <row r="690" ht="15.75" customHeight="1">
      <c r="A690" s="795">
        <v>44516.0</v>
      </c>
      <c r="B690" s="833" t="s">
        <v>6476</v>
      </c>
      <c r="C690" s="797" t="s">
        <v>3820</v>
      </c>
      <c r="D690" s="772" t="s">
        <v>6345</v>
      </c>
      <c r="E690" s="798">
        <v>93114.82</v>
      </c>
      <c r="F690" s="772" t="s">
        <v>4377</v>
      </c>
      <c r="G690" s="772" t="s">
        <v>105</v>
      </c>
      <c r="H690" s="772" t="s">
        <v>29</v>
      </c>
      <c r="I690" s="772" t="s">
        <v>4378</v>
      </c>
      <c r="J690" s="782">
        <v>44407.0</v>
      </c>
      <c r="K690" s="785"/>
      <c r="L690" s="781"/>
      <c r="M690" s="781"/>
      <c r="N690" s="781"/>
      <c r="O690" s="781"/>
      <c r="P690" s="781"/>
      <c r="Q690" s="781"/>
      <c r="R690" s="781"/>
      <c r="S690" s="781"/>
      <c r="T690" s="781"/>
      <c r="U690" s="781"/>
      <c r="V690" s="781"/>
      <c r="W690" s="781"/>
      <c r="X690" s="781"/>
      <c r="Y690" s="781"/>
      <c r="Z690" s="781"/>
      <c r="AA690" s="781"/>
      <c r="AB690" s="781"/>
      <c r="AC690" s="781"/>
      <c r="AD690" s="781"/>
      <c r="AE690" s="781"/>
      <c r="AF690" s="781"/>
      <c r="AG690" s="781"/>
      <c r="AH690" s="781"/>
      <c r="AI690" s="781"/>
      <c r="AJ690" s="781"/>
      <c r="AK690" s="781"/>
      <c r="AL690" s="781"/>
      <c r="AM690" s="781"/>
      <c r="AN690" s="781"/>
      <c r="AO690" s="781"/>
      <c r="AP690" s="781"/>
      <c r="AQ690" s="781"/>
      <c r="AR690" s="781"/>
      <c r="AS690" s="781"/>
      <c r="AT690" s="781"/>
      <c r="AU690" s="781"/>
    </row>
    <row r="691" ht="15.75" customHeight="1">
      <c r="A691" s="795">
        <v>44516.0</v>
      </c>
      <c r="B691" s="796" t="s">
        <v>6477</v>
      </c>
      <c r="C691" s="797" t="s">
        <v>3820</v>
      </c>
      <c r="D691" s="772" t="s">
        <v>6346</v>
      </c>
      <c r="E691" s="798">
        <v>48809.84</v>
      </c>
      <c r="F691" s="772" t="s">
        <v>5243</v>
      </c>
      <c r="G691" s="772" t="s">
        <v>18</v>
      </c>
      <c r="H691" s="772" t="s">
        <v>19</v>
      </c>
      <c r="I691" s="772" t="s">
        <v>5266</v>
      </c>
      <c r="J691" s="782">
        <v>44340.0</v>
      </c>
      <c r="K691" s="789" t="s">
        <v>3840</v>
      </c>
      <c r="L691" s="781"/>
      <c r="M691" s="781"/>
      <c r="N691" s="781"/>
      <c r="O691" s="781"/>
      <c r="P691" s="781"/>
      <c r="Q691" s="781"/>
      <c r="R691" s="781"/>
      <c r="S691" s="781"/>
      <c r="T691" s="781"/>
      <c r="U691" s="781"/>
      <c r="V691" s="781"/>
      <c r="W691" s="781"/>
      <c r="X691" s="781"/>
      <c r="Y691" s="781"/>
      <c r="Z691" s="781"/>
      <c r="AA691" s="781"/>
      <c r="AB691" s="781"/>
      <c r="AC691" s="781"/>
      <c r="AD691" s="781"/>
      <c r="AE691" s="781"/>
      <c r="AF691" s="781"/>
      <c r="AG691" s="781"/>
      <c r="AH691" s="781"/>
      <c r="AI691" s="781"/>
      <c r="AJ691" s="781"/>
      <c r="AK691" s="781"/>
      <c r="AL691" s="781"/>
      <c r="AM691" s="781"/>
      <c r="AN691" s="781"/>
      <c r="AO691" s="781"/>
      <c r="AP691" s="781"/>
      <c r="AQ691" s="781"/>
      <c r="AR691" s="781"/>
      <c r="AS691" s="781"/>
      <c r="AT691" s="781"/>
      <c r="AU691" s="781"/>
    </row>
    <row r="692" ht="15.75" customHeight="1">
      <c r="A692" s="795">
        <v>44517.0</v>
      </c>
      <c r="B692" s="839" t="s">
        <v>6478</v>
      </c>
      <c r="C692" s="797" t="s">
        <v>3820</v>
      </c>
      <c r="D692" s="772" t="s">
        <v>6346</v>
      </c>
      <c r="E692" s="798">
        <v>10000.0</v>
      </c>
      <c r="F692" s="772" t="s">
        <v>4226</v>
      </c>
      <c r="G692" s="772" t="s">
        <v>18</v>
      </c>
      <c r="H692" s="772" t="s">
        <v>29</v>
      </c>
      <c r="I692" s="772" t="s">
        <v>2803</v>
      </c>
      <c r="J692" s="782">
        <v>44399.0</v>
      </c>
      <c r="K692" s="789" t="s">
        <v>3828</v>
      </c>
      <c r="L692" s="781"/>
      <c r="M692" s="781"/>
      <c r="N692" s="781"/>
      <c r="O692" s="781"/>
      <c r="P692" s="781"/>
      <c r="Q692" s="781"/>
      <c r="R692" s="781"/>
      <c r="S692" s="781"/>
      <c r="T692" s="781"/>
      <c r="U692" s="781"/>
      <c r="V692" s="781"/>
      <c r="W692" s="781"/>
      <c r="X692" s="781"/>
      <c r="Y692" s="781"/>
      <c r="Z692" s="781"/>
      <c r="AA692" s="781"/>
      <c r="AB692" s="781"/>
      <c r="AC692" s="781"/>
      <c r="AD692" s="781"/>
      <c r="AE692" s="781"/>
      <c r="AF692" s="781"/>
      <c r="AG692" s="781"/>
      <c r="AH692" s="781"/>
      <c r="AI692" s="781"/>
      <c r="AJ692" s="781"/>
      <c r="AK692" s="781"/>
      <c r="AL692" s="781"/>
      <c r="AM692" s="781"/>
      <c r="AN692" s="781"/>
      <c r="AO692" s="781"/>
      <c r="AP692" s="781"/>
      <c r="AQ692" s="781"/>
      <c r="AR692" s="781"/>
      <c r="AS692" s="781"/>
      <c r="AT692" s="781"/>
      <c r="AU692" s="781"/>
    </row>
    <row r="693" ht="15.75" customHeight="1">
      <c r="A693" s="795">
        <v>44517.0</v>
      </c>
      <c r="B693" s="836" t="s">
        <v>2995</v>
      </c>
      <c r="C693" s="797" t="s">
        <v>2547</v>
      </c>
      <c r="D693" s="772" t="s">
        <v>6345</v>
      </c>
      <c r="E693" s="798">
        <v>370651.89</v>
      </c>
      <c r="F693" s="772" t="s">
        <v>2994</v>
      </c>
      <c r="G693" s="782" t="s">
        <v>2550</v>
      </c>
      <c r="H693" s="782" t="s">
        <v>29</v>
      </c>
      <c r="I693" s="782" t="s">
        <v>2562</v>
      </c>
      <c r="J693" s="782">
        <v>43752.0</v>
      </c>
      <c r="K693" s="785" t="s">
        <v>3828</v>
      </c>
      <c r="L693" s="781"/>
      <c r="M693" s="781"/>
      <c r="N693" s="781"/>
      <c r="O693" s="781"/>
      <c r="P693" s="781"/>
      <c r="Q693" s="781"/>
      <c r="R693" s="781"/>
      <c r="S693" s="781"/>
      <c r="T693" s="781"/>
      <c r="U693" s="781"/>
      <c r="V693" s="781"/>
      <c r="W693" s="781"/>
      <c r="X693" s="781"/>
      <c r="Y693" s="781"/>
      <c r="Z693" s="781"/>
      <c r="AA693" s="781"/>
      <c r="AB693" s="781"/>
      <c r="AC693" s="781"/>
      <c r="AD693" s="781"/>
      <c r="AE693" s="781"/>
      <c r="AF693" s="781"/>
      <c r="AG693" s="781"/>
      <c r="AH693" s="781"/>
      <c r="AI693" s="781"/>
      <c r="AJ693" s="781"/>
      <c r="AK693" s="781"/>
      <c r="AL693" s="781"/>
      <c r="AM693" s="781"/>
      <c r="AN693" s="781"/>
      <c r="AO693" s="781"/>
      <c r="AP693" s="781"/>
      <c r="AQ693" s="781"/>
      <c r="AR693" s="781"/>
      <c r="AS693" s="781"/>
      <c r="AT693" s="781"/>
      <c r="AU693" s="781"/>
    </row>
    <row r="694" ht="15.75" customHeight="1">
      <c r="A694" s="795">
        <v>44517.0</v>
      </c>
      <c r="B694" s="796" t="s">
        <v>3441</v>
      </c>
      <c r="C694" s="797" t="s">
        <v>2547</v>
      </c>
      <c r="D694" s="772" t="s">
        <v>6346</v>
      </c>
      <c r="E694" s="798">
        <v>10000.0</v>
      </c>
      <c r="F694" s="772" t="s">
        <v>3440</v>
      </c>
      <c r="G694" s="782" t="s">
        <v>18</v>
      </c>
      <c r="H694" s="782" t="s">
        <v>176</v>
      </c>
      <c r="I694" s="782" t="s">
        <v>197</v>
      </c>
      <c r="J694" s="782">
        <v>44319.0</v>
      </c>
      <c r="K694" s="785" t="s">
        <v>3828</v>
      </c>
      <c r="L694" s="781"/>
      <c r="M694" s="781"/>
      <c r="N694" s="781"/>
      <c r="O694" s="781"/>
      <c r="P694" s="781"/>
      <c r="Q694" s="781"/>
      <c r="R694" s="781"/>
      <c r="S694" s="781"/>
      <c r="T694" s="781"/>
      <c r="U694" s="781"/>
      <c r="V694" s="781"/>
      <c r="W694" s="781"/>
      <c r="X694" s="781"/>
      <c r="Y694" s="781"/>
      <c r="Z694" s="781"/>
      <c r="AA694" s="781"/>
      <c r="AB694" s="781"/>
      <c r="AC694" s="781"/>
      <c r="AD694" s="781"/>
      <c r="AE694" s="781"/>
      <c r="AF694" s="781"/>
      <c r="AG694" s="781"/>
      <c r="AH694" s="781"/>
      <c r="AI694" s="781"/>
      <c r="AJ694" s="781"/>
      <c r="AK694" s="781"/>
      <c r="AL694" s="781"/>
      <c r="AM694" s="781"/>
      <c r="AN694" s="781"/>
      <c r="AO694" s="781"/>
      <c r="AP694" s="781"/>
      <c r="AQ694" s="781"/>
      <c r="AR694" s="781"/>
      <c r="AS694" s="781"/>
      <c r="AT694" s="781"/>
      <c r="AU694" s="781"/>
    </row>
    <row r="695" ht="15.75" customHeight="1">
      <c r="A695" s="795">
        <v>44518.0</v>
      </c>
      <c r="B695" s="796" t="s">
        <v>6479</v>
      </c>
      <c r="C695" s="797" t="s">
        <v>3820</v>
      </c>
      <c r="D695" s="772" t="s">
        <v>6346</v>
      </c>
      <c r="E695" s="798">
        <v>25000.0</v>
      </c>
      <c r="F695" s="772" t="s">
        <v>6480</v>
      </c>
      <c r="G695" s="761" t="s">
        <v>2550</v>
      </c>
      <c r="H695" s="840" t="s">
        <v>29</v>
      </c>
      <c r="I695" s="840" t="s">
        <v>2550</v>
      </c>
      <c r="J695" s="841">
        <v>44452.0</v>
      </c>
      <c r="K695" s="789" t="s">
        <v>3828</v>
      </c>
      <c r="L695" s="781"/>
      <c r="M695" s="781"/>
      <c r="N695" s="781"/>
      <c r="O695" s="781"/>
      <c r="P695" s="781"/>
      <c r="Q695" s="781"/>
      <c r="R695" s="781"/>
      <c r="S695" s="781"/>
      <c r="T695" s="781"/>
      <c r="U695" s="781"/>
      <c r="V695" s="781"/>
      <c r="W695" s="781"/>
      <c r="X695" s="781"/>
      <c r="Y695" s="781"/>
      <c r="Z695" s="781"/>
      <c r="AA695" s="781"/>
      <c r="AB695" s="781"/>
      <c r="AC695" s="781"/>
      <c r="AD695" s="781"/>
      <c r="AE695" s="781"/>
      <c r="AF695" s="781"/>
      <c r="AG695" s="781"/>
      <c r="AH695" s="781"/>
      <c r="AI695" s="781"/>
      <c r="AJ695" s="781"/>
      <c r="AK695" s="781"/>
      <c r="AL695" s="781"/>
      <c r="AM695" s="781"/>
      <c r="AN695" s="781"/>
      <c r="AO695" s="781"/>
      <c r="AP695" s="781"/>
      <c r="AQ695" s="781"/>
      <c r="AR695" s="781"/>
      <c r="AS695" s="781"/>
      <c r="AT695" s="781"/>
      <c r="AU695" s="781"/>
    </row>
    <row r="696" ht="15.75" customHeight="1">
      <c r="A696" s="795">
        <v>44518.0</v>
      </c>
      <c r="B696" s="796" t="s">
        <v>2737</v>
      </c>
      <c r="C696" s="797" t="s">
        <v>2547</v>
      </c>
      <c r="D696" s="772" t="s">
        <v>1481</v>
      </c>
      <c r="E696" s="798">
        <v>282315.92</v>
      </c>
      <c r="F696" s="772" t="s">
        <v>2736</v>
      </c>
      <c r="G696" s="782" t="s">
        <v>2550</v>
      </c>
      <c r="H696" s="782" t="s">
        <v>29</v>
      </c>
      <c r="I696" s="782" t="s">
        <v>2551</v>
      </c>
      <c r="J696" s="782">
        <v>43707.0</v>
      </c>
      <c r="K696" s="785" t="s">
        <v>3840</v>
      </c>
      <c r="L696" s="781"/>
      <c r="M696" s="781"/>
      <c r="N696" s="781"/>
      <c r="O696" s="781"/>
      <c r="P696" s="781"/>
      <c r="Q696" s="781"/>
      <c r="R696" s="781"/>
      <c r="S696" s="781"/>
      <c r="T696" s="781"/>
      <c r="U696" s="781"/>
      <c r="V696" s="781"/>
      <c r="W696" s="781"/>
      <c r="X696" s="781"/>
      <c r="Y696" s="781"/>
      <c r="Z696" s="781"/>
      <c r="AA696" s="781"/>
      <c r="AB696" s="781"/>
      <c r="AC696" s="781"/>
      <c r="AD696" s="781"/>
      <c r="AE696" s="781"/>
      <c r="AF696" s="781"/>
      <c r="AG696" s="781"/>
      <c r="AH696" s="781"/>
      <c r="AI696" s="781"/>
      <c r="AJ696" s="781"/>
      <c r="AK696" s="781"/>
      <c r="AL696" s="781"/>
      <c r="AM696" s="781"/>
      <c r="AN696" s="781"/>
      <c r="AO696" s="781"/>
      <c r="AP696" s="781"/>
      <c r="AQ696" s="781"/>
      <c r="AR696" s="781"/>
      <c r="AS696" s="781"/>
      <c r="AT696" s="781"/>
      <c r="AU696" s="781"/>
    </row>
    <row r="697" ht="15.75" customHeight="1">
      <c r="A697" s="795">
        <v>44518.0</v>
      </c>
      <c r="B697" s="842" t="s">
        <v>2710</v>
      </c>
      <c r="C697" s="797" t="s">
        <v>2547</v>
      </c>
      <c r="D697" s="772" t="s">
        <v>1481</v>
      </c>
      <c r="E697" s="798">
        <v>33813.28</v>
      </c>
      <c r="F697" s="772" t="s">
        <v>2709</v>
      </c>
      <c r="G697" s="782" t="s">
        <v>2550</v>
      </c>
      <c r="H697" s="782" t="s">
        <v>29</v>
      </c>
      <c r="I697" s="782" t="s">
        <v>2551</v>
      </c>
      <c r="J697" s="782">
        <v>43769.0</v>
      </c>
      <c r="K697" s="785" t="s">
        <v>3836</v>
      </c>
      <c r="L697" s="781"/>
      <c r="M697" s="781"/>
      <c r="N697" s="781"/>
      <c r="O697" s="781"/>
      <c r="P697" s="781"/>
      <c r="Q697" s="781"/>
      <c r="R697" s="781"/>
      <c r="S697" s="781"/>
      <c r="T697" s="781"/>
      <c r="U697" s="781"/>
      <c r="V697" s="781"/>
      <c r="W697" s="781"/>
      <c r="X697" s="781"/>
      <c r="Y697" s="781"/>
      <c r="Z697" s="781"/>
      <c r="AA697" s="781"/>
      <c r="AB697" s="781"/>
      <c r="AC697" s="781"/>
      <c r="AD697" s="781"/>
      <c r="AE697" s="781"/>
      <c r="AF697" s="781"/>
      <c r="AG697" s="781"/>
      <c r="AH697" s="781"/>
      <c r="AI697" s="781"/>
      <c r="AJ697" s="781"/>
      <c r="AK697" s="781"/>
      <c r="AL697" s="781"/>
      <c r="AM697" s="781"/>
      <c r="AN697" s="781"/>
      <c r="AO697" s="781"/>
      <c r="AP697" s="781"/>
      <c r="AQ697" s="781"/>
      <c r="AR697" s="781"/>
      <c r="AS697" s="781"/>
      <c r="AT697" s="781"/>
      <c r="AU697" s="781"/>
    </row>
    <row r="698" ht="15.75" customHeight="1">
      <c r="A698" s="795">
        <v>44518.0</v>
      </c>
      <c r="B698" s="796" t="s">
        <v>2584</v>
      </c>
      <c r="C698" s="797" t="s">
        <v>2547</v>
      </c>
      <c r="D698" s="772" t="s">
        <v>1481</v>
      </c>
      <c r="E698" s="798">
        <v>90662.42</v>
      </c>
      <c r="F698" s="772" t="s">
        <v>2583</v>
      </c>
      <c r="G698" s="782" t="s">
        <v>2550</v>
      </c>
      <c r="H698" s="782" t="s">
        <v>29</v>
      </c>
      <c r="I698" s="782" t="s">
        <v>2551</v>
      </c>
      <c r="J698" s="782">
        <v>43753.0</v>
      </c>
      <c r="K698" s="785" t="s">
        <v>3828</v>
      </c>
      <c r="L698" s="781"/>
      <c r="M698" s="781"/>
      <c r="N698" s="781"/>
      <c r="O698" s="781"/>
      <c r="P698" s="781"/>
      <c r="Q698" s="781"/>
      <c r="R698" s="781"/>
      <c r="S698" s="781"/>
      <c r="T698" s="781"/>
      <c r="U698" s="781"/>
      <c r="V698" s="781"/>
      <c r="W698" s="781"/>
      <c r="X698" s="781"/>
      <c r="Y698" s="781"/>
      <c r="Z698" s="781"/>
      <c r="AA698" s="781"/>
      <c r="AB698" s="781"/>
      <c r="AC698" s="781"/>
      <c r="AD698" s="781"/>
      <c r="AE698" s="781"/>
      <c r="AF698" s="781"/>
      <c r="AG698" s="781"/>
      <c r="AH698" s="781"/>
      <c r="AI698" s="781"/>
      <c r="AJ698" s="781"/>
      <c r="AK698" s="781"/>
      <c r="AL698" s="781"/>
      <c r="AM698" s="781"/>
      <c r="AN698" s="781"/>
      <c r="AO698" s="781"/>
      <c r="AP698" s="781"/>
      <c r="AQ698" s="781"/>
      <c r="AR698" s="781"/>
      <c r="AS698" s="781"/>
      <c r="AT698" s="781"/>
      <c r="AU698" s="781"/>
    </row>
    <row r="699" ht="15.75" customHeight="1">
      <c r="A699" s="795">
        <v>44518.0</v>
      </c>
      <c r="B699" s="783" t="s">
        <v>3041</v>
      </c>
      <c r="C699" s="797" t="s">
        <v>2547</v>
      </c>
      <c r="D699" s="772" t="s">
        <v>6346</v>
      </c>
      <c r="E699" s="798">
        <v>2000.0</v>
      </c>
      <c r="F699" s="772" t="s">
        <v>3040</v>
      </c>
      <c r="G699" s="782" t="s">
        <v>2550</v>
      </c>
      <c r="H699" s="782" t="s">
        <v>29</v>
      </c>
      <c r="I699" s="782" t="s">
        <v>2551</v>
      </c>
      <c r="J699" s="782">
        <v>43605.0</v>
      </c>
      <c r="K699" s="785" t="s">
        <v>3836</v>
      </c>
      <c r="L699" s="781"/>
      <c r="M699" s="781"/>
      <c r="N699" s="781"/>
      <c r="O699" s="781"/>
      <c r="P699" s="781"/>
      <c r="Q699" s="781"/>
      <c r="R699" s="781"/>
      <c r="S699" s="781"/>
      <c r="T699" s="781"/>
      <c r="U699" s="781"/>
      <c r="V699" s="781"/>
      <c r="W699" s="781"/>
      <c r="X699" s="781"/>
      <c r="Y699" s="781"/>
      <c r="Z699" s="781"/>
      <c r="AA699" s="781"/>
      <c r="AB699" s="781"/>
      <c r="AC699" s="781"/>
      <c r="AD699" s="781"/>
      <c r="AE699" s="781"/>
      <c r="AF699" s="781"/>
      <c r="AG699" s="781"/>
      <c r="AH699" s="781"/>
      <c r="AI699" s="781"/>
      <c r="AJ699" s="781"/>
      <c r="AK699" s="781"/>
      <c r="AL699" s="781"/>
      <c r="AM699" s="781"/>
      <c r="AN699" s="781"/>
      <c r="AO699" s="781"/>
      <c r="AP699" s="781"/>
      <c r="AQ699" s="781"/>
      <c r="AR699" s="781"/>
      <c r="AS699" s="781"/>
      <c r="AT699" s="781"/>
      <c r="AU699" s="781"/>
    </row>
    <row r="700" ht="15.75" customHeight="1">
      <c r="A700" s="795">
        <v>44518.0</v>
      </c>
      <c r="B700" s="832" t="s">
        <v>6481</v>
      </c>
      <c r="C700" s="797" t="s">
        <v>3820</v>
      </c>
      <c r="D700" s="772" t="s">
        <v>6345</v>
      </c>
      <c r="E700" s="798">
        <v>121773.16</v>
      </c>
      <c r="F700" s="772" t="s">
        <v>4417</v>
      </c>
      <c r="G700" s="772" t="s">
        <v>18</v>
      </c>
      <c r="H700" s="772" t="s">
        <v>29</v>
      </c>
      <c r="I700" s="772" t="s">
        <v>3827</v>
      </c>
      <c r="J700" s="782">
        <v>44231.0</v>
      </c>
      <c r="K700" s="789" t="s">
        <v>3836</v>
      </c>
      <c r="L700" s="781"/>
      <c r="M700" s="781"/>
      <c r="N700" s="781"/>
      <c r="O700" s="781"/>
      <c r="P700" s="781"/>
      <c r="Q700" s="781"/>
      <c r="R700" s="781"/>
      <c r="S700" s="781"/>
      <c r="T700" s="781"/>
      <c r="U700" s="781"/>
      <c r="V700" s="781"/>
      <c r="W700" s="781"/>
      <c r="X700" s="781"/>
      <c r="Y700" s="781"/>
      <c r="Z700" s="781"/>
      <c r="AA700" s="781"/>
      <c r="AB700" s="781"/>
      <c r="AC700" s="781"/>
      <c r="AD700" s="781"/>
      <c r="AE700" s="781"/>
      <c r="AF700" s="781"/>
      <c r="AG700" s="781"/>
      <c r="AH700" s="781"/>
      <c r="AI700" s="781"/>
      <c r="AJ700" s="781"/>
      <c r="AK700" s="781"/>
      <c r="AL700" s="781"/>
      <c r="AM700" s="781"/>
      <c r="AN700" s="781"/>
      <c r="AO700" s="781"/>
      <c r="AP700" s="781"/>
      <c r="AQ700" s="781"/>
      <c r="AR700" s="781"/>
      <c r="AS700" s="781"/>
      <c r="AT700" s="781"/>
      <c r="AU700" s="781"/>
    </row>
    <row r="701" ht="15.75" customHeight="1">
      <c r="A701" s="795">
        <v>44518.0</v>
      </c>
      <c r="B701" s="839" t="s">
        <v>6482</v>
      </c>
      <c r="C701" s="797" t="s">
        <v>3820</v>
      </c>
      <c r="D701" s="772" t="s">
        <v>6346</v>
      </c>
      <c r="E701" s="798">
        <v>31579.5</v>
      </c>
      <c r="F701" s="772" t="s">
        <v>4430</v>
      </c>
      <c r="G701" s="772" t="s">
        <v>18</v>
      </c>
      <c r="H701" s="772" t="s">
        <v>19</v>
      </c>
      <c r="I701" s="772" t="s">
        <v>256</v>
      </c>
      <c r="J701" s="782">
        <v>44413.0</v>
      </c>
      <c r="K701" s="789" t="s">
        <v>3840</v>
      </c>
      <c r="L701" s="781"/>
      <c r="M701" s="781"/>
      <c r="N701" s="781"/>
      <c r="O701" s="781"/>
      <c r="P701" s="781"/>
      <c r="Q701" s="781"/>
      <c r="R701" s="781"/>
      <c r="S701" s="781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81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</row>
    <row r="702" ht="15.75" customHeight="1">
      <c r="A702" s="795">
        <v>44519.0</v>
      </c>
      <c r="B702" s="827" t="s">
        <v>2666</v>
      </c>
      <c r="C702" s="797" t="s">
        <v>2547</v>
      </c>
      <c r="D702" s="772" t="s">
        <v>6346</v>
      </c>
      <c r="E702" s="798">
        <v>313886.59</v>
      </c>
      <c r="F702" s="772" t="s">
        <v>2665</v>
      </c>
      <c r="G702" s="782" t="s">
        <v>18</v>
      </c>
      <c r="H702" s="782" t="s">
        <v>176</v>
      </c>
      <c r="I702" s="782" t="s">
        <v>197</v>
      </c>
      <c r="J702" s="782">
        <v>44295.0</v>
      </c>
      <c r="K702" s="785" t="s">
        <v>3824</v>
      </c>
      <c r="L702" s="781"/>
      <c r="M702" s="781"/>
      <c r="N702" s="781"/>
      <c r="O702" s="781"/>
      <c r="P702" s="781"/>
      <c r="Q702" s="781"/>
      <c r="R702" s="781"/>
      <c r="S702" s="781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81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</row>
    <row r="703" ht="15.75" customHeight="1">
      <c r="A703" s="795">
        <v>44519.0</v>
      </c>
      <c r="B703" s="832" t="s">
        <v>6364</v>
      </c>
      <c r="C703" s="797" t="s">
        <v>3820</v>
      </c>
      <c r="D703" s="772" t="s">
        <v>6345</v>
      </c>
      <c r="E703" s="798">
        <v>251499.32</v>
      </c>
      <c r="F703" s="772" t="s">
        <v>4490</v>
      </c>
      <c r="G703" s="761" t="s">
        <v>2550</v>
      </c>
      <c r="H703" s="840" t="s">
        <v>29</v>
      </c>
      <c r="I703" s="840" t="s">
        <v>2550</v>
      </c>
      <c r="J703" s="841">
        <v>43901.0</v>
      </c>
      <c r="K703" s="789" t="s">
        <v>3824</v>
      </c>
      <c r="L703" s="781"/>
      <c r="M703" s="781"/>
      <c r="N703" s="781"/>
      <c r="O703" s="781"/>
      <c r="P703" s="781"/>
      <c r="Q703" s="781"/>
      <c r="R703" s="781"/>
      <c r="S703" s="781"/>
      <c r="T703" s="781"/>
      <c r="U703" s="781"/>
      <c r="V703" s="781"/>
      <c r="W703" s="781"/>
      <c r="X703" s="781"/>
      <c r="Y703" s="781"/>
      <c r="Z703" s="781"/>
      <c r="AA703" s="781"/>
      <c r="AB703" s="781"/>
      <c r="AC703" s="781"/>
      <c r="AD703" s="781"/>
      <c r="AE703" s="781"/>
      <c r="AF703" s="781"/>
      <c r="AG703" s="781"/>
      <c r="AH703" s="781"/>
      <c r="AI703" s="781"/>
      <c r="AJ703" s="781"/>
      <c r="AK703" s="781"/>
      <c r="AL703" s="781"/>
      <c r="AM703" s="781"/>
      <c r="AN703" s="781"/>
      <c r="AO703" s="781"/>
      <c r="AP703" s="781"/>
      <c r="AQ703" s="781"/>
      <c r="AR703" s="781"/>
      <c r="AS703" s="781"/>
      <c r="AT703" s="781"/>
      <c r="AU703" s="781"/>
    </row>
    <row r="704" ht="15.75" customHeight="1">
      <c r="A704" s="795">
        <v>44522.0</v>
      </c>
      <c r="B704" s="827" t="s">
        <v>3507</v>
      </c>
      <c r="C704" s="797" t="s">
        <v>2547</v>
      </c>
      <c r="D704" s="772" t="s">
        <v>6346</v>
      </c>
      <c r="E704" s="798">
        <v>20000.0</v>
      </c>
      <c r="F704" s="772" t="s">
        <v>3506</v>
      </c>
      <c r="G704" s="782" t="s">
        <v>18</v>
      </c>
      <c r="H704" s="782" t="s">
        <v>176</v>
      </c>
      <c r="I704" s="782" t="s">
        <v>177</v>
      </c>
      <c r="J704" s="782">
        <v>44263.0</v>
      </c>
      <c r="K704" s="785" t="s">
        <v>3836</v>
      </c>
      <c r="L704" s="781"/>
      <c r="M704" s="781"/>
      <c r="N704" s="781"/>
      <c r="O704" s="781"/>
      <c r="P704" s="781"/>
      <c r="Q704" s="781"/>
      <c r="R704" s="781"/>
      <c r="S704" s="781"/>
      <c r="T704" s="781"/>
      <c r="U704" s="781"/>
      <c r="V704" s="781"/>
      <c r="W704" s="781"/>
      <c r="X704" s="781"/>
      <c r="Y704" s="781"/>
      <c r="Z704" s="781"/>
      <c r="AA704" s="781"/>
      <c r="AB704" s="781"/>
      <c r="AC704" s="781"/>
      <c r="AD704" s="781"/>
      <c r="AE704" s="781"/>
      <c r="AF704" s="781"/>
      <c r="AG704" s="781"/>
      <c r="AH704" s="781"/>
      <c r="AI704" s="781"/>
      <c r="AJ704" s="781"/>
      <c r="AK704" s="781"/>
      <c r="AL704" s="781"/>
      <c r="AM704" s="781"/>
      <c r="AN704" s="781"/>
      <c r="AO704" s="781"/>
      <c r="AP704" s="781"/>
      <c r="AQ704" s="781"/>
      <c r="AR704" s="781"/>
      <c r="AS704" s="781"/>
      <c r="AT704" s="781"/>
      <c r="AU704" s="781"/>
    </row>
    <row r="705" ht="15.75" customHeight="1">
      <c r="A705" s="795">
        <v>44522.0</v>
      </c>
      <c r="B705" s="827" t="s">
        <v>3046</v>
      </c>
      <c r="C705" s="797" t="s">
        <v>2547</v>
      </c>
      <c r="D705" s="772" t="s">
        <v>6345</v>
      </c>
      <c r="E705" s="798">
        <v>261364.56</v>
      </c>
      <c r="F705" s="772" t="s">
        <v>3045</v>
      </c>
      <c r="G705" s="782" t="s">
        <v>18</v>
      </c>
      <c r="H705" s="782" t="s">
        <v>176</v>
      </c>
      <c r="I705" s="782" t="s">
        <v>177</v>
      </c>
      <c r="J705" s="782">
        <v>44319.0</v>
      </c>
      <c r="K705" s="785" t="s">
        <v>3828</v>
      </c>
      <c r="L705" s="781"/>
      <c r="M705" s="781"/>
      <c r="N705" s="781"/>
      <c r="O705" s="781"/>
      <c r="P705" s="781"/>
      <c r="Q705" s="781"/>
      <c r="R705" s="781"/>
      <c r="S705" s="781"/>
      <c r="T705" s="781"/>
      <c r="U705" s="781"/>
      <c r="V705" s="781"/>
      <c r="W705" s="781"/>
      <c r="X705" s="781"/>
      <c r="Y705" s="781"/>
      <c r="Z705" s="781"/>
      <c r="AA705" s="781"/>
      <c r="AB705" s="781"/>
      <c r="AC705" s="781"/>
      <c r="AD705" s="781"/>
      <c r="AE705" s="781"/>
      <c r="AF705" s="781"/>
      <c r="AG705" s="781"/>
      <c r="AH705" s="781"/>
      <c r="AI705" s="781"/>
      <c r="AJ705" s="781"/>
      <c r="AK705" s="781"/>
      <c r="AL705" s="781"/>
      <c r="AM705" s="781"/>
      <c r="AN705" s="781"/>
      <c r="AO705" s="781"/>
      <c r="AP705" s="781"/>
      <c r="AQ705" s="781"/>
      <c r="AR705" s="781"/>
      <c r="AS705" s="781"/>
      <c r="AT705" s="781"/>
      <c r="AU705" s="781"/>
    </row>
    <row r="706" ht="15.75" customHeight="1">
      <c r="A706" s="795">
        <v>44522.0</v>
      </c>
      <c r="B706" s="796" t="s">
        <v>2902</v>
      </c>
      <c r="C706" s="797" t="s">
        <v>2547</v>
      </c>
      <c r="D706" s="772" t="s">
        <v>6346</v>
      </c>
      <c r="E706" s="798">
        <v>80000.0</v>
      </c>
      <c r="F706" s="772" t="s">
        <v>2901</v>
      </c>
      <c r="G706" s="782" t="s">
        <v>18</v>
      </c>
      <c r="H706" s="782" t="s">
        <v>176</v>
      </c>
      <c r="I706" s="782" t="s">
        <v>197</v>
      </c>
      <c r="J706" s="782">
        <v>44298.0</v>
      </c>
      <c r="K706" s="785" t="s">
        <v>3828</v>
      </c>
      <c r="L706" s="781"/>
      <c r="M706" s="781"/>
      <c r="N706" s="781"/>
      <c r="O706" s="781"/>
      <c r="P706" s="781"/>
      <c r="Q706" s="781"/>
      <c r="R706" s="781"/>
      <c r="S706" s="781"/>
      <c r="T706" s="781"/>
      <c r="U706" s="781"/>
      <c r="V706" s="781"/>
      <c r="W706" s="781"/>
      <c r="X706" s="781"/>
      <c r="Y706" s="781"/>
      <c r="Z706" s="781"/>
      <c r="AA706" s="781"/>
      <c r="AB706" s="781"/>
      <c r="AC706" s="781"/>
      <c r="AD706" s="781"/>
      <c r="AE706" s="781"/>
      <c r="AF706" s="781"/>
      <c r="AG706" s="781"/>
      <c r="AH706" s="781"/>
      <c r="AI706" s="781"/>
      <c r="AJ706" s="781"/>
      <c r="AK706" s="781"/>
      <c r="AL706" s="781"/>
      <c r="AM706" s="781"/>
      <c r="AN706" s="781"/>
      <c r="AO706" s="781"/>
      <c r="AP706" s="781"/>
      <c r="AQ706" s="781"/>
      <c r="AR706" s="781"/>
      <c r="AS706" s="781"/>
      <c r="AT706" s="781"/>
      <c r="AU706" s="781"/>
    </row>
    <row r="707" ht="15.75" customHeight="1">
      <c r="A707" s="795">
        <v>44522.0</v>
      </c>
      <c r="B707" s="827" t="s">
        <v>2684</v>
      </c>
      <c r="C707" s="797" t="s">
        <v>2547</v>
      </c>
      <c r="D707" s="772" t="s">
        <v>6346</v>
      </c>
      <c r="E707" s="798">
        <v>500.0</v>
      </c>
      <c r="F707" s="772" t="s">
        <v>359</v>
      </c>
      <c r="G707" s="782" t="s">
        <v>18</v>
      </c>
      <c r="H707" s="782" t="s">
        <v>176</v>
      </c>
      <c r="I707" s="782" t="s">
        <v>177</v>
      </c>
      <c r="J707" s="782">
        <v>44263.0</v>
      </c>
      <c r="K707" s="785" t="s">
        <v>3828</v>
      </c>
      <c r="L707" s="781"/>
      <c r="M707" s="781"/>
      <c r="N707" s="781"/>
      <c r="O707" s="781"/>
      <c r="P707" s="781"/>
      <c r="Q707" s="781"/>
      <c r="R707" s="781"/>
      <c r="S707" s="781"/>
      <c r="T707" s="781"/>
      <c r="U707" s="781"/>
      <c r="V707" s="781"/>
      <c r="W707" s="781"/>
      <c r="X707" s="781"/>
      <c r="Y707" s="781"/>
      <c r="Z707" s="781"/>
      <c r="AA707" s="781"/>
      <c r="AB707" s="781"/>
      <c r="AC707" s="781"/>
      <c r="AD707" s="781"/>
      <c r="AE707" s="781"/>
      <c r="AF707" s="781"/>
      <c r="AG707" s="781"/>
      <c r="AH707" s="781"/>
      <c r="AI707" s="781"/>
      <c r="AJ707" s="781"/>
      <c r="AK707" s="781"/>
      <c r="AL707" s="781"/>
      <c r="AM707" s="781"/>
      <c r="AN707" s="781"/>
      <c r="AO707" s="781"/>
      <c r="AP707" s="781"/>
      <c r="AQ707" s="781"/>
      <c r="AR707" s="781"/>
      <c r="AS707" s="781"/>
      <c r="AT707" s="781"/>
      <c r="AU707" s="781"/>
    </row>
    <row r="708" ht="15.75" customHeight="1">
      <c r="A708" s="795">
        <v>44522.0</v>
      </c>
      <c r="B708" s="796" t="s">
        <v>3158</v>
      </c>
      <c r="C708" s="797" t="s">
        <v>2547</v>
      </c>
      <c r="D708" s="772" t="s">
        <v>6346</v>
      </c>
      <c r="E708" s="798">
        <v>650000.0</v>
      </c>
      <c r="F708" s="772" t="s">
        <v>3155</v>
      </c>
      <c r="G708" s="782" t="s">
        <v>18</v>
      </c>
      <c r="H708" s="782" t="s">
        <v>176</v>
      </c>
      <c r="I708" s="782" t="s">
        <v>177</v>
      </c>
      <c r="J708" s="782">
        <v>44390.0</v>
      </c>
      <c r="K708" s="785" t="s">
        <v>3828</v>
      </c>
      <c r="L708" s="781"/>
      <c r="M708" s="781"/>
      <c r="N708" s="781"/>
      <c r="O708" s="781"/>
      <c r="P708" s="781"/>
      <c r="Q708" s="781"/>
      <c r="R708" s="781"/>
      <c r="S708" s="781"/>
      <c r="T708" s="781"/>
      <c r="U708" s="781"/>
      <c r="V708" s="781"/>
      <c r="W708" s="781"/>
      <c r="X708" s="781"/>
      <c r="Y708" s="781"/>
      <c r="Z708" s="781"/>
      <c r="AA708" s="781"/>
      <c r="AB708" s="781"/>
      <c r="AC708" s="781"/>
      <c r="AD708" s="781"/>
      <c r="AE708" s="781"/>
      <c r="AF708" s="781"/>
      <c r="AG708" s="781"/>
      <c r="AH708" s="781"/>
      <c r="AI708" s="781"/>
      <c r="AJ708" s="781"/>
      <c r="AK708" s="781"/>
      <c r="AL708" s="781"/>
      <c r="AM708" s="781"/>
      <c r="AN708" s="781"/>
      <c r="AO708" s="781"/>
      <c r="AP708" s="781"/>
      <c r="AQ708" s="781"/>
      <c r="AR708" s="781"/>
      <c r="AS708" s="781"/>
      <c r="AT708" s="781"/>
      <c r="AU708" s="781"/>
    </row>
    <row r="709" ht="15.75" customHeight="1">
      <c r="A709" s="795">
        <v>44522.0</v>
      </c>
      <c r="B709" s="827" t="s">
        <v>2627</v>
      </c>
      <c r="C709" s="797" t="s">
        <v>2547</v>
      </c>
      <c r="D709" s="772" t="s">
        <v>6346</v>
      </c>
      <c r="E709" s="798">
        <v>1250000.0</v>
      </c>
      <c r="F709" s="772" t="s">
        <v>245</v>
      </c>
      <c r="G709" s="782" t="s">
        <v>18</v>
      </c>
      <c r="H709" s="782" t="s">
        <v>176</v>
      </c>
      <c r="I709" s="782" t="s">
        <v>177</v>
      </c>
      <c r="J709" s="782">
        <v>44266.0</v>
      </c>
      <c r="K709" s="785" t="s">
        <v>3824</v>
      </c>
      <c r="L709" s="781"/>
      <c r="M709" s="781"/>
      <c r="N709" s="781"/>
      <c r="O709" s="781"/>
      <c r="P709" s="781"/>
      <c r="Q709" s="781"/>
      <c r="R709" s="781"/>
      <c r="S709" s="781"/>
      <c r="T709" s="781"/>
      <c r="U709" s="781"/>
      <c r="V709" s="781"/>
      <c r="W709" s="781"/>
      <c r="X709" s="781"/>
      <c r="Y709" s="781"/>
      <c r="Z709" s="781"/>
      <c r="AA709" s="781"/>
      <c r="AB709" s="781"/>
      <c r="AC709" s="781"/>
      <c r="AD709" s="781"/>
      <c r="AE709" s="781"/>
      <c r="AF709" s="781"/>
      <c r="AG709" s="781"/>
      <c r="AH709" s="781"/>
      <c r="AI709" s="781"/>
      <c r="AJ709" s="781"/>
      <c r="AK709" s="781"/>
      <c r="AL709" s="781"/>
      <c r="AM709" s="781"/>
      <c r="AN709" s="781"/>
      <c r="AO709" s="781"/>
      <c r="AP709" s="781"/>
      <c r="AQ709" s="781"/>
      <c r="AR709" s="781"/>
      <c r="AS709" s="781"/>
      <c r="AT709" s="781"/>
      <c r="AU709" s="781"/>
    </row>
    <row r="710" ht="15.75" customHeight="1">
      <c r="A710" s="795">
        <v>44523.0</v>
      </c>
      <c r="B710" s="796" t="s">
        <v>6483</v>
      </c>
      <c r="C710" s="797" t="s">
        <v>3820</v>
      </c>
      <c r="D710" s="772" t="s">
        <v>6346</v>
      </c>
      <c r="E710" s="798">
        <v>20000.0</v>
      </c>
      <c r="F710" s="772" t="s">
        <v>6484</v>
      </c>
      <c r="G710" s="761" t="s">
        <v>18</v>
      </c>
      <c r="H710" s="840" t="s">
        <v>19</v>
      </c>
      <c r="I710" s="840" t="s">
        <v>256</v>
      </c>
      <c r="J710" s="841">
        <v>44287.0</v>
      </c>
      <c r="K710" s="789" t="s">
        <v>3828</v>
      </c>
      <c r="L710" s="781"/>
      <c r="M710" s="781"/>
      <c r="N710" s="781"/>
      <c r="O710" s="781"/>
      <c r="P710" s="781"/>
      <c r="Q710" s="781"/>
      <c r="R710" s="781"/>
      <c r="S710" s="781"/>
      <c r="T710" s="781"/>
      <c r="U710" s="781"/>
      <c r="V710" s="781"/>
      <c r="W710" s="781"/>
      <c r="X710" s="781"/>
      <c r="Y710" s="781"/>
      <c r="Z710" s="781"/>
      <c r="AA710" s="781"/>
      <c r="AB710" s="781"/>
      <c r="AC710" s="781"/>
      <c r="AD710" s="781"/>
      <c r="AE710" s="781"/>
      <c r="AF710" s="781"/>
      <c r="AG710" s="781"/>
      <c r="AH710" s="781"/>
      <c r="AI710" s="781"/>
      <c r="AJ710" s="781"/>
      <c r="AK710" s="781"/>
      <c r="AL710" s="781"/>
      <c r="AM710" s="781"/>
      <c r="AN710" s="781"/>
      <c r="AO710" s="781"/>
      <c r="AP710" s="781"/>
      <c r="AQ710" s="781"/>
      <c r="AR710" s="781"/>
      <c r="AS710" s="781"/>
      <c r="AT710" s="781"/>
      <c r="AU710" s="781"/>
    </row>
    <row r="711" ht="15.75" customHeight="1">
      <c r="A711" s="795">
        <v>44523.0</v>
      </c>
      <c r="B711" s="796" t="s">
        <v>6396</v>
      </c>
      <c r="C711" s="797" t="s">
        <v>3820</v>
      </c>
      <c r="D711" s="772" t="s">
        <v>1481</v>
      </c>
      <c r="E711" s="798">
        <v>114197.45</v>
      </c>
      <c r="F711" s="772" t="s">
        <v>6485</v>
      </c>
      <c r="G711" s="761" t="s">
        <v>18</v>
      </c>
      <c r="H711" s="840" t="s">
        <v>19</v>
      </c>
      <c r="I711" s="840" t="s">
        <v>256</v>
      </c>
      <c r="J711" s="841">
        <v>44298.0</v>
      </c>
      <c r="K711" s="772" t="s">
        <v>3836</v>
      </c>
      <c r="L711" s="781"/>
      <c r="M711" s="781"/>
      <c r="N711" s="781"/>
      <c r="O711" s="781"/>
      <c r="P711" s="781"/>
      <c r="Q711" s="781"/>
      <c r="R711" s="781"/>
      <c r="S711" s="781"/>
      <c r="T711" s="781"/>
      <c r="U711" s="781"/>
      <c r="V711" s="781"/>
      <c r="W711" s="781"/>
      <c r="X711" s="781"/>
      <c r="Y711" s="781"/>
      <c r="Z711" s="781"/>
      <c r="AA711" s="781"/>
      <c r="AB711" s="781"/>
      <c r="AC711" s="781"/>
      <c r="AD711" s="781"/>
      <c r="AE711" s="781"/>
      <c r="AF711" s="781"/>
      <c r="AG711" s="781"/>
      <c r="AH711" s="781"/>
      <c r="AI711" s="781"/>
      <c r="AJ711" s="781"/>
      <c r="AK711" s="781"/>
      <c r="AL711" s="781"/>
      <c r="AM711" s="781"/>
      <c r="AN711" s="781"/>
      <c r="AO711" s="781"/>
      <c r="AP711" s="781"/>
      <c r="AQ711" s="781"/>
      <c r="AR711" s="781"/>
      <c r="AS711" s="781"/>
      <c r="AT711" s="781"/>
      <c r="AU711" s="781"/>
    </row>
    <row r="712" ht="15.75" customHeight="1">
      <c r="A712" s="795">
        <v>44523.0</v>
      </c>
      <c r="B712" s="796" t="s">
        <v>3091</v>
      </c>
      <c r="C712" s="797" t="s">
        <v>2547</v>
      </c>
      <c r="D712" s="772" t="s">
        <v>6346</v>
      </c>
      <c r="E712" s="798">
        <v>35000.0</v>
      </c>
      <c r="F712" s="772" t="s">
        <v>3090</v>
      </c>
      <c r="G712" s="782" t="s">
        <v>18</v>
      </c>
      <c r="H712" s="782" t="s">
        <v>176</v>
      </c>
      <c r="I712" s="782" t="s">
        <v>177</v>
      </c>
      <c r="J712" s="782">
        <v>44295.0</v>
      </c>
      <c r="K712" s="782" t="s">
        <v>3834</v>
      </c>
      <c r="L712" s="781"/>
      <c r="M712" s="781"/>
      <c r="N712" s="781"/>
      <c r="O712" s="781"/>
      <c r="P712" s="781"/>
      <c r="Q712" s="781"/>
      <c r="R712" s="781"/>
      <c r="S712" s="781"/>
      <c r="T712" s="781"/>
      <c r="U712" s="781"/>
      <c r="V712" s="781"/>
      <c r="W712" s="781"/>
      <c r="X712" s="781"/>
      <c r="Y712" s="781"/>
      <c r="Z712" s="781"/>
      <c r="AA712" s="781"/>
      <c r="AB712" s="781"/>
      <c r="AC712" s="781"/>
      <c r="AD712" s="781"/>
      <c r="AE712" s="781"/>
      <c r="AF712" s="781"/>
      <c r="AG712" s="781"/>
      <c r="AH712" s="781"/>
      <c r="AI712" s="781"/>
      <c r="AJ712" s="781"/>
      <c r="AK712" s="781"/>
      <c r="AL712" s="781"/>
      <c r="AM712" s="781"/>
      <c r="AN712" s="781"/>
      <c r="AO712" s="781"/>
      <c r="AP712" s="781"/>
      <c r="AQ712" s="781"/>
      <c r="AR712" s="781"/>
      <c r="AS712" s="781"/>
      <c r="AT712" s="781"/>
      <c r="AU712" s="781"/>
    </row>
    <row r="713" ht="15.75" customHeight="1">
      <c r="A713" s="795">
        <v>44524.0</v>
      </c>
      <c r="B713" s="796" t="s">
        <v>6486</v>
      </c>
      <c r="C713" s="797" t="s">
        <v>3820</v>
      </c>
      <c r="D713" s="772" t="s">
        <v>6345</v>
      </c>
      <c r="E713" s="798">
        <v>130920.08</v>
      </c>
      <c r="F713" s="772" t="s">
        <v>4587</v>
      </c>
      <c r="G713" s="772" t="s">
        <v>18</v>
      </c>
      <c r="H713" s="772" t="s">
        <v>19</v>
      </c>
      <c r="I713" s="772" t="s">
        <v>256</v>
      </c>
      <c r="J713" s="782">
        <v>44252.0</v>
      </c>
      <c r="K713" s="772" t="s">
        <v>3840</v>
      </c>
      <c r="L713" s="781"/>
      <c r="M713" s="781"/>
      <c r="N713" s="781"/>
      <c r="O713" s="781"/>
      <c r="P713" s="781"/>
      <c r="Q713" s="781"/>
      <c r="R713" s="781"/>
      <c r="S713" s="781"/>
      <c r="T713" s="781"/>
      <c r="U713" s="781"/>
      <c r="V713" s="781"/>
      <c r="W713" s="781"/>
      <c r="X713" s="781"/>
      <c r="Y713" s="781"/>
      <c r="Z713" s="781"/>
      <c r="AA713" s="781"/>
      <c r="AB713" s="781"/>
      <c r="AC713" s="781"/>
      <c r="AD713" s="781"/>
      <c r="AE713" s="781"/>
      <c r="AF713" s="781"/>
      <c r="AG713" s="781"/>
      <c r="AH713" s="781"/>
      <c r="AI713" s="781"/>
      <c r="AJ713" s="781"/>
      <c r="AK713" s="781"/>
      <c r="AL713" s="781"/>
      <c r="AM713" s="781"/>
      <c r="AN713" s="781"/>
      <c r="AO713" s="781"/>
      <c r="AP713" s="781"/>
      <c r="AQ713" s="781"/>
      <c r="AR713" s="781"/>
      <c r="AS713" s="781"/>
      <c r="AT713" s="781"/>
      <c r="AU713" s="781"/>
    </row>
    <row r="714" ht="15.75" customHeight="1">
      <c r="A714" s="795">
        <v>44524.0</v>
      </c>
      <c r="B714" s="796" t="s">
        <v>6487</v>
      </c>
      <c r="C714" s="797" t="s">
        <v>3820</v>
      </c>
      <c r="D714" s="772" t="s">
        <v>6345</v>
      </c>
      <c r="E714" s="798">
        <v>98719.08</v>
      </c>
      <c r="F714" s="772" t="s">
        <v>4023</v>
      </c>
      <c r="G714" s="772" t="s">
        <v>2550</v>
      </c>
      <c r="H714" s="772" t="s">
        <v>29</v>
      </c>
      <c r="I714" s="772" t="s">
        <v>2550</v>
      </c>
      <c r="J714" s="782">
        <v>44390.0</v>
      </c>
      <c r="K714" s="772" t="s">
        <v>3828</v>
      </c>
      <c r="L714" s="781"/>
      <c r="M714" s="781"/>
      <c r="N714" s="781"/>
      <c r="O714" s="781"/>
      <c r="P714" s="781"/>
      <c r="Q714" s="781"/>
      <c r="R714" s="781"/>
      <c r="S714" s="781"/>
      <c r="T714" s="781"/>
      <c r="U714" s="781"/>
      <c r="V714" s="781"/>
      <c r="W714" s="781"/>
      <c r="X714" s="781"/>
      <c r="Y714" s="781"/>
      <c r="Z714" s="781"/>
      <c r="AA714" s="781"/>
      <c r="AB714" s="781"/>
      <c r="AC714" s="781"/>
      <c r="AD714" s="781"/>
      <c r="AE714" s="781"/>
      <c r="AF714" s="781"/>
      <c r="AG714" s="781"/>
      <c r="AH714" s="781"/>
      <c r="AI714" s="781"/>
      <c r="AJ714" s="781"/>
      <c r="AK714" s="781"/>
      <c r="AL714" s="781"/>
      <c r="AM714" s="781"/>
      <c r="AN714" s="781"/>
      <c r="AO714" s="781"/>
      <c r="AP714" s="781"/>
      <c r="AQ714" s="781"/>
      <c r="AR714" s="781"/>
      <c r="AS714" s="781"/>
      <c r="AT714" s="781"/>
      <c r="AU714" s="781"/>
    </row>
    <row r="715" ht="15.75" customHeight="1">
      <c r="A715" s="795">
        <v>44524.0</v>
      </c>
      <c r="B715" s="827" t="s">
        <v>3396</v>
      </c>
      <c r="C715" s="797" t="s">
        <v>2547</v>
      </c>
      <c r="D715" s="772" t="s">
        <v>6346</v>
      </c>
      <c r="E715" s="798">
        <v>59000.0</v>
      </c>
      <c r="F715" s="772" t="s">
        <v>2019</v>
      </c>
      <c r="G715" s="782" t="s">
        <v>18</v>
      </c>
      <c r="H715" s="782" t="s">
        <v>176</v>
      </c>
      <c r="I715" s="782" t="s">
        <v>177</v>
      </c>
      <c r="J715" s="782">
        <v>44280.0</v>
      </c>
      <c r="K715" s="782" t="s">
        <v>3828</v>
      </c>
      <c r="L715" s="781"/>
      <c r="M715" s="781"/>
      <c r="N715" s="781"/>
      <c r="O715" s="781"/>
      <c r="P715" s="781"/>
      <c r="Q715" s="781"/>
      <c r="R715" s="781"/>
      <c r="S715" s="781"/>
      <c r="T715" s="781"/>
      <c r="U715" s="781"/>
      <c r="V715" s="781"/>
      <c r="W715" s="781"/>
      <c r="X715" s="781"/>
      <c r="Y715" s="781"/>
      <c r="Z715" s="781"/>
      <c r="AA715" s="781"/>
      <c r="AB715" s="781"/>
      <c r="AC715" s="781"/>
      <c r="AD715" s="781"/>
      <c r="AE715" s="781"/>
      <c r="AF715" s="781"/>
      <c r="AG715" s="781"/>
      <c r="AH715" s="781"/>
      <c r="AI715" s="781"/>
      <c r="AJ715" s="781"/>
      <c r="AK715" s="781"/>
      <c r="AL715" s="781"/>
      <c r="AM715" s="781"/>
      <c r="AN715" s="781"/>
      <c r="AO715" s="781"/>
      <c r="AP715" s="781"/>
      <c r="AQ715" s="781"/>
      <c r="AR715" s="781"/>
      <c r="AS715" s="781"/>
      <c r="AT715" s="781"/>
      <c r="AU715" s="781"/>
    </row>
    <row r="716" ht="15.75" customHeight="1">
      <c r="A716" s="795">
        <v>44525.0</v>
      </c>
      <c r="B716" s="796" t="s">
        <v>2572</v>
      </c>
      <c r="C716" s="797" t="s">
        <v>2547</v>
      </c>
      <c r="D716" s="772" t="s">
        <v>1481</v>
      </c>
      <c r="E716" s="798">
        <v>95072.23</v>
      </c>
      <c r="F716" s="772" t="s">
        <v>2571</v>
      </c>
      <c r="G716" s="782" t="s">
        <v>2550</v>
      </c>
      <c r="H716" s="782" t="s">
        <v>29</v>
      </c>
      <c r="I716" s="782" t="s">
        <v>2562</v>
      </c>
      <c r="J716" s="782">
        <v>43780.0</v>
      </c>
      <c r="K716" s="782" t="s">
        <v>3836</v>
      </c>
      <c r="L716" s="781"/>
      <c r="M716" s="781"/>
      <c r="N716" s="781"/>
      <c r="O716" s="781"/>
      <c r="P716" s="781"/>
      <c r="Q716" s="781"/>
      <c r="R716" s="781"/>
      <c r="S716" s="781"/>
      <c r="T716" s="781"/>
      <c r="U716" s="781"/>
      <c r="V716" s="781"/>
      <c r="W716" s="781"/>
      <c r="X716" s="781"/>
      <c r="Y716" s="781"/>
      <c r="Z716" s="781"/>
      <c r="AA716" s="781"/>
      <c r="AB716" s="781"/>
      <c r="AC716" s="781"/>
      <c r="AD716" s="781"/>
      <c r="AE716" s="781"/>
      <c r="AF716" s="781"/>
      <c r="AG716" s="781"/>
      <c r="AH716" s="781"/>
      <c r="AI716" s="781"/>
      <c r="AJ716" s="781"/>
      <c r="AK716" s="781"/>
      <c r="AL716" s="781"/>
      <c r="AM716" s="781"/>
      <c r="AN716" s="781"/>
      <c r="AO716" s="781"/>
      <c r="AP716" s="781"/>
      <c r="AQ716" s="781"/>
      <c r="AR716" s="781"/>
      <c r="AS716" s="781"/>
      <c r="AT716" s="781"/>
      <c r="AU716" s="781"/>
    </row>
    <row r="717" ht="15.75" customHeight="1">
      <c r="A717" s="795">
        <v>44525.0</v>
      </c>
      <c r="B717" s="796" t="s">
        <v>2823</v>
      </c>
      <c r="C717" s="797" t="s">
        <v>2547</v>
      </c>
      <c r="D717" s="772" t="s">
        <v>1481</v>
      </c>
      <c r="E717" s="798">
        <v>287057.81</v>
      </c>
      <c r="F717" s="772" t="s">
        <v>2822</v>
      </c>
      <c r="G717" s="782" t="s">
        <v>18</v>
      </c>
      <c r="H717" s="782" t="s">
        <v>176</v>
      </c>
      <c r="I717" s="782" t="s">
        <v>197</v>
      </c>
      <c r="J717" s="782">
        <v>44393.0</v>
      </c>
      <c r="K717" s="782" t="s">
        <v>4347</v>
      </c>
      <c r="L717" s="781"/>
      <c r="M717" s="781"/>
      <c r="N717" s="781"/>
      <c r="O717" s="781"/>
      <c r="P717" s="781"/>
      <c r="Q717" s="781"/>
      <c r="R717" s="781"/>
      <c r="S717" s="781"/>
      <c r="T717" s="781"/>
      <c r="U717" s="781"/>
      <c r="V717" s="781"/>
      <c r="W717" s="781"/>
      <c r="X717" s="781"/>
      <c r="Y717" s="781"/>
      <c r="Z717" s="781"/>
      <c r="AA717" s="781"/>
      <c r="AB717" s="781"/>
      <c r="AC717" s="781"/>
      <c r="AD717" s="781"/>
      <c r="AE717" s="781"/>
      <c r="AF717" s="781"/>
      <c r="AG717" s="781"/>
      <c r="AH717" s="781"/>
      <c r="AI717" s="781"/>
      <c r="AJ717" s="781"/>
      <c r="AK717" s="781"/>
      <c r="AL717" s="781"/>
      <c r="AM717" s="781"/>
      <c r="AN717" s="781"/>
      <c r="AO717" s="781"/>
      <c r="AP717" s="781"/>
      <c r="AQ717" s="781"/>
      <c r="AR717" s="781"/>
      <c r="AS717" s="781"/>
      <c r="AT717" s="781"/>
      <c r="AU717" s="781"/>
    </row>
    <row r="718" ht="15.75" customHeight="1">
      <c r="A718" s="795">
        <v>44525.0</v>
      </c>
      <c r="B718" s="796" t="s">
        <v>6488</v>
      </c>
      <c r="C718" s="797" t="s">
        <v>3820</v>
      </c>
      <c r="D718" s="772" t="s">
        <v>6346</v>
      </c>
      <c r="E718" s="798">
        <v>15000.0</v>
      </c>
      <c r="F718" s="772" t="s">
        <v>2154</v>
      </c>
      <c r="G718" s="772" t="s">
        <v>18</v>
      </c>
      <c r="H718" s="772" t="s">
        <v>29</v>
      </c>
      <c r="I718" s="772" t="s">
        <v>2803</v>
      </c>
      <c r="J718" s="782">
        <v>44293.0</v>
      </c>
      <c r="K718" s="772" t="s">
        <v>3824</v>
      </c>
      <c r="L718" s="781"/>
      <c r="M718" s="781"/>
      <c r="N718" s="781"/>
      <c r="O718" s="781"/>
      <c r="P718" s="781"/>
      <c r="Q718" s="781"/>
      <c r="R718" s="781"/>
      <c r="S718" s="781"/>
      <c r="T718" s="781"/>
      <c r="U718" s="781"/>
      <c r="V718" s="781"/>
      <c r="W718" s="781"/>
      <c r="X718" s="781"/>
      <c r="Y718" s="781"/>
      <c r="Z718" s="781"/>
      <c r="AA718" s="781"/>
      <c r="AB718" s="781"/>
      <c r="AC718" s="781"/>
      <c r="AD718" s="781"/>
      <c r="AE718" s="781"/>
      <c r="AF718" s="781"/>
      <c r="AG718" s="781"/>
      <c r="AH718" s="781"/>
      <c r="AI718" s="781"/>
      <c r="AJ718" s="781"/>
      <c r="AK718" s="781"/>
      <c r="AL718" s="781"/>
      <c r="AM718" s="781"/>
      <c r="AN718" s="781"/>
      <c r="AO718" s="781"/>
      <c r="AP718" s="781"/>
      <c r="AQ718" s="781"/>
      <c r="AR718" s="781"/>
      <c r="AS718" s="781"/>
      <c r="AT718" s="781"/>
      <c r="AU718" s="781"/>
    </row>
    <row r="719" ht="15.75" customHeight="1">
      <c r="A719" s="795">
        <v>44526.0</v>
      </c>
      <c r="B719" s="796" t="s">
        <v>2890</v>
      </c>
      <c r="C719" s="797" t="s">
        <v>2547</v>
      </c>
      <c r="D719" s="772" t="s">
        <v>6346</v>
      </c>
      <c r="E719" s="798">
        <v>200000.0</v>
      </c>
      <c r="F719" s="772" t="s">
        <v>2889</v>
      </c>
      <c r="G719" s="782" t="s">
        <v>18</v>
      </c>
      <c r="H719" s="782" t="s">
        <v>176</v>
      </c>
      <c r="I719" s="782" t="s">
        <v>197</v>
      </c>
      <c r="J719" s="782">
        <v>44291.0</v>
      </c>
      <c r="K719" s="782" t="s">
        <v>3828</v>
      </c>
      <c r="L719" s="781"/>
      <c r="M719" s="781"/>
      <c r="N719" s="781"/>
      <c r="O719" s="781"/>
      <c r="P719" s="781"/>
      <c r="Q719" s="781"/>
      <c r="R719" s="781"/>
      <c r="S719" s="781"/>
      <c r="T719" s="781"/>
      <c r="U719" s="781"/>
      <c r="V719" s="781"/>
      <c r="W719" s="781"/>
      <c r="X719" s="781"/>
      <c r="Y719" s="781"/>
      <c r="Z719" s="781"/>
      <c r="AA719" s="781"/>
      <c r="AB719" s="781"/>
      <c r="AC719" s="781"/>
      <c r="AD719" s="781"/>
      <c r="AE719" s="781"/>
      <c r="AF719" s="781"/>
      <c r="AG719" s="781"/>
      <c r="AH719" s="781"/>
      <c r="AI719" s="781"/>
      <c r="AJ719" s="781"/>
      <c r="AK719" s="781"/>
      <c r="AL719" s="781"/>
      <c r="AM719" s="781"/>
      <c r="AN719" s="781"/>
      <c r="AO719" s="781"/>
      <c r="AP719" s="781"/>
      <c r="AQ719" s="781"/>
      <c r="AR719" s="781"/>
      <c r="AS719" s="781"/>
      <c r="AT719" s="781"/>
      <c r="AU719" s="781"/>
    </row>
    <row r="720" ht="15.75" customHeight="1">
      <c r="A720" s="795">
        <v>44529.0</v>
      </c>
      <c r="B720" s="796" t="s">
        <v>2568</v>
      </c>
      <c r="C720" s="797" t="s">
        <v>2547</v>
      </c>
      <c r="D720" s="772" t="s">
        <v>6346</v>
      </c>
      <c r="E720" s="798">
        <v>150000.0</v>
      </c>
      <c r="F720" s="772" t="s">
        <v>2567</v>
      </c>
      <c r="G720" s="782" t="s">
        <v>18</v>
      </c>
      <c r="H720" s="782" t="s">
        <v>176</v>
      </c>
      <c r="I720" s="782" t="s">
        <v>197</v>
      </c>
      <c r="J720" s="782">
        <v>44321.0</v>
      </c>
      <c r="K720" s="782" t="s">
        <v>3836</v>
      </c>
      <c r="L720" s="781"/>
      <c r="M720" s="781"/>
      <c r="N720" s="781"/>
      <c r="O720" s="781"/>
      <c r="P720" s="781"/>
      <c r="Q720" s="781"/>
      <c r="R720" s="781"/>
      <c r="S720" s="781"/>
      <c r="T720" s="781"/>
      <c r="U720" s="781"/>
      <c r="V720" s="781"/>
      <c r="W720" s="781"/>
      <c r="X720" s="781"/>
      <c r="Y720" s="781"/>
      <c r="Z720" s="781"/>
      <c r="AA720" s="781"/>
      <c r="AB720" s="781"/>
      <c r="AC720" s="781"/>
      <c r="AD720" s="781"/>
      <c r="AE720" s="781"/>
      <c r="AF720" s="781"/>
      <c r="AG720" s="781"/>
      <c r="AH720" s="781"/>
      <c r="AI720" s="781"/>
      <c r="AJ720" s="781"/>
      <c r="AK720" s="781"/>
      <c r="AL720" s="781"/>
      <c r="AM720" s="781"/>
      <c r="AN720" s="781"/>
      <c r="AO720" s="781"/>
      <c r="AP720" s="781"/>
      <c r="AQ720" s="781"/>
      <c r="AR720" s="781"/>
      <c r="AS720" s="781"/>
      <c r="AT720" s="781"/>
      <c r="AU720" s="781"/>
    </row>
    <row r="721" ht="15.75" customHeight="1">
      <c r="A721" s="795">
        <v>44530.0</v>
      </c>
      <c r="B721" s="796" t="s">
        <v>3322</v>
      </c>
      <c r="C721" s="797" t="s">
        <v>2547</v>
      </c>
      <c r="D721" s="772" t="s">
        <v>6346</v>
      </c>
      <c r="E721" s="798">
        <v>500000.0</v>
      </c>
      <c r="F721" s="772" t="s">
        <v>3321</v>
      </c>
      <c r="G721" s="782" t="s">
        <v>18</v>
      </c>
      <c r="H721" s="782" t="s">
        <v>176</v>
      </c>
      <c r="I721" s="782" t="s">
        <v>197</v>
      </c>
      <c r="J721" s="782">
        <v>44280.0</v>
      </c>
      <c r="K721" s="782" t="s">
        <v>3828</v>
      </c>
      <c r="L721" s="781"/>
      <c r="M721" s="781"/>
      <c r="N721" s="781"/>
      <c r="O721" s="781"/>
      <c r="P721" s="781"/>
      <c r="Q721" s="781"/>
      <c r="R721" s="781"/>
      <c r="S721" s="781"/>
      <c r="T721" s="781"/>
      <c r="U721" s="781"/>
      <c r="V721" s="781"/>
      <c r="W721" s="781"/>
      <c r="X721" s="781"/>
      <c r="Y721" s="781"/>
      <c r="Z721" s="781"/>
      <c r="AA721" s="781"/>
      <c r="AB721" s="781"/>
      <c r="AC721" s="781"/>
      <c r="AD721" s="781"/>
      <c r="AE721" s="781"/>
      <c r="AF721" s="781"/>
      <c r="AG721" s="781"/>
      <c r="AH721" s="781"/>
      <c r="AI721" s="781"/>
      <c r="AJ721" s="781"/>
      <c r="AK721" s="781"/>
      <c r="AL721" s="781"/>
      <c r="AM721" s="781"/>
      <c r="AN721" s="781"/>
      <c r="AO721" s="781"/>
      <c r="AP721" s="781"/>
      <c r="AQ721" s="781"/>
      <c r="AR721" s="781"/>
      <c r="AS721" s="781"/>
      <c r="AT721" s="781"/>
      <c r="AU721" s="781"/>
    </row>
    <row r="722" ht="15.75" customHeight="1">
      <c r="A722" s="795">
        <v>44530.0</v>
      </c>
      <c r="B722" s="796" t="s">
        <v>3412</v>
      </c>
      <c r="C722" s="797" t="s">
        <v>2547</v>
      </c>
      <c r="D722" s="772" t="s">
        <v>6346</v>
      </c>
      <c r="E722" s="798">
        <v>50000.0</v>
      </c>
      <c r="F722" s="772" t="s">
        <v>3411</v>
      </c>
      <c r="G722" s="782" t="s">
        <v>18</v>
      </c>
      <c r="H722" s="782" t="s">
        <v>176</v>
      </c>
      <c r="I722" s="782" t="s">
        <v>197</v>
      </c>
      <c r="J722" s="782">
        <v>44279.0</v>
      </c>
      <c r="K722" s="782" t="s">
        <v>3828</v>
      </c>
      <c r="L722" s="781"/>
      <c r="M722" s="781"/>
      <c r="N722" s="781"/>
      <c r="O722" s="781"/>
      <c r="P722" s="781"/>
      <c r="Q722" s="781"/>
      <c r="R722" s="781"/>
      <c r="S722" s="781"/>
      <c r="T722" s="781"/>
      <c r="U722" s="781"/>
      <c r="V722" s="781"/>
      <c r="W722" s="781"/>
      <c r="X722" s="781"/>
      <c r="Y722" s="781"/>
      <c r="Z722" s="781"/>
      <c r="AA722" s="781"/>
      <c r="AB722" s="781"/>
      <c r="AC722" s="781"/>
      <c r="AD722" s="781"/>
      <c r="AE722" s="781"/>
      <c r="AF722" s="781"/>
      <c r="AG722" s="781"/>
      <c r="AH722" s="781"/>
      <c r="AI722" s="781"/>
      <c r="AJ722" s="781"/>
      <c r="AK722" s="781"/>
      <c r="AL722" s="781"/>
      <c r="AM722" s="781"/>
      <c r="AN722" s="781"/>
      <c r="AO722" s="781"/>
      <c r="AP722" s="781"/>
      <c r="AQ722" s="781"/>
      <c r="AR722" s="781"/>
      <c r="AS722" s="781"/>
      <c r="AT722" s="781"/>
      <c r="AU722" s="781"/>
    </row>
    <row r="723" ht="15.75" customHeight="1">
      <c r="A723" s="795">
        <v>44530.0</v>
      </c>
      <c r="B723" s="796" t="s">
        <v>3091</v>
      </c>
      <c r="C723" s="797" t="s">
        <v>2547</v>
      </c>
      <c r="D723" s="772" t="s">
        <v>6346</v>
      </c>
      <c r="E723" s="798">
        <v>10000.0</v>
      </c>
      <c r="F723" s="772" t="s">
        <v>3090</v>
      </c>
      <c r="G723" s="782" t="s">
        <v>18</v>
      </c>
      <c r="H723" s="782" t="s">
        <v>176</v>
      </c>
      <c r="I723" s="782" t="s">
        <v>177</v>
      </c>
      <c r="J723" s="782">
        <v>44295.0</v>
      </c>
      <c r="K723" s="782" t="s">
        <v>3834</v>
      </c>
      <c r="L723" s="781"/>
      <c r="M723" s="781"/>
      <c r="N723" s="781"/>
      <c r="O723" s="781"/>
      <c r="P723" s="781"/>
      <c r="Q723" s="781"/>
      <c r="R723" s="781"/>
      <c r="S723" s="781"/>
      <c r="T723" s="781"/>
      <c r="U723" s="781"/>
      <c r="V723" s="781"/>
      <c r="W723" s="781"/>
      <c r="X723" s="781"/>
      <c r="Y723" s="781"/>
      <c r="Z723" s="781"/>
      <c r="AA723" s="781"/>
      <c r="AB723" s="781"/>
      <c r="AC723" s="781"/>
      <c r="AD723" s="781"/>
      <c r="AE723" s="781"/>
      <c r="AF723" s="781"/>
      <c r="AG723" s="781"/>
      <c r="AH723" s="781"/>
      <c r="AI723" s="781"/>
      <c r="AJ723" s="781"/>
      <c r="AK723" s="781"/>
      <c r="AL723" s="781"/>
      <c r="AM723" s="781"/>
      <c r="AN723" s="781"/>
      <c r="AO723" s="781"/>
      <c r="AP723" s="781"/>
      <c r="AQ723" s="781"/>
      <c r="AR723" s="781"/>
      <c r="AS723" s="781"/>
      <c r="AT723" s="781"/>
      <c r="AU723" s="781"/>
    </row>
    <row r="724" ht="15.75" customHeight="1">
      <c r="A724" s="795">
        <v>44530.0</v>
      </c>
      <c r="B724" s="796" t="s">
        <v>3507</v>
      </c>
      <c r="C724" s="797" t="s">
        <v>2547</v>
      </c>
      <c r="D724" s="772" t="s">
        <v>6346</v>
      </c>
      <c r="E724" s="798">
        <v>20000.0</v>
      </c>
      <c r="F724" s="772" t="s">
        <v>3506</v>
      </c>
      <c r="G724" s="782" t="s">
        <v>18</v>
      </c>
      <c r="H724" s="782" t="s">
        <v>176</v>
      </c>
      <c r="I724" s="782" t="s">
        <v>177</v>
      </c>
      <c r="J724" s="782">
        <v>44263.0</v>
      </c>
      <c r="K724" s="782" t="s">
        <v>3836</v>
      </c>
      <c r="L724" s="781"/>
      <c r="M724" s="781"/>
      <c r="N724" s="781"/>
      <c r="O724" s="781"/>
      <c r="P724" s="781"/>
      <c r="Q724" s="781"/>
      <c r="R724" s="781"/>
      <c r="S724" s="781"/>
      <c r="T724" s="781"/>
      <c r="U724" s="781"/>
      <c r="V724" s="781"/>
      <c r="W724" s="781"/>
      <c r="X724" s="781"/>
      <c r="Y724" s="781"/>
      <c r="Z724" s="781"/>
      <c r="AA724" s="781"/>
      <c r="AB724" s="781"/>
      <c r="AC724" s="781"/>
      <c r="AD724" s="781"/>
      <c r="AE724" s="781"/>
      <c r="AF724" s="781"/>
      <c r="AG724" s="781"/>
      <c r="AH724" s="781"/>
      <c r="AI724" s="781"/>
      <c r="AJ724" s="781"/>
      <c r="AK724" s="781"/>
      <c r="AL724" s="781"/>
      <c r="AM724" s="781"/>
      <c r="AN724" s="781"/>
      <c r="AO724" s="781"/>
      <c r="AP724" s="781"/>
      <c r="AQ724" s="781"/>
      <c r="AR724" s="781"/>
      <c r="AS724" s="781"/>
      <c r="AT724" s="781"/>
      <c r="AU724" s="781"/>
    </row>
    <row r="725" ht="15.75" customHeight="1">
      <c r="A725" s="795">
        <v>44531.0</v>
      </c>
      <c r="B725" s="796" t="s">
        <v>3441</v>
      </c>
      <c r="C725" s="797" t="s">
        <v>2547</v>
      </c>
      <c r="D725" s="772" t="s">
        <v>6346</v>
      </c>
      <c r="E725" s="798">
        <v>12000.0</v>
      </c>
      <c r="F725" s="772" t="s">
        <v>3440</v>
      </c>
      <c r="G725" s="782" t="s">
        <v>18</v>
      </c>
      <c r="H725" s="782" t="s">
        <v>176</v>
      </c>
      <c r="I725" s="782" t="s">
        <v>197</v>
      </c>
      <c r="J725" s="782">
        <v>44319.0</v>
      </c>
      <c r="K725" s="782" t="s">
        <v>3828</v>
      </c>
      <c r="L725" s="781"/>
      <c r="M725" s="781"/>
      <c r="N725" s="781"/>
      <c r="O725" s="781"/>
      <c r="P725" s="781"/>
      <c r="Q725" s="781"/>
      <c r="R725" s="781"/>
      <c r="S725" s="781"/>
      <c r="T725" s="781"/>
      <c r="U725" s="781"/>
      <c r="V725" s="781"/>
      <c r="W725" s="781"/>
      <c r="X725" s="781"/>
      <c r="Y725" s="781"/>
      <c r="Z725" s="781"/>
      <c r="AA725" s="781"/>
      <c r="AB725" s="781"/>
      <c r="AC725" s="781"/>
      <c r="AD725" s="781"/>
      <c r="AE725" s="781"/>
      <c r="AF725" s="781"/>
      <c r="AG725" s="781"/>
      <c r="AH725" s="781"/>
      <c r="AI725" s="781"/>
      <c r="AJ725" s="781"/>
      <c r="AK725" s="781"/>
      <c r="AL725" s="781"/>
      <c r="AM725" s="781"/>
      <c r="AN725" s="781"/>
      <c r="AO725" s="781"/>
      <c r="AP725" s="781"/>
      <c r="AQ725" s="781"/>
      <c r="AR725" s="781"/>
      <c r="AS725" s="781"/>
      <c r="AT725" s="781"/>
      <c r="AU725" s="781"/>
    </row>
    <row r="726" ht="15.75" customHeight="1">
      <c r="A726" s="795">
        <v>44531.0</v>
      </c>
      <c r="B726" s="796" t="s">
        <v>2847</v>
      </c>
      <c r="C726" s="797" t="s">
        <v>2547</v>
      </c>
      <c r="D726" s="772" t="s">
        <v>6346</v>
      </c>
      <c r="E726" s="798">
        <v>40000.0</v>
      </c>
      <c r="F726" s="772" t="s">
        <v>767</v>
      </c>
      <c r="G726" s="782" t="s">
        <v>18</v>
      </c>
      <c r="H726" s="782" t="s">
        <v>176</v>
      </c>
      <c r="I726" s="782" t="s">
        <v>177</v>
      </c>
      <c r="J726" s="782">
        <v>44321.0</v>
      </c>
      <c r="K726" s="782" t="s">
        <v>3828</v>
      </c>
      <c r="L726" s="781"/>
      <c r="M726" s="781"/>
      <c r="N726" s="781"/>
      <c r="O726" s="781"/>
      <c r="P726" s="781"/>
      <c r="Q726" s="781"/>
      <c r="R726" s="781"/>
      <c r="S726" s="781"/>
      <c r="T726" s="781"/>
      <c r="U726" s="781"/>
      <c r="V726" s="781"/>
      <c r="W726" s="781"/>
      <c r="X726" s="781"/>
      <c r="Y726" s="781"/>
      <c r="Z726" s="781"/>
      <c r="AA726" s="781"/>
      <c r="AB726" s="781"/>
      <c r="AC726" s="781"/>
      <c r="AD726" s="781"/>
      <c r="AE726" s="781"/>
      <c r="AF726" s="781"/>
      <c r="AG726" s="781"/>
      <c r="AH726" s="781"/>
      <c r="AI726" s="781"/>
      <c r="AJ726" s="781"/>
      <c r="AK726" s="781"/>
      <c r="AL726" s="781"/>
      <c r="AM726" s="781"/>
      <c r="AN726" s="781"/>
      <c r="AO726" s="781"/>
      <c r="AP726" s="781"/>
      <c r="AQ726" s="781"/>
      <c r="AR726" s="781"/>
      <c r="AS726" s="781"/>
      <c r="AT726" s="781"/>
      <c r="AU726" s="781"/>
    </row>
    <row r="727" ht="15.75" customHeight="1">
      <c r="A727" s="795">
        <v>44531.0</v>
      </c>
      <c r="B727" s="830" t="s">
        <v>6384</v>
      </c>
      <c r="C727" s="797" t="s">
        <v>3820</v>
      </c>
      <c r="D727" s="772" t="s">
        <v>6346</v>
      </c>
      <c r="E727" s="798">
        <v>5800.0</v>
      </c>
      <c r="F727" s="772" t="s">
        <v>5098</v>
      </c>
      <c r="G727" s="772" t="s">
        <v>105</v>
      </c>
      <c r="H727" s="772" t="s">
        <v>29</v>
      </c>
      <c r="I727" s="772" t="s">
        <v>4486</v>
      </c>
      <c r="J727" s="782">
        <v>44180.0</v>
      </c>
      <c r="K727" s="772" t="s">
        <v>3828</v>
      </c>
      <c r="L727" s="781"/>
      <c r="M727" s="781"/>
      <c r="N727" s="781"/>
      <c r="O727" s="781"/>
      <c r="P727" s="781"/>
      <c r="Q727" s="781"/>
      <c r="R727" s="781"/>
      <c r="S727" s="781"/>
      <c r="T727" s="781"/>
      <c r="U727" s="781"/>
      <c r="V727" s="781"/>
      <c r="W727" s="781"/>
      <c r="X727" s="781"/>
      <c r="Y727" s="781"/>
      <c r="Z727" s="781"/>
      <c r="AA727" s="781"/>
      <c r="AB727" s="781"/>
      <c r="AC727" s="781"/>
      <c r="AD727" s="781"/>
      <c r="AE727" s="781"/>
      <c r="AF727" s="781"/>
      <c r="AG727" s="781"/>
      <c r="AH727" s="781"/>
      <c r="AI727" s="781"/>
      <c r="AJ727" s="781"/>
      <c r="AK727" s="781"/>
      <c r="AL727" s="781"/>
      <c r="AM727" s="781"/>
      <c r="AN727" s="781"/>
      <c r="AO727" s="781"/>
      <c r="AP727" s="781"/>
      <c r="AQ727" s="781"/>
      <c r="AR727" s="781"/>
      <c r="AS727" s="781"/>
      <c r="AT727" s="781"/>
      <c r="AU727" s="781"/>
    </row>
    <row r="728" ht="15.75" customHeight="1">
      <c r="A728" s="795">
        <v>44531.0</v>
      </c>
      <c r="B728" s="834" t="s">
        <v>6418</v>
      </c>
      <c r="C728" s="797" t="s">
        <v>3820</v>
      </c>
      <c r="D728" s="772" t="s">
        <v>6346</v>
      </c>
      <c r="E728" s="798">
        <v>200000.0</v>
      </c>
      <c r="F728" s="810" t="s">
        <v>4051</v>
      </c>
      <c r="G728" s="761" t="s">
        <v>2550</v>
      </c>
      <c r="H728" s="840" t="s">
        <v>29</v>
      </c>
      <c r="I728" s="840" t="s">
        <v>2550</v>
      </c>
      <c r="J728" s="841">
        <v>44235.0</v>
      </c>
      <c r="K728" s="810" t="s">
        <v>3828</v>
      </c>
      <c r="L728" s="781"/>
      <c r="M728" s="781"/>
      <c r="N728" s="781"/>
      <c r="O728" s="781"/>
      <c r="P728" s="781"/>
      <c r="Q728" s="781"/>
      <c r="R728" s="781"/>
      <c r="S728" s="781"/>
      <c r="T728" s="781"/>
      <c r="U728" s="781"/>
      <c r="V728" s="781"/>
      <c r="W728" s="781"/>
      <c r="X728" s="781"/>
      <c r="Y728" s="781"/>
      <c r="Z728" s="781"/>
      <c r="AA728" s="781"/>
      <c r="AB728" s="781"/>
      <c r="AC728" s="781"/>
      <c r="AD728" s="781"/>
      <c r="AE728" s="781"/>
      <c r="AF728" s="781"/>
      <c r="AG728" s="781"/>
      <c r="AH728" s="781"/>
      <c r="AI728" s="781"/>
      <c r="AJ728" s="781"/>
      <c r="AK728" s="781"/>
      <c r="AL728" s="781"/>
      <c r="AM728" s="781"/>
      <c r="AN728" s="781"/>
      <c r="AO728" s="781"/>
      <c r="AP728" s="781"/>
      <c r="AQ728" s="781"/>
      <c r="AR728" s="781"/>
      <c r="AS728" s="781"/>
      <c r="AT728" s="781"/>
      <c r="AU728" s="781"/>
    </row>
    <row r="729" ht="15.75" customHeight="1">
      <c r="A729" s="795">
        <v>44532.0</v>
      </c>
      <c r="B729" s="796" t="s">
        <v>2684</v>
      </c>
      <c r="C729" s="797" t="s">
        <v>2547</v>
      </c>
      <c r="D729" s="772" t="s">
        <v>6346</v>
      </c>
      <c r="E729" s="798">
        <v>500.0</v>
      </c>
      <c r="F729" s="772" t="s">
        <v>359</v>
      </c>
      <c r="G729" s="782" t="s">
        <v>18</v>
      </c>
      <c r="H729" s="782" t="s">
        <v>176</v>
      </c>
      <c r="I729" s="782" t="s">
        <v>177</v>
      </c>
      <c r="J729" s="782">
        <v>44263.0</v>
      </c>
      <c r="K729" s="782" t="s">
        <v>3828</v>
      </c>
      <c r="L729" s="781"/>
      <c r="M729" s="781"/>
      <c r="N729" s="781"/>
      <c r="O729" s="781"/>
      <c r="P729" s="781"/>
      <c r="Q729" s="781"/>
      <c r="R729" s="781"/>
      <c r="S729" s="781"/>
      <c r="T729" s="781"/>
      <c r="U729" s="781"/>
      <c r="V729" s="781"/>
      <c r="W729" s="781"/>
      <c r="X729" s="781"/>
      <c r="Y729" s="781"/>
      <c r="Z729" s="781"/>
      <c r="AA729" s="781"/>
      <c r="AB729" s="781"/>
      <c r="AC729" s="781"/>
      <c r="AD729" s="781"/>
      <c r="AE729" s="781"/>
      <c r="AF729" s="781"/>
      <c r="AG729" s="781"/>
      <c r="AH729" s="781"/>
      <c r="AI729" s="781"/>
      <c r="AJ729" s="781"/>
      <c r="AK729" s="781"/>
      <c r="AL729" s="781"/>
      <c r="AM729" s="781"/>
      <c r="AN729" s="781"/>
      <c r="AO729" s="781"/>
      <c r="AP729" s="781"/>
      <c r="AQ729" s="781"/>
      <c r="AR729" s="781"/>
      <c r="AS729" s="781"/>
      <c r="AT729" s="781"/>
      <c r="AU729" s="781"/>
    </row>
    <row r="730" ht="15.75" customHeight="1">
      <c r="A730" s="795">
        <v>44532.0</v>
      </c>
      <c r="B730" s="796" t="s">
        <v>3216</v>
      </c>
      <c r="C730" s="797" t="s">
        <v>2547</v>
      </c>
      <c r="D730" s="772" t="s">
        <v>6346</v>
      </c>
      <c r="E730" s="798">
        <v>10000.0</v>
      </c>
      <c r="F730" s="772" t="s">
        <v>3215</v>
      </c>
      <c r="G730" s="782" t="s">
        <v>18</v>
      </c>
      <c r="H730" s="782" t="s">
        <v>176</v>
      </c>
      <c r="I730" s="782" t="s">
        <v>197</v>
      </c>
      <c r="J730" s="782">
        <v>44322.0</v>
      </c>
      <c r="K730" s="782" t="s">
        <v>3828</v>
      </c>
      <c r="L730" s="781"/>
      <c r="M730" s="781"/>
      <c r="N730" s="781"/>
      <c r="O730" s="781"/>
      <c r="P730" s="781"/>
      <c r="Q730" s="781"/>
      <c r="R730" s="781"/>
      <c r="S730" s="781"/>
      <c r="T730" s="781"/>
      <c r="U730" s="781"/>
      <c r="V730" s="781"/>
      <c r="W730" s="781"/>
      <c r="X730" s="781"/>
      <c r="Y730" s="781"/>
      <c r="Z730" s="781"/>
      <c r="AA730" s="781"/>
      <c r="AB730" s="781"/>
      <c r="AC730" s="781"/>
      <c r="AD730" s="781"/>
      <c r="AE730" s="781"/>
      <c r="AF730" s="781"/>
      <c r="AG730" s="781"/>
      <c r="AH730" s="781"/>
      <c r="AI730" s="781"/>
      <c r="AJ730" s="781"/>
      <c r="AK730" s="781"/>
      <c r="AL730" s="781"/>
      <c r="AM730" s="781"/>
      <c r="AN730" s="781"/>
      <c r="AO730" s="781"/>
      <c r="AP730" s="781"/>
      <c r="AQ730" s="781"/>
      <c r="AR730" s="781"/>
      <c r="AS730" s="781"/>
      <c r="AT730" s="781"/>
      <c r="AU730" s="781"/>
    </row>
    <row r="731" ht="15.75" customHeight="1">
      <c r="A731" s="795">
        <v>44532.0</v>
      </c>
      <c r="B731" s="796" t="s">
        <v>2982</v>
      </c>
      <c r="C731" s="797" t="s">
        <v>2547</v>
      </c>
      <c r="D731" s="772" t="s">
        <v>6346</v>
      </c>
      <c r="E731" s="798">
        <v>25000.0</v>
      </c>
      <c r="F731" s="772" t="s">
        <v>2981</v>
      </c>
      <c r="G731" s="782" t="s">
        <v>2550</v>
      </c>
      <c r="H731" s="782" t="s">
        <v>29</v>
      </c>
      <c r="I731" s="782" t="s">
        <v>2551</v>
      </c>
      <c r="J731" s="782">
        <v>43703.0</v>
      </c>
      <c r="K731" s="782" t="s">
        <v>4206</v>
      </c>
      <c r="L731" s="781"/>
      <c r="M731" s="781"/>
      <c r="N731" s="781"/>
      <c r="O731" s="781"/>
      <c r="P731" s="781"/>
      <c r="Q731" s="781"/>
      <c r="R731" s="781"/>
      <c r="S731" s="781"/>
      <c r="T731" s="781"/>
      <c r="U731" s="781"/>
      <c r="V731" s="781"/>
      <c r="W731" s="781"/>
      <c r="X731" s="781"/>
      <c r="Y731" s="781"/>
      <c r="Z731" s="781"/>
      <c r="AA731" s="781"/>
      <c r="AB731" s="781"/>
      <c r="AC731" s="781"/>
      <c r="AD731" s="781"/>
      <c r="AE731" s="781"/>
      <c r="AF731" s="781"/>
      <c r="AG731" s="781"/>
      <c r="AH731" s="781"/>
      <c r="AI731" s="781"/>
      <c r="AJ731" s="781"/>
      <c r="AK731" s="781"/>
      <c r="AL731" s="781"/>
      <c r="AM731" s="781"/>
      <c r="AN731" s="781"/>
      <c r="AO731" s="781"/>
      <c r="AP731" s="781"/>
      <c r="AQ731" s="781"/>
      <c r="AR731" s="781"/>
      <c r="AS731" s="781"/>
      <c r="AT731" s="781"/>
      <c r="AU731" s="781"/>
    </row>
    <row r="732" ht="15.75" customHeight="1">
      <c r="A732" s="795">
        <v>44536.0</v>
      </c>
      <c r="B732" s="796" t="s">
        <v>3516</v>
      </c>
      <c r="C732" s="797" t="s">
        <v>2547</v>
      </c>
      <c r="D732" s="772" t="s">
        <v>6346</v>
      </c>
      <c r="E732" s="798">
        <v>6000.0</v>
      </c>
      <c r="F732" s="772" t="s">
        <v>3515</v>
      </c>
      <c r="G732" s="782" t="s">
        <v>2550</v>
      </c>
      <c r="H732" s="782" t="s">
        <v>29</v>
      </c>
      <c r="I732" s="782" t="s">
        <v>2551</v>
      </c>
      <c r="J732" s="782">
        <v>43717.0</v>
      </c>
      <c r="K732" s="782" t="s">
        <v>4206</v>
      </c>
      <c r="L732" s="781"/>
      <c r="M732" s="781"/>
      <c r="N732" s="781"/>
      <c r="O732" s="781"/>
      <c r="P732" s="781"/>
      <c r="Q732" s="781"/>
      <c r="R732" s="781"/>
      <c r="S732" s="781"/>
      <c r="T732" s="781"/>
      <c r="U732" s="781"/>
      <c r="V732" s="781"/>
      <c r="W732" s="781"/>
      <c r="X732" s="781"/>
      <c r="Y732" s="781"/>
      <c r="Z732" s="781"/>
      <c r="AA732" s="781"/>
      <c r="AB732" s="781"/>
      <c r="AC732" s="781"/>
      <c r="AD732" s="781"/>
      <c r="AE732" s="781"/>
      <c r="AF732" s="781"/>
      <c r="AG732" s="781"/>
      <c r="AH732" s="781"/>
      <c r="AI732" s="781"/>
      <c r="AJ732" s="781"/>
      <c r="AK732" s="781"/>
      <c r="AL732" s="781"/>
      <c r="AM732" s="781"/>
      <c r="AN732" s="781"/>
      <c r="AO732" s="781"/>
      <c r="AP732" s="781"/>
      <c r="AQ732" s="781"/>
      <c r="AR732" s="781"/>
      <c r="AS732" s="781"/>
      <c r="AT732" s="781"/>
      <c r="AU732" s="781"/>
    </row>
    <row r="733" ht="15.75" customHeight="1">
      <c r="A733" s="795">
        <v>44536.0</v>
      </c>
      <c r="B733" s="783" t="s">
        <v>3041</v>
      </c>
      <c r="C733" s="797" t="s">
        <v>2547</v>
      </c>
      <c r="D733" s="772" t="s">
        <v>6346</v>
      </c>
      <c r="E733" s="798">
        <v>12000.0</v>
      </c>
      <c r="F733" s="772" t="s">
        <v>3040</v>
      </c>
      <c r="G733" s="782" t="s">
        <v>2550</v>
      </c>
      <c r="H733" s="782" t="s">
        <v>29</v>
      </c>
      <c r="I733" s="782" t="s">
        <v>2551</v>
      </c>
      <c r="J733" s="782">
        <v>43605.0</v>
      </c>
      <c r="K733" s="782" t="s">
        <v>3836</v>
      </c>
      <c r="L733" s="781"/>
      <c r="M733" s="781"/>
      <c r="N733" s="781"/>
      <c r="O733" s="781"/>
      <c r="P733" s="781"/>
      <c r="Q733" s="781"/>
      <c r="R733" s="781"/>
      <c r="S733" s="781"/>
      <c r="T733" s="781"/>
      <c r="U733" s="781"/>
      <c r="V733" s="781"/>
      <c r="W733" s="781"/>
      <c r="X733" s="781"/>
      <c r="Y733" s="781"/>
      <c r="Z733" s="781"/>
      <c r="AA733" s="781"/>
      <c r="AB733" s="781"/>
      <c r="AC733" s="781"/>
      <c r="AD733" s="781"/>
      <c r="AE733" s="781"/>
      <c r="AF733" s="781"/>
      <c r="AG733" s="781"/>
      <c r="AH733" s="781"/>
      <c r="AI733" s="781"/>
      <c r="AJ733" s="781"/>
      <c r="AK733" s="781"/>
      <c r="AL733" s="781"/>
      <c r="AM733" s="781"/>
      <c r="AN733" s="781"/>
      <c r="AO733" s="781"/>
      <c r="AP733" s="781"/>
      <c r="AQ733" s="781"/>
      <c r="AR733" s="781"/>
      <c r="AS733" s="781"/>
      <c r="AT733" s="781"/>
      <c r="AU733" s="781"/>
    </row>
    <row r="734" ht="15.75" customHeight="1">
      <c r="A734" s="795">
        <v>44537.0</v>
      </c>
      <c r="B734" s="796" t="s">
        <v>2654</v>
      </c>
      <c r="C734" s="797" t="s">
        <v>2547</v>
      </c>
      <c r="D734" s="772" t="s">
        <v>6346</v>
      </c>
      <c r="E734" s="798">
        <v>100000.0</v>
      </c>
      <c r="F734" s="772" t="s">
        <v>2653</v>
      </c>
      <c r="G734" s="782" t="s">
        <v>2550</v>
      </c>
      <c r="H734" s="782" t="s">
        <v>29</v>
      </c>
      <c r="I734" s="782" t="s">
        <v>2551</v>
      </c>
      <c r="J734" s="782">
        <v>43867.0</v>
      </c>
      <c r="K734" s="782" t="s">
        <v>3828</v>
      </c>
      <c r="L734" s="781"/>
      <c r="M734" s="781"/>
      <c r="N734" s="781"/>
      <c r="O734" s="781"/>
      <c r="P734" s="781"/>
      <c r="Q734" s="781"/>
      <c r="R734" s="781"/>
      <c r="S734" s="781"/>
      <c r="T734" s="781"/>
      <c r="U734" s="781"/>
      <c r="V734" s="781"/>
      <c r="W734" s="781"/>
      <c r="X734" s="781"/>
      <c r="Y734" s="781"/>
      <c r="Z734" s="781"/>
      <c r="AA734" s="781"/>
      <c r="AB734" s="781"/>
      <c r="AC734" s="781"/>
      <c r="AD734" s="781"/>
      <c r="AE734" s="781"/>
      <c r="AF734" s="781"/>
      <c r="AG734" s="781"/>
      <c r="AH734" s="781"/>
      <c r="AI734" s="781"/>
      <c r="AJ734" s="781"/>
      <c r="AK734" s="781"/>
      <c r="AL734" s="781"/>
      <c r="AM734" s="781"/>
      <c r="AN734" s="781"/>
      <c r="AO734" s="781"/>
      <c r="AP734" s="781"/>
      <c r="AQ734" s="781"/>
      <c r="AR734" s="781"/>
      <c r="AS734" s="781"/>
      <c r="AT734" s="781"/>
      <c r="AU734" s="781"/>
    </row>
    <row r="735" ht="15.75" customHeight="1">
      <c r="A735" s="795">
        <v>44537.0</v>
      </c>
      <c r="B735" s="796" t="s">
        <v>3507</v>
      </c>
      <c r="C735" s="797" t="s">
        <v>2547</v>
      </c>
      <c r="D735" s="772" t="s">
        <v>6346</v>
      </c>
      <c r="E735" s="798">
        <v>20000.0</v>
      </c>
      <c r="F735" s="772" t="s">
        <v>3506</v>
      </c>
      <c r="G735" s="782" t="s">
        <v>18</v>
      </c>
      <c r="H735" s="782" t="s">
        <v>176</v>
      </c>
      <c r="I735" s="782" t="s">
        <v>177</v>
      </c>
      <c r="J735" s="782">
        <v>44263.0</v>
      </c>
      <c r="K735" s="782" t="s">
        <v>3836</v>
      </c>
      <c r="L735" s="781"/>
      <c r="M735" s="781"/>
      <c r="N735" s="781"/>
      <c r="O735" s="781"/>
      <c r="P735" s="781"/>
      <c r="Q735" s="781"/>
      <c r="R735" s="781"/>
      <c r="S735" s="781"/>
      <c r="T735" s="781"/>
      <c r="U735" s="781"/>
      <c r="V735" s="781"/>
      <c r="W735" s="781"/>
      <c r="X735" s="781"/>
      <c r="Y735" s="781"/>
      <c r="Z735" s="781"/>
      <c r="AA735" s="781"/>
      <c r="AB735" s="781"/>
      <c r="AC735" s="781"/>
      <c r="AD735" s="781"/>
      <c r="AE735" s="781"/>
      <c r="AF735" s="781"/>
      <c r="AG735" s="781"/>
      <c r="AH735" s="781"/>
      <c r="AI735" s="781"/>
      <c r="AJ735" s="781"/>
      <c r="AK735" s="781"/>
      <c r="AL735" s="781"/>
      <c r="AM735" s="781"/>
      <c r="AN735" s="781"/>
      <c r="AO735" s="781"/>
      <c r="AP735" s="781"/>
      <c r="AQ735" s="781"/>
      <c r="AR735" s="781"/>
      <c r="AS735" s="781"/>
      <c r="AT735" s="781"/>
      <c r="AU735" s="781"/>
    </row>
    <row r="736" ht="15.75" customHeight="1">
      <c r="A736" s="795">
        <v>44537.0</v>
      </c>
      <c r="B736" s="796" t="s">
        <v>3409</v>
      </c>
      <c r="C736" s="797" t="s">
        <v>2547</v>
      </c>
      <c r="D736" s="772" t="s">
        <v>6346</v>
      </c>
      <c r="E736" s="798">
        <v>4000.0</v>
      </c>
      <c r="F736" s="772" t="s">
        <v>3408</v>
      </c>
      <c r="G736" s="782" t="s">
        <v>2550</v>
      </c>
      <c r="H736" s="782" t="s">
        <v>29</v>
      </c>
      <c r="I736" s="782" t="s">
        <v>2551</v>
      </c>
      <c r="J736" s="782">
        <v>43894.0</v>
      </c>
      <c r="K736" s="782" t="s">
        <v>3836</v>
      </c>
      <c r="L736" s="781"/>
      <c r="M736" s="781"/>
      <c r="N736" s="781"/>
      <c r="O736" s="781"/>
      <c r="P736" s="781"/>
      <c r="Q736" s="781"/>
      <c r="R736" s="781"/>
      <c r="S736" s="781"/>
      <c r="T736" s="781"/>
      <c r="U736" s="781"/>
      <c r="V736" s="781"/>
      <c r="W736" s="781"/>
      <c r="X736" s="781"/>
      <c r="Y736" s="781"/>
      <c r="Z736" s="781"/>
      <c r="AA736" s="781"/>
      <c r="AB736" s="781"/>
      <c r="AC736" s="781"/>
      <c r="AD736" s="781"/>
      <c r="AE736" s="781"/>
      <c r="AF736" s="781"/>
      <c r="AG736" s="781"/>
      <c r="AH736" s="781"/>
      <c r="AI736" s="781"/>
      <c r="AJ736" s="781"/>
      <c r="AK736" s="781"/>
      <c r="AL736" s="781"/>
      <c r="AM736" s="781"/>
      <c r="AN736" s="781"/>
      <c r="AO736" s="781"/>
      <c r="AP736" s="781"/>
      <c r="AQ736" s="781"/>
      <c r="AR736" s="781"/>
      <c r="AS736" s="781"/>
      <c r="AT736" s="781"/>
      <c r="AU736" s="781"/>
    </row>
    <row r="737" ht="15.75" customHeight="1">
      <c r="A737" s="795">
        <v>44537.0</v>
      </c>
      <c r="B737" s="832" t="s">
        <v>6420</v>
      </c>
      <c r="C737" s="797" t="s">
        <v>3820</v>
      </c>
      <c r="D737" s="772" t="s">
        <v>6345</v>
      </c>
      <c r="E737" s="798">
        <v>165996.78</v>
      </c>
      <c r="F737" s="772" t="s">
        <v>4737</v>
      </c>
      <c r="G737" s="772" t="s">
        <v>105</v>
      </c>
      <c r="H737" s="772" t="s">
        <v>29</v>
      </c>
      <c r="I737" s="818" t="s">
        <v>4738</v>
      </c>
      <c r="J737" s="782">
        <v>44130.0</v>
      </c>
      <c r="K737" s="789" t="s">
        <v>3828</v>
      </c>
      <c r="L737" s="781"/>
      <c r="M737" s="781"/>
      <c r="N737" s="781"/>
      <c r="O737" s="781"/>
      <c r="P737" s="781"/>
      <c r="Q737" s="781"/>
      <c r="R737" s="781"/>
      <c r="S737" s="781"/>
      <c r="T737" s="781"/>
      <c r="U737" s="781"/>
      <c r="V737" s="781"/>
      <c r="W737" s="781"/>
      <c r="X737" s="781"/>
      <c r="Y737" s="781"/>
      <c r="Z737" s="781"/>
      <c r="AA737" s="781"/>
      <c r="AB737" s="781"/>
      <c r="AC737" s="781"/>
      <c r="AD737" s="781"/>
      <c r="AE737" s="781"/>
      <c r="AF737" s="781"/>
      <c r="AG737" s="781"/>
      <c r="AH737" s="781"/>
      <c r="AI737" s="781"/>
      <c r="AJ737" s="781"/>
      <c r="AK737" s="781"/>
      <c r="AL737" s="781"/>
      <c r="AM737" s="781"/>
      <c r="AN737" s="781"/>
      <c r="AO737" s="781"/>
      <c r="AP737" s="781"/>
      <c r="AQ737" s="781"/>
      <c r="AR737" s="781"/>
      <c r="AS737" s="781"/>
      <c r="AT737" s="781"/>
      <c r="AU737" s="781"/>
    </row>
    <row r="738" ht="15.75" customHeight="1">
      <c r="A738" s="795">
        <v>44537.0</v>
      </c>
      <c r="B738" s="832" t="s">
        <v>6460</v>
      </c>
      <c r="C738" s="797" t="s">
        <v>3820</v>
      </c>
      <c r="D738" s="772" t="s">
        <v>6345</v>
      </c>
      <c r="E738" s="798">
        <v>2049.55</v>
      </c>
      <c r="F738" s="772" t="s">
        <v>4276</v>
      </c>
      <c r="G738" s="772" t="s">
        <v>105</v>
      </c>
      <c r="H738" s="772" t="s">
        <v>29</v>
      </c>
      <c r="I738" s="772" t="s">
        <v>3878</v>
      </c>
      <c r="J738" s="782">
        <v>44075.0</v>
      </c>
      <c r="K738" s="772" t="s">
        <v>3824</v>
      </c>
      <c r="L738" s="781"/>
      <c r="M738" s="781"/>
      <c r="N738" s="781"/>
      <c r="O738" s="781"/>
      <c r="P738" s="781"/>
      <c r="Q738" s="781"/>
      <c r="R738" s="781"/>
      <c r="S738" s="781"/>
      <c r="T738" s="781"/>
      <c r="U738" s="781"/>
      <c r="V738" s="781"/>
      <c r="W738" s="781"/>
      <c r="X738" s="781"/>
      <c r="Y738" s="781"/>
      <c r="Z738" s="781"/>
      <c r="AA738" s="781"/>
      <c r="AB738" s="781"/>
      <c r="AC738" s="781"/>
      <c r="AD738" s="781"/>
      <c r="AE738" s="781"/>
      <c r="AF738" s="781"/>
      <c r="AG738" s="781"/>
      <c r="AH738" s="781"/>
      <c r="AI738" s="781"/>
      <c r="AJ738" s="781"/>
      <c r="AK738" s="781"/>
      <c r="AL738" s="781"/>
      <c r="AM738" s="781"/>
      <c r="AN738" s="781"/>
      <c r="AO738" s="781"/>
      <c r="AP738" s="781"/>
      <c r="AQ738" s="781"/>
      <c r="AR738" s="781"/>
      <c r="AS738" s="781"/>
      <c r="AT738" s="781"/>
      <c r="AU738" s="781"/>
    </row>
    <row r="739" ht="15.75" customHeight="1">
      <c r="A739" s="795">
        <v>44538.0</v>
      </c>
      <c r="B739" s="843">
        <v>6549214.0</v>
      </c>
      <c r="C739" s="797" t="s">
        <v>3820</v>
      </c>
      <c r="D739" s="772" t="s">
        <v>6346</v>
      </c>
      <c r="E739" s="798">
        <v>24469.7</v>
      </c>
      <c r="F739" s="772" t="s">
        <v>4789</v>
      </c>
      <c r="G739" s="782" t="s">
        <v>18</v>
      </c>
      <c r="H739" s="782" t="s">
        <v>19</v>
      </c>
      <c r="I739" s="782" t="s">
        <v>4152</v>
      </c>
      <c r="J739" s="782">
        <v>44487.0</v>
      </c>
      <c r="K739" s="782" t="s">
        <v>3828</v>
      </c>
      <c r="L739" s="781"/>
      <c r="M739" s="781"/>
      <c r="N739" s="781"/>
      <c r="O739" s="781"/>
      <c r="P739" s="781"/>
      <c r="Q739" s="781"/>
      <c r="R739" s="781"/>
      <c r="S739" s="781"/>
      <c r="T739" s="781"/>
      <c r="U739" s="781"/>
      <c r="V739" s="781"/>
      <c r="W739" s="781"/>
      <c r="X739" s="781"/>
      <c r="Y739" s="781"/>
      <c r="Z739" s="781"/>
      <c r="AA739" s="781"/>
      <c r="AB739" s="781"/>
      <c r="AC739" s="781"/>
      <c r="AD739" s="781"/>
      <c r="AE739" s="781"/>
      <c r="AF739" s="781"/>
      <c r="AG739" s="781"/>
      <c r="AH739" s="781"/>
      <c r="AI739" s="781"/>
      <c r="AJ739" s="781"/>
      <c r="AK739" s="781"/>
      <c r="AL739" s="781"/>
      <c r="AM739" s="781"/>
      <c r="AN739" s="781"/>
      <c r="AO739" s="781"/>
      <c r="AP739" s="781"/>
      <c r="AQ739" s="781"/>
      <c r="AR739" s="781"/>
      <c r="AS739" s="781"/>
      <c r="AT739" s="781"/>
      <c r="AU739" s="781"/>
    </row>
    <row r="740" ht="15.75" customHeight="1">
      <c r="A740" s="795">
        <v>44540.0</v>
      </c>
      <c r="B740" s="796" t="s">
        <v>3059</v>
      </c>
      <c r="C740" s="797" t="s">
        <v>2547</v>
      </c>
      <c r="D740" s="772" t="s">
        <v>6346</v>
      </c>
      <c r="E740" s="798">
        <v>10000.0</v>
      </c>
      <c r="F740" s="772" t="s">
        <v>3058</v>
      </c>
      <c r="G740" s="782" t="s">
        <v>18</v>
      </c>
      <c r="H740" s="782" t="s">
        <v>176</v>
      </c>
      <c r="I740" s="782" t="s">
        <v>2634</v>
      </c>
      <c r="J740" s="782">
        <v>44266.0</v>
      </c>
      <c r="K740" s="782" t="s">
        <v>3836</v>
      </c>
      <c r="L740" s="781"/>
      <c r="M740" s="781"/>
      <c r="N740" s="781"/>
      <c r="O740" s="781"/>
      <c r="P740" s="781"/>
      <c r="Q740" s="781"/>
      <c r="R740" s="781"/>
      <c r="S740" s="781"/>
      <c r="T740" s="781"/>
      <c r="U740" s="781"/>
      <c r="V740" s="781"/>
      <c r="W740" s="781"/>
      <c r="X740" s="781"/>
      <c r="Y740" s="781"/>
      <c r="Z740" s="781"/>
      <c r="AA740" s="781"/>
      <c r="AB740" s="781"/>
      <c r="AC740" s="781"/>
      <c r="AD740" s="781"/>
      <c r="AE740" s="781"/>
      <c r="AF740" s="781"/>
      <c r="AG740" s="781"/>
      <c r="AH740" s="781"/>
      <c r="AI740" s="781"/>
      <c r="AJ740" s="781"/>
      <c r="AK740" s="781"/>
      <c r="AL740" s="781"/>
      <c r="AM740" s="781"/>
      <c r="AN740" s="781"/>
      <c r="AO740" s="781"/>
      <c r="AP740" s="781"/>
      <c r="AQ740" s="781"/>
      <c r="AR740" s="781"/>
      <c r="AS740" s="781"/>
      <c r="AT740" s="781"/>
      <c r="AU740" s="781"/>
    </row>
    <row r="741" ht="15.75" customHeight="1">
      <c r="A741" s="795">
        <v>44543.0</v>
      </c>
      <c r="B741" s="832" t="s">
        <v>6473</v>
      </c>
      <c r="C741" s="797" t="s">
        <v>3820</v>
      </c>
      <c r="D741" s="772" t="s">
        <v>6345</v>
      </c>
      <c r="E741" s="798">
        <v>79069.9</v>
      </c>
      <c r="F741" s="772" t="s">
        <v>3353</v>
      </c>
      <c r="G741" s="772" t="s">
        <v>2550</v>
      </c>
      <c r="H741" s="772" t="s">
        <v>29</v>
      </c>
      <c r="I741" s="772" t="s">
        <v>2550</v>
      </c>
      <c r="J741" s="782">
        <v>44151.0</v>
      </c>
      <c r="K741" s="772" t="s">
        <v>3828</v>
      </c>
      <c r="L741" s="781"/>
      <c r="M741" s="781"/>
      <c r="N741" s="781"/>
      <c r="O741" s="781"/>
      <c r="P741" s="781"/>
      <c r="Q741" s="781"/>
      <c r="R741" s="781"/>
      <c r="S741" s="781"/>
      <c r="T741" s="781"/>
      <c r="U741" s="781"/>
      <c r="V741" s="781"/>
      <c r="W741" s="781"/>
      <c r="X741" s="781"/>
      <c r="Y741" s="781"/>
      <c r="Z741" s="781"/>
      <c r="AA741" s="781"/>
      <c r="AB741" s="781"/>
      <c r="AC741" s="781"/>
      <c r="AD741" s="781"/>
      <c r="AE741" s="781"/>
      <c r="AF741" s="781"/>
      <c r="AG741" s="781"/>
      <c r="AH741" s="781"/>
      <c r="AI741" s="781"/>
      <c r="AJ741" s="781"/>
      <c r="AK741" s="781"/>
      <c r="AL741" s="781"/>
      <c r="AM741" s="781"/>
      <c r="AN741" s="781"/>
      <c r="AO741" s="781"/>
      <c r="AP741" s="781"/>
      <c r="AQ741" s="781"/>
      <c r="AR741" s="781"/>
      <c r="AS741" s="781"/>
      <c r="AT741" s="781"/>
      <c r="AU741" s="781"/>
    </row>
    <row r="742" ht="15.75" customHeight="1">
      <c r="A742" s="795">
        <v>44543.0</v>
      </c>
      <c r="B742" s="796" t="s">
        <v>3094</v>
      </c>
      <c r="C742" s="797" t="s">
        <v>2547</v>
      </c>
      <c r="D742" s="772" t="s">
        <v>6346</v>
      </c>
      <c r="E742" s="798">
        <v>104000.0</v>
      </c>
      <c r="F742" s="772" t="s">
        <v>3093</v>
      </c>
      <c r="G742" s="782" t="s">
        <v>18</v>
      </c>
      <c r="H742" s="782" t="s">
        <v>176</v>
      </c>
      <c r="I742" s="782" t="s">
        <v>177</v>
      </c>
      <c r="J742" s="782">
        <v>44263.0</v>
      </c>
      <c r="K742" s="782" t="s">
        <v>3828</v>
      </c>
      <c r="L742" s="781"/>
      <c r="M742" s="781"/>
      <c r="N742" s="781"/>
      <c r="O742" s="781"/>
      <c r="P742" s="781"/>
      <c r="Q742" s="781"/>
      <c r="R742" s="781"/>
      <c r="S742" s="781"/>
      <c r="T742" s="781"/>
      <c r="U742" s="781"/>
      <c r="V742" s="781"/>
      <c r="W742" s="781"/>
      <c r="X742" s="781"/>
      <c r="Y742" s="781"/>
      <c r="Z742" s="781"/>
      <c r="AA742" s="781"/>
      <c r="AB742" s="781"/>
      <c r="AC742" s="781"/>
      <c r="AD742" s="781"/>
      <c r="AE742" s="781"/>
      <c r="AF742" s="781"/>
      <c r="AG742" s="781"/>
      <c r="AH742" s="781"/>
      <c r="AI742" s="781"/>
      <c r="AJ742" s="781"/>
      <c r="AK742" s="781"/>
      <c r="AL742" s="781"/>
      <c r="AM742" s="781"/>
      <c r="AN742" s="781"/>
      <c r="AO742" s="781"/>
      <c r="AP742" s="781"/>
      <c r="AQ742" s="781"/>
      <c r="AR742" s="781"/>
      <c r="AS742" s="781"/>
      <c r="AT742" s="781"/>
      <c r="AU742" s="781"/>
    </row>
    <row r="743" ht="15.75" customHeight="1">
      <c r="A743" s="795">
        <v>44544.0</v>
      </c>
      <c r="B743" s="796" t="s">
        <v>6489</v>
      </c>
      <c r="C743" s="797" t="s">
        <v>3820</v>
      </c>
      <c r="D743" s="772" t="s">
        <v>1481</v>
      </c>
      <c r="E743" s="798">
        <v>47268.23</v>
      </c>
      <c r="F743" s="772" t="s">
        <v>4818</v>
      </c>
      <c r="G743" s="772" t="s">
        <v>2550</v>
      </c>
      <c r="H743" s="772" t="s">
        <v>29</v>
      </c>
      <c r="I743" s="772" t="s">
        <v>2550</v>
      </c>
      <c r="J743" s="782">
        <v>44734.0</v>
      </c>
      <c r="K743" s="772" t="s">
        <v>3828</v>
      </c>
      <c r="L743" s="781"/>
      <c r="M743" s="781"/>
      <c r="N743" s="781"/>
      <c r="O743" s="781"/>
      <c r="P743" s="781"/>
      <c r="Q743" s="781"/>
      <c r="R743" s="781"/>
      <c r="S743" s="781"/>
      <c r="T743" s="781"/>
      <c r="U743" s="781"/>
      <c r="V743" s="781"/>
      <c r="W743" s="781"/>
      <c r="X743" s="781"/>
      <c r="Y743" s="781"/>
      <c r="Z743" s="781"/>
      <c r="AA743" s="781"/>
      <c r="AB743" s="781"/>
      <c r="AC743" s="781"/>
      <c r="AD743" s="781"/>
      <c r="AE743" s="781"/>
      <c r="AF743" s="781"/>
      <c r="AG743" s="781"/>
      <c r="AH743" s="781"/>
      <c r="AI743" s="781"/>
      <c r="AJ743" s="781"/>
      <c r="AK743" s="781"/>
      <c r="AL743" s="781"/>
      <c r="AM743" s="781"/>
      <c r="AN743" s="781"/>
      <c r="AO743" s="781"/>
      <c r="AP743" s="781"/>
      <c r="AQ743" s="781"/>
      <c r="AR743" s="781"/>
      <c r="AS743" s="781"/>
      <c r="AT743" s="781"/>
      <c r="AU743" s="781"/>
    </row>
    <row r="744" ht="15.75" customHeight="1">
      <c r="A744" s="795">
        <v>44544.0</v>
      </c>
      <c r="B744" s="834" t="s">
        <v>6372</v>
      </c>
      <c r="C744" s="797" t="s">
        <v>3820</v>
      </c>
      <c r="D744" s="772" t="s">
        <v>6346</v>
      </c>
      <c r="E744" s="798">
        <v>5000.0</v>
      </c>
      <c r="F744" s="772" t="s">
        <v>3882</v>
      </c>
      <c r="G744" s="772" t="s">
        <v>2550</v>
      </c>
      <c r="H744" s="772" t="s">
        <v>29</v>
      </c>
      <c r="I744" s="772" t="s">
        <v>2550</v>
      </c>
      <c r="J744" s="782">
        <v>44180.0</v>
      </c>
      <c r="K744" s="772" t="s">
        <v>3828</v>
      </c>
      <c r="L744" s="781"/>
      <c r="M744" s="781"/>
      <c r="N744" s="781"/>
      <c r="O744" s="781"/>
      <c r="P744" s="781"/>
      <c r="Q744" s="781"/>
      <c r="R744" s="781"/>
      <c r="S744" s="781"/>
      <c r="T744" s="781"/>
      <c r="U744" s="781"/>
      <c r="V744" s="781"/>
      <c r="W744" s="781"/>
      <c r="X744" s="781"/>
      <c r="Y744" s="781"/>
      <c r="Z744" s="781"/>
      <c r="AA744" s="781"/>
      <c r="AB744" s="781"/>
      <c r="AC744" s="781"/>
      <c r="AD744" s="781"/>
      <c r="AE744" s="781"/>
      <c r="AF744" s="781"/>
      <c r="AG744" s="781"/>
      <c r="AH744" s="781"/>
      <c r="AI744" s="781"/>
      <c r="AJ744" s="781"/>
      <c r="AK744" s="781"/>
      <c r="AL744" s="781"/>
      <c r="AM744" s="781"/>
      <c r="AN744" s="781"/>
      <c r="AO744" s="781"/>
      <c r="AP744" s="781"/>
      <c r="AQ744" s="781"/>
      <c r="AR744" s="781"/>
      <c r="AS744" s="781"/>
      <c r="AT744" s="781"/>
      <c r="AU744" s="781"/>
    </row>
    <row r="745" ht="15.75" customHeight="1">
      <c r="A745" s="795">
        <v>44544.0</v>
      </c>
      <c r="B745" s="796" t="s">
        <v>3091</v>
      </c>
      <c r="C745" s="797" t="s">
        <v>2547</v>
      </c>
      <c r="D745" s="772" t="s">
        <v>6346</v>
      </c>
      <c r="E745" s="798">
        <v>5000.0</v>
      </c>
      <c r="F745" s="772" t="s">
        <v>3090</v>
      </c>
      <c r="G745" s="782" t="s">
        <v>18</v>
      </c>
      <c r="H745" s="782" t="s">
        <v>176</v>
      </c>
      <c r="I745" s="782" t="s">
        <v>177</v>
      </c>
      <c r="J745" s="782">
        <v>44295.0</v>
      </c>
      <c r="K745" s="782" t="s">
        <v>3834</v>
      </c>
      <c r="L745" s="781"/>
      <c r="M745" s="781"/>
      <c r="N745" s="781"/>
      <c r="O745" s="781"/>
      <c r="P745" s="781"/>
      <c r="Q745" s="781"/>
      <c r="R745" s="781"/>
      <c r="S745" s="781"/>
      <c r="T745" s="781"/>
      <c r="U745" s="781"/>
      <c r="V745" s="781"/>
      <c r="W745" s="781"/>
      <c r="X745" s="781"/>
      <c r="Y745" s="781"/>
      <c r="Z745" s="781"/>
      <c r="AA745" s="781"/>
      <c r="AB745" s="781"/>
      <c r="AC745" s="781"/>
      <c r="AD745" s="781"/>
      <c r="AE745" s="781"/>
      <c r="AF745" s="781"/>
      <c r="AG745" s="781"/>
      <c r="AH745" s="781"/>
      <c r="AI745" s="781"/>
      <c r="AJ745" s="781"/>
      <c r="AK745" s="781"/>
      <c r="AL745" s="781"/>
      <c r="AM745" s="781"/>
      <c r="AN745" s="781"/>
      <c r="AO745" s="781"/>
      <c r="AP745" s="781"/>
      <c r="AQ745" s="781"/>
      <c r="AR745" s="781"/>
      <c r="AS745" s="781"/>
      <c r="AT745" s="781"/>
      <c r="AU745" s="781"/>
    </row>
    <row r="746" ht="15.75" customHeight="1">
      <c r="A746" s="795">
        <v>44545.0</v>
      </c>
      <c r="B746" s="800" t="s">
        <v>6368</v>
      </c>
      <c r="C746" s="797" t="s">
        <v>3820</v>
      </c>
      <c r="D746" s="772" t="s">
        <v>6346</v>
      </c>
      <c r="E746" s="798">
        <v>5000.0</v>
      </c>
      <c r="F746" s="772" t="s">
        <v>6490</v>
      </c>
      <c r="G746" s="761" t="s">
        <v>105</v>
      </c>
      <c r="H746" s="840" t="s">
        <v>29</v>
      </c>
      <c r="I746" s="840" t="s">
        <v>3887</v>
      </c>
      <c r="J746" s="841">
        <v>44263.0</v>
      </c>
      <c r="K746" s="772" t="s">
        <v>3828</v>
      </c>
      <c r="L746" s="781"/>
      <c r="M746" s="781"/>
      <c r="N746" s="781"/>
      <c r="O746" s="781"/>
      <c r="P746" s="781"/>
      <c r="Q746" s="781"/>
      <c r="R746" s="781"/>
      <c r="S746" s="781"/>
      <c r="T746" s="781"/>
      <c r="U746" s="781"/>
      <c r="V746" s="781"/>
      <c r="W746" s="781"/>
      <c r="X746" s="781"/>
      <c r="Y746" s="781"/>
      <c r="Z746" s="781"/>
      <c r="AA746" s="781"/>
      <c r="AB746" s="781"/>
      <c r="AC746" s="781"/>
      <c r="AD746" s="781"/>
      <c r="AE746" s="781"/>
      <c r="AF746" s="781"/>
      <c r="AG746" s="781"/>
      <c r="AH746" s="781"/>
      <c r="AI746" s="781"/>
      <c r="AJ746" s="781"/>
      <c r="AK746" s="781"/>
      <c r="AL746" s="781"/>
      <c r="AM746" s="781"/>
      <c r="AN746" s="781"/>
      <c r="AO746" s="781"/>
      <c r="AP746" s="781"/>
      <c r="AQ746" s="781"/>
      <c r="AR746" s="781"/>
      <c r="AS746" s="781"/>
      <c r="AT746" s="781"/>
      <c r="AU746" s="781"/>
    </row>
    <row r="747" ht="15.75" customHeight="1">
      <c r="A747" s="795">
        <v>44545.0</v>
      </c>
      <c r="B747" s="833" t="s">
        <v>6491</v>
      </c>
      <c r="C747" s="797" t="s">
        <v>3820</v>
      </c>
      <c r="D747" s="772" t="s">
        <v>6345</v>
      </c>
      <c r="E747" s="798">
        <v>110068.61</v>
      </c>
      <c r="F747" s="772" t="s">
        <v>4920</v>
      </c>
      <c r="G747" s="772" t="s">
        <v>18</v>
      </c>
      <c r="H747" s="772" t="s">
        <v>19</v>
      </c>
      <c r="I747" s="772" t="s">
        <v>256</v>
      </c>
      <c r="J747" s="782">
        <v>44369.0</v>
      </c>
      <c r="K747" s="772" t="s">
        <v>3840</v>
      </c>
      <c r="L747" s="781"/>
      <c r="M747" s="781"/>
      <c r="N747" s="781"/>
      <c r="O747" s="781"/>
      <c r="P747" s="781"/>
      <c r="Q747" s="781"/>
      <c r="R747" s="781"/>
      <c r="S747" s="781"/>
      <c r="T747" s="781"/>
      <c r="U747" s="781"/>
      <c r="V747" s="781"/>
      <c r="W747" s="781"/>
      <c r="X747" s="781"/>
      <c r="Y747" s="781"/>
      <c r="Z747" s="781"/>
      <c r="AA747" s="781"/>
      <c r="AB747" s="781"/>
      <c r="AC747" s="781"/>
      <c r="AD747" s="781"/>
      <c r="AE747" s="781"/>
      <c r="AF747" s="781"/>
      <c r="AG747" s="781"/>
      <c r="AH747" s="781"/>
      <c r="AI747" s="781"/>
      <c r="AJ747" s="781"/>
      <c r="AK747" s="781"/>
      <c r="AL747" s="781"/>
      <c r="AM747" s="781"/>
      <c r="AN747" s="781"/>
      <c r="AO747" s="781"/>
      <c r="AP747" s="781"/>
      <c r="AQ747" s="781"/>
      <c r="AR747" s="781"/>
      <c r="AS747" s="781"/>
      <c r="AT747" s="781"/>
      <c r="AU747" s="781"/>
    </row>
    <row r="748" ht="15.75" customHeight="1">
      <c r="A748" s="795">
        <v>44545.0</v>
      </c>
      <c r="B748" s="796" t="s">
        <v>3125</v>
      </c>
      <c r="C748" s="797" t="s">
        <v>2547</v>
      </c>
      <c r="D748" s="772" t="s">
        <v>6346</v>
      </c>
      <c r="E748" s="798">
        <v>114749.72</v>
      </c>
      <c r="F748" s="772" t="s">
        <v>3124</v>
      </c>
      <c r="G748" s="782" t="s">
        <v>18</v>
      </c>
      <c r="H748" s="782" t="s">
        <v>176</v>
      </c>
      <c r="I748" s="782" t="s">
        <v>197</v>
      </c>
      <c r="J748" s="782">
        <v>44321.0</v>
      </c>
      <c r="K748" s="782" t="s">
        <v>3824</v>
      </c>
      <c r="L748" s="781"/>
      <c r="M748" s="781"/>
      <c r="N748" s="781"/>
      <c r="O748" s="781"/>
      <c r="P748" s="781"/>
      <c r="Q748" s="781"/>
      <c r="R748" s="781"/>
      <c r="S748" s="781"/>
      <c r="T748" s="781"/>
      <c r="U748" s="781"/>
      <c r="V748" s="781"/>
      <c r="W748" s="781"/>
      <c r="X748" s="781"/>
      <c r="Y748" s="781"/>
      <c r="Z748" s="781"/>
      <c r="AA748" s="781"/>
      <c r="AB748" s="781"/>
      <c r="AC748" s="781"/>
      <c r="AD748" s="781"/>
      <c r="AE748" s="781"/>
      <c r="AF748" s="781"/>
      <c r="AG748" s="781"/>
      <c r="AH748" s="781"/>
      <c r="AI748" s="781"/>
      <c r="AJ748" s="781"/>
      <c r="AK748" s="781"/>
      <c r="AL748" s="781"/>
      <c r="AM748" s="781"/>
      <c r="AN748" s="781"/>
      <c r="AO748" s="781"/>
      <c r="AP748" s="781"/>
      <c r="AQ748" s="781"/>
      <c r="AR748" s="781"/>
      <c r="AS748" s="781"/>
      <c r="AT748" s="781"/>
      <c r="AU748" s="781"/>
    </row>
    <row r="749" ht="15.75" customHeight="1">
      <c r="A749" s="795">
        <v>44545.0</v>
      </c>
      <c r="B749" s="796" t="s">
        <v>3412</v>
      </c>
      <c r="C749" s="797" t="s">
        <v>2547</v>
      </c>
      <c r="D749" s="772" t="s">
        <v>6346</v>
      </c>
      <c r="E749" s="798">
        <v>30000.0</v>
      </c>
      <c r="F749" s="772" t="s">
        <v>3411</v>
      </c>
      <c r="G749" s="782" t="s">
        <v>18</v>
      </c>
      <c r="H749" s="782" t="s">
        <v>176</v>
      </c>
      <c r="I749" s="782" t="s">
        <v>197</v>
      </c>
      <c r="J749" s="782">
        <v>44279.0</v>
      </c>
      <c r="K749" s="782" t="s">
        <v>3828</v>
      </c>
      <c r="L749" s="781"/>
      <c r="M749" s="781"/>
      <c r="N749" s="781"/>
      <c r="O749" s="781"/>
      <c r="P749" s="781"/>
      <c r="Q749" s="781"/>
      <c r="R749" s="781"/>
      <c r="S749" s="781"/>
      <c r="T749" s="781"/>
      <c r="U749" s="781"/>
      <c r="V749" s="781"/>
      <c r="W749" s="781"/>
      <c r="X749" s="781"/>
      <c r="Y749" s="781"/>
      <c r="Z749" s="781"/>
      <c r="AA749" s="781"/>
      <c r="AB749" s="781"/>
      <c r="AC749" s="781"/>
      <c r="AD749" s="781"/>
      <c r="AE749" s="781"/>
      <c r="AF749" s="781"/>
      <c r="AG749" s="781"/>
      <c r="AH749" s="781"/>
      <c r="AI749" s="781"/>
      <c r="AJ749" s="781"/>
      <c r="AK749" s="781"/>
      <c r="AL749" s="781"/>
      <c r="AM749" s="781"/>
      <c r="AN749" s="781"/>
      <c r="AO749" s="781"/>
      <c r="AP749" s="781"/>
      <c r="AQ749" s="781"/>
      <c r="AR749" s="781"/>
      <c r="AS749" s="781"/>
      <c r="AT749" s="781"/>
      <c r="AU749" s="781"/>
    </row>
    <row r="750" ht="15.75" customHeight="1">
      <c r="A750" s="795">
        <v>44545.0</v>
      </c>
      <c r="B750" s="836" t="s">
        <v>2793</v>
      </c>
      <c r="C750" s="797" t="s">
        <v>2547</v>
      </c>
      <c r="D750" s="772" t="s">
        <v>6345</v>
      </c>
      <c r="E750" s="798">
        <v>240263.39</v>
      </c>
      <c r="F750" s="772" t="s">
        <v>2792</v>
      </c>
      <c r="G750" s="782" t="s">
        <v>2550</v>
      </c>
      <c r="H750" s="782" t="s">
        <v>29</v>
      </c>
      <c r="I750" s="782" t="s">
        <v>2551</v>
      </c>
      <c r="J750" s="782">
        <v>43822.0</v>
      </c>
      <c r="K750" s="782" t="s">
        <v>3836</v>
      </c>
      <c r="L750" s="781"/>
      <c r="M750" s="781"/>
      <c r="N750" s="781"/>
      <c r="O750" s="781"/>
      <c r="P750" s="781"/>
      <c r="Q750" s="781"/>
      <c r="R750" s="781"/>
      <c r="S750" s="781"/>
      <c r="T750" s="781"/>
      <c r="U750" s="781"/>
      <c r="V750" s="781"/>
      <c r="W750" s="781"/>
      <c r="X750" s="781"/>
      <c r="Y750" s="781"/>
      <c r="Z750" s="781"/>
      <c r="AA750" s="781"/>
      <c r="AB750" s="781"/>
      <c r="AC750" s="781"/>
      <c r="AD750" s="781"/>
      <c r="AE750" s="781"/>
      <c r="AF750" s="781"/>
      <c r="AG750" s="781"/>
      <c r="AH750" s="781"/>
      <c r="AI750" s="781"/>
      <c r="AJ750" s="781"/>
      <c r="AK750" s="781"/>
      <c r="AL750" s="781"/>
      <c r="AM750" s="781"/>
      <c r="AN750" s="781"/>
      <c r="AO750" s="781"/>
      <c r="AP750" s="781"/>
      <c r="AQ750" s="781"/>
      <c r="AR750" s="781"/>
      <c r="AS750" s="781"/>
      <c r="AT750" s="781"/>
      <c r="AU750" s="781"/>
    </row>
    <row r="751" ht="15.75" customHeight="1">
      <c r="A751" s="795">
        <v>44546.0</v>
      </c>
      <c r="B751" s="783" t="s">
        <v>3041</v>
      </c>
      <c r="C751" s="797" t="s">
        <v>2547</v>
      </c>
      <c r="D751" s="772" t="s">
        <v>6346</v>
      </c>
      <c r="E751" s="798">
        <v>5000.0</v>
      </c>
      <c r="F751" s="772" t="s">
        <v>3040</v>
      </c>
      <c r="G751" s="782" t="s">
        <v>2550</v>
      </c>
      <c r="H751" s="782" t="s">
        <v>29</v>
      </c>
      <c r="I751" s="782" t="s">
        <v>2551</v>
      </c>
      <c r="J751" s="782">
        <v>43605.0</v>
      </c>
      <c r="K751" s="782" t="s">
        <v>3836</v>
      </c>
      <c r="L751" s="781"/>
      <c r="M751" s="781"/>
      <c r="N751" s="781"/>
      <c r="O751" s="781"/>
      <c r="P751" s="781"/>
      <c r="Q751" s="781"/>
      <c r="R751" s="781"/>
      <c r="S751" s="781"/>
      <c r="T751" s="781"/>
      <c r="U751" s="781"/>
      <c r="V751" s="781"/>
      <c r="W751" s="781"/>
      <c r="X751" s="781"/>
      <c r="Y751" s="781"/>
      <c r="Z751" s="781"/>
      <c r="AA751" s="781"/>
      <c r="AB751" s="781"/>
      <c r="AC751" s="781"/>
      <c r="AD751" s="781"/>
      <c r="AE751" s="781"/>
      <c r="AF751" s="781"/>
      <c r="AG751" s="781"/>
      <c r="AH751" s="781"/>
      <c r="AI751" s="781"/>
      <c r="AJ751" s="781"/>
      <c r="AK751" s="781"/>
      <c r="AL751" s="781"/>
      <c r="AM751" s="781"/>
      <c r="AN751" s="781"/>
      <c r="AO751" s="781"/>
      <c r="AP751" s="781"/>
      <c r="AQ751" s="781"/>
      <c r="AR751" s="781"/>
      <c r="AS751" s="781"/>
      <c r="AT751" s="781"/>
      <c r="AU751" s="781"/>
    </row>
    <row r="752" ht="15.75" customHeight="1">
      <c r="A752" s="795">
        <v>44547.0</v>
      </c>
      <c r="B752" s="796" t="s">
        <v>3048</v>
      </c>
      <c r="C752" s="797" t="s">
        <v>2547</v>
      </c>
      <c r="D752" s="772" t="s">
        <v>6346</v>
      </c>
      <c r="E752" s="798">
        <v>5000.0</v>
      </c>
      <c r="F752" s="772" t="s">
        <v>1242</v>
      </c>
      <c r="G752" s="782" t="s">
        <v>18</v>
      </c>
      <c r="H752" s="782" t="s">
        <v>176</v>
      </c>
      <c r="I752" s="782" t="s">
        <v>177</v>
      </c>
      <c r="J752" s="782">
        <v>44280.0</v>
      </c>
      <c r="K752" s="782" t="s">
        <v>3834</v>
      </c>
      <c r="L752" s="781"/>
      <c r="M752" s="781"/>
      <c r="N752" s="781"/>
      <c r="O752" s="781"/>
      <c r="P752" s="781"/>
      <c r="Q752" s="781"/>
      <c r="R752" s="781"/>
      <c r="S752" s="781"/>
      <c r="T752" s="781"/>
      <c r="U752" s="781"/>
      <c r="V752" s="781"/>
      <c r="W752" s="781"/>
      <c r="X752" s="781"/>
      <c r="Y752" s="781"/>
      <c r="Z752" s="781"/>
      <c r="AA752" s="781"/>
      <c r="AB752" s="781"/>
      <c r="AC752" s="781"/>
      <c r="AD752" s="781"/>
      <c r="AE752" s="781"/>
      <c r="AF752" s="781"/>
      <c r="AG752" s="781"/>
      <c r="AH752" s="781"/>
      <c r="AI752" s="781"/>
      <c r="AJ752" s="781"/>
      <c r="AK752" s="781"/>
      <c r="AL752" s="781"/>
      <c r="AM752" s="781"/>
      <c r="AN752" s="781"/>
      <c r="AO752" s="781"/>
      <c r="AP752" s="781"/>
      <c r="AQ752" s="781"/>
      <c r="AR752" s="781"/>
      <c r="AS752" s="781"/>
      <c r="AT752" s="781"/>
      <c r="AU752" s="781"/>
    </row>
    <row r="753" ht="15.75" customHeight="1">
      <c r="A753" s="795">
        <v>44551.0</v>
      </c>
      <c r="B753" s="836" t="s">
        <v>2654</v>
      </c>
      <c r="C753" s="797" t="s">
        <v>2547</v>
      </c>
      <c r="D753" s="772" t="s">
        <v>6345</v>
      </c>
      <c r="E753" s="798">
        <v>840387.52</v>
      </c>
      <c r="F753" s="772" t="s">
        <v>2653</v>
      </c>
      <c r="G753" s="782" t="s">
        <v>2550</v>
      </c>
      <c r="H753" s="782" t="s">
        <v>29</v>
      </c>
      <c r="I753" s="782" t="s">
        <v>2551</v>
      </c>
      <c r="J753" s="782">
        <v>43867.0</v>
      </c>
      <c r="K753" s="782" t="s">
        <v>3828</v>
      </c>
      <c r="L753" s="781"/>
      <c r="M753" s="781"/>
      <c r="N753" s="781"/>
      <c r="O753" s="781"/>
      <c r="P753" s="781"/>
      <c r="Q753" s="781"/>
      <c r="R753" s="781"/>
      <c r="S753" s="781"/>
      <c r="T753" s="781"/>
      <c r="U753" s="781"/>
      <c r="V753" s="781"/>
      <c r="W753" s="781"/>
      <c r="X753" s="781"/>
      <c r="Y753" s="781"/>
      <c r="Z753" s="781"/>
      <c r="AA753" s="781"/>
      <c r="AB753" s="781"/>
      <c r="AC753" s="781"/>
      <c r="AD753" s="781"/>
      <c r="AE753" s="781"/>
      <c r="AF753" s="781"/>
      <c r="AG753" s="781"/>
      <c r="AH753" s="781"/>
      <c r="AI753" s="781"/>
      <c r="AJ753" s="781"/>
      <c r="AK753" s="781"/>
      <c r="AL753" s="781"/>
      <c r="AM753" s="781"/>
      <c r="AN753" s="781"/>
      <c r="AO753" s="781"/>
      <c r="AP753" s="781"/>
      <c r="AQ753" s="781"/>
      <c r="AR753" s="781"/>
      <c r="AS753" s="781"/>
      <c r="AT753" s="781"/>
      <c r="AU753" s="781"/>
    </row>
    <row r="754" ht="15.75" customHeight="1">
      <c r="A754" s="795">
        <v>44552.0</v>
      </c>
      <c r="B754" s="796" t="s">
        <v>2798</v>
      </c>
      <c r="C754" s="797" t="s">
        <v>2547</v>
      </c>
      <c r="D754" s="772" t="s">
        <v>6346</v>
      </c>
      <c r="E754" s="798">
        <v>40000.0</v>
      </c>
      <c r="F754" s="772" t="s">
        <v>649</v>
      </c>
      <c r="G754" s="782" t="s">
        <v>18</v>
      </c>
      <c r="H754" s="782" t="s">
        <v>176</v>
      </c>
      <c r="I754" s="782" t="s">
        <v>177</v>
      </c>
      <c r="J754" s="782">
        <v>44280.0</v>
      </c>
      <c r="K754" s="782" t="s">
        <v>3828</v>
      </c>
      <c r="L754" s="781"/>
      <c r="M754" s="781"/>
      <c r="N754" s="781"/>
      <c r="O754" s="781"/>
      <c r="P754" s="781"/>
      <c r="Q754" s="781"/>
      <c r="R754" s="781"/>
      <c r="S754" s="781"/>
      <c r="T754" s="781"/>
      <c r="U754" s="781"/>
      <c r="V754" s="781"/>
      <c r="W754" s="781"/>
      <c r="X754" s="781"/>
      <c r="Y754" s="781"/>
      <c r="Z754" s="781"/>
      <c r="AA754" s="781"/>
      <c r="AB754" s="781"/>
      <c r="AC754" s="781"/>
      <c r="AD754" s="781"/>
      <c r="AE754" s="781"/>
      <c r="AF754" s="781"/>
      <c r="AG754" s="781"/>
      <c r="AH754" s="781"/>
      <c r="AI754" s="781"/>
      <c r="AJ754" s="781"/>
      <c r="AK754" s="781"/>
      <c r="AL754" s="781"/>
      <c r="AM754" s="781"/>
      <c r="AN754" s="781"/>
      <c r="AO754" s="781"/>
      <c r="AP754" s="781"/>
      <c r="AQ754" s="781"/>
      <c r="AR754" s="781"/>
      <c r="AS754" s="781"/>
      <c r="AT754" s="781"/>
      <c r="AU754" s="781"/>
    </row>
    <row r="755" ht="15.75" customHeight="1">
      <c r="A755" s="795">
        <v>44553.0</v>
      </c>
      <c r="B755" s="830" t="s">
        <v>6492</v>
      </c>
      <c r="C755" s="797" t="s">
        <v>3820</v>
      </c>
      <c r="D755" s="772" t="s">
        <v>1481</v>
      </c>
      <c r="E755" s="798">
        <v>368899.52</v>
      </c>
      <c r="F755" s="772" t="s">
        <v>4829</v>
      </c>
      <c r="G755" s="772" t="s">
        <v>18</v>
      </c>
      <c r="H755" s="772" t="s">
        <v>19</v>
      </c>
      <c r="I755" s="772" t="s">
        <v>256</v>
      </c>
      <c r="J755" s="782">
        <v>44251.0</v>
      </c>
      <c r="K755" s="772" t="s">
        <v>3828</v>
      </c>
      <c r="L755" s="781"/>
      <c r="M755" s="781"/>
      <c r="N755" s="781"/>
      <c r="O755" s="781"/>
      <c r="P755" s="781"/>
      <c r="Q755" s="781"/>
      <c r="R755" s="781"/>
      <c r="S755" s="781"/>
      <c r="T755" s="781"/>
      <c r="U755" s="781"/>
      <c r="V755" s="781"/>
      <c r="W755" s="781"/>
      <c r="X755" s="781"/>
      <c r="Y755" s="781"/>
      <c r="Z755" s="781"/>
      <c r="AA755" s="781"/>
      <c r="AB755" s="781"/>
      <c r="AC755" s="781"/>
      <c r="AD755" s="781"/>
      <c r="AE755" s="781"/>
      <c r="AF755" s="781"/>
      <c r="AG755" s="781"/>
      <c r="AH755" s="781"/>
      <c r="AI755" s="781"/>
      <c r="AJ755" s="781"/>
      <c r="AK755" s="781"/>
      <c r="AL755" s="781"/>
      <c r="AM755" s="781"/>
      <c r="AN755" s="781"/>
      <c r="AO755" s="781"/>
      <c r="AP755" s="781"/>
      <c r="AQ755" s="781"/>
      <c r="AR755" s="781"/>
      <c r="AS755" s="781"/>
      <c r="AT755" s="781"/>
      <c r="AU755" s="781"/>
    </row>
    <row r="756" ht="15.75" customHeight="1">
      <c r="A756" s="795">
        <v>44553.0</v>
      </c>
      <c r="B756" s="796" t="s">
        <v>3507</v>
      </c>
      <c r="C756" s="797" t="s">
        <v>2547</v>
      </c>
      <c r="D756" s="772" t="s">
        <v>6346</v>
      </c>
      <c r="E756" s="798">
        <v>30000.0</v>
      </c>
      <c r="F756" s="772" t="s">
        <v>3506</v>
      </c>
      <c r="G756" s="782" t="s">
        <v>18</v>
      </c>
      <c r="H756" s="782" t="s">
        <v>176</v>
      </c>
      <c r="I756" s="782" t="s">
        <v>177</v>
      </c>
      <c r="J756" s="782">
        <v>44263.0</v>
      </c>
      <c r="K756" s="782" t="s">
        <v>3836</v>
      </c>
      <c r="L756" s="781"/>
      <c r="M756" s="781"/>
      <c r="N756" s="781"/>
      <c r="O756" s="781"/>
      <c r="P756" s="781"/>
      <c r="Q756" s="781"/>
      <c r="R756" s="781"/>
      <c r="S756" s="781"/>
      <c r="T756" s="781"/>
      <c r="U756" s="781"/>
      <c r="V756" s="781"/>
      <c r="W756" s="781"/>
      <c r="X756" s="781"/>
      <c r="Y756" s="781"/>
      <c r="Z756" s="781"/>
      <c r="AA756" s="781"/>
      <c r="AB756" s="781"/>
      <c r="AC756" s="781"/>
      <c r="AD756" s="781"/>
      <c r="AE756" s="781"/>
      <c r="AF756" s="781"/>
      <c r="AG756" s="781"/>
      <c r="AH756" s="781"/>
      <c r="AI756" s="781"/>
      <c r="AJ756" s="781"/>
      <c r="AK756" s="781"/>
      <c r="AL756" s="781"/>
      <c r="AM756" s="781"/>
      <c r="AN756" s="781"/>
      <c r="AO756" s="781"/>
      <c r="AP756" s="781"/>
      <c r="AQ756" s="781"/>
      <c r="AR756" s="781"/>
      <c r="AS756" s="781"/>
      <c r="AT756" s="781"/>
      <c r="AU756" s="781"/>
    </row>
    <row r="757" ht="15.75" customHeight="1">
      <c r="A757" s="795">
        <v>44553.0</v>
      </c>
      <c r="B757" s="796" t="s">
        <v>3226</v>
      </c>
      <c r="C757" s="797" t="s">
        <v>2547</v>
      </c>
      <c r="D757" s="772" t="s">
        <v>6346</v>
      </c>
      <c r="E757" s="798">
        <v>40000.0</v>
      </c>
      <c r="F757" s="772" t="s">
        <v>3225</v>
      </c>
      <c r="G757" s="782" t="s">
        <v>18</v>
      </c>
      <c r="H757" s="782" t="s">
        <v>176</v>
      </c>
      <c r="I757" s="782" t="s">
        <v>177</v>
      </c>
      <c r="J757" s="782">
        <v>44323.0</v>
      </c>
      <c r="K757" s="782" t="s">
        <v>3869</v>
      </c>
      <c r="L757" s="781"/>
      <c r="M757" s="781"/>
      <c r="N757" s="781"/>
      <c r="O757" s="781"/>
      <c r="P757" s="781"/>
      <c r="Q757" s="781"/>
      <c r="R757" s="781"/>
      <c r="S757" s="781"/>
      <c r="T757" s="781"/>
      <c r="U757" s="781"/>
      <c r="V757" s="781"/>
      <c r="W757" s="781"/>
      <c r="X757" s="781"/>
      <c r="Y757" s="781"/>
      <c r="Z757" s="781"/>
      <c r="AA757" s="781"/>
      <c r="AB757" s="781"/>
      <c r="AC757" s="781"/>
      <c r="AD757" s="781"/>
      <c r="AE757" s="781"/>
      <c r="AF757" s="781"/>
      <c r="AG757" s="781"/>
      <c r="AH757" s="781"/>
      <c r="AI757" s="781"/>
      <c r="AJ757" s="781"/>
      <c r="AK757" s="781"/>
      <c r="AL757" s="781"/>
      <c r="AM757" s="781"/>
      <c r="AN757" s="781"/>
      <c r="AO757" s="781"/>
      <c r="AP757" s="781"/>
      <c r="AQ757" s="781"/>
      <c r="AR757" s="781"/>
      <c r="AS757" s="781"/>
      <c r="AT757" s="781"/>
      <c r="AU757" s="781"/>
    </row>
    <row r="758" ht="15.75" customHeight="1">
      <c r="A758" s="795">
        <v>44553.0</v>
      </c>
      <c r="B758" s="796" t="s">
        <v>2627</v>
      </c>
      <c r="C758" s="797" t="s">
        <v>2547</v>
      </c>
      <c r="D758" s="772" t="s">
        <v>6346</v>
      </c>
      <c r="E758" s="798">
        <v>100000.0</v>
      </c>
      <c r="F758" s="772" t="s">
        <v>245</v>
      </c>
      <c r="G758" s="782" t="s">
        <v>18</v>
      </c>
      <c r="H758" s="782" t="s">
        <v>176</v>
      </c>
      <c r="I758" s="782" t="s">
        <v>177</v>
      </c>
      <c r="J758" s="782">
        <v>44266.0</v>
      </c>
      <c r="K758" s="782" t="s">
        <v>3824</v>
      </c>
      <c r="L758" s="781"/>
      <c r="M758" s="781"/>
      <c r="N758" s="781"/>
      <c r="O758" s="781"/>
      <c r="P758" s="781"/>
      <c r="Q758" s="781"/>
      <c r="R758" s="781"/>
      <c r="S758" s="781"/>
      <c r="T758" s="781"/>
      <c r="U758" s="781"/>
      <c r="V758" s="781"/>
      <c r="W758" s="781"/>
      <c r="X758" s="781"/>
      <c r="Y758" s="781"/>
      <c r="Z758" s="781"/>
      <c r="AA758" s="781"/>
      <c r="AB758" s="781"/>
      <c r="AC758" s="781"/>
      <c r="AD758" s="781"/>
      <c r="AE758" s="781"/>
      <c r="AF758" s="781"/>
      <c r="AG758" s="781"/>
      <c r="AH758" s="781"/>
      <c r="AI758" s="781"/>
      <c r="AJ758" s="781"/>
      <c r="AK758" s="781"/>
      <c r="AL758" s="781"/>
      <c r="AM758" s="781"/>
      <c r="AN758" s="781"/>
      <c r="AO758" s="781"/>
      <c r="AP758" s="781"/>
      <c r="AQ758" s="781"/>
      <c r="AR758" s="781"/>
      <c r="AS758" s="781"/>
      <c r="AT758" s="781"/>
      <c r="AU758" s="781"/>
    </row>
    <row r="759" ht="15.75" customHeight="1">
      <c r="A759" s="795">
        <v>44557.0</v>
      </c>
      <c r="B759" s="783" t="s">
        <v>3041</v>
      </c>
      <c r="C759" s="797" t="s">
        <v>2547</v>
      </c>
      <c r="D759" s="772" t="s">
        <v>6346</v>
      </c>
      <c r="E759" s="798">
        <v>14000.0</v>
      </c>
      <c r="F759" s="772" t="s">
        <v>3040</v>
      </c>
      <c r="G759" s="782" t="s">
        <v>2550</v>
      </c>
      <c r="H759" s="782" t="s">
        <v>29</v>
      </c>
      <c r="I759" s="782" t="s">
        <v>2551</v>
      </c>
      <c r="J759" s="782">
        <v>43605.0</v>
      </c>
      <c r="K759" s="782" t="s">
        <v>3836</v>
      </c>
      <c r="L759" s="781"/>
      <c r="M759" s="781"/>
      <c r="N759" s="781"/>
      <c r="O759" s="781"/>
      <c r="P759" s="781"/>
      <c r="Q759" s="781"/>
      <c r="R759" s="781"/>
      <c r="S759" s="781"/>
      <c r="T759" s="781"/>
      <c r="U759" s="781"/>
      <c r="V759" s="781"/>
      <c r="W759" s="781"/>
      <c r="X759" s="781"/>
      <c r="Y759" s="781"/>
      <c r="Z759" s="781"/>
      <c r="AA759" s="781"/>
      <c r="AB759" s="781"/>
      <c r="AC759" s="781"/>
      <c r="AD759" s="781"/>
      <c r="AE759" s="781"/>
      <c r="AF759" s="781"/>
      <c r="AG759" s="781"/>
      <c r="AH759" s="781"/>
      <c r="AI759" s="781"/>
      <c r="AJ759" s="781"/>
      <c r="AK759" s="781"/>
      <c r="AL759" s="781"/>
      <c r="AM759" s="781"/>
      <c r="AN759" s="781"/>
      <c r="AO759" s="781"/>
      <c r="AP759" s="781"/>
      <c r="AQ759" s="781"/>
      <c r="AR759" s="781"/>
      <c r="AS759" s="781"/>
      <c r="AT759" s="781"/>
      <c r="AU759" s="781"/>
    </row>
    <row r="760" ht="15.75" customHeight="1">
      <c r="A760" s="795">
        <v>44559.0</v>
      </c>
      <c r="B760" s="796" t="s">
        <v>3516</v>
      </c>
      <c r="C760" s="797" t="s">
        <v>2547</v>
      </c>
      <c r="D760" s="772" t="s">
        <v>6346</v>
      </c>
      <c r="E760" s="798">
        <v>5000.0</v>
      </c>
      <c r="F760" s="772" t="s">
        <v>3515</v>
      </c>
      <c r="G760" s="782" t="s">
        <v>2550</v>
      </c>
      <c r="H760" s="782" t="s">
        <v>29</v>
      </c>
      <c r="I760" s="782" t="s">
        <v>2551</v>
      </c>
      <c r="J760" s="782">
        <v>43717.0</v>
      </c>
      <c r="K760" s="782" t="s">
        <v>4206</v>
      </c>
      <c r="L760" s="781"/>
      <c r="M760" s="781"/>
      <c r="N760" s="781"/>
      <c r="O760" s="781"/>
      <c r="P760" s="781"/>
      <c r="Q760" s="781"/>
      <c r="R760" s="781"/>
      <c r="S760" s="781"/>
      <c r="T760" s="781"/>
      <c r="U760" s="781"/>
      <c r="V760" s="781"/>
      <c r="W760" s="781"/>
      <c r="X760" s="781"/>
      <c r="Y760" s="781"/>
      <c r="Z760" s="781"/>
      <c r="AA760" s="781"/>
      <c r="AB760" s="781"/>
      <c r="AC760" s="781"/>
      <c r="AD760" s="781"/>
      <c r="AE760" s="781"/>
      <c r="AF760" s="781"/>
      <c r="AG760" s="781"/>
      <c r="AH760" s="781"/>
      <c r="AI760" s="781"/>
      <c r="AJ760" s="781"/>
      <c r="AK760" s="781"/>
      <c r="AL760" s="781"/>
      <c r="AM760" s="781"/>
      <c r="AN760" s="781"/>
      <c r="AO760" s="781"/>
      <c r="AP760" s="781"/>
      <c r="AQ760" s="781"/>
      <c r="AR760" s="781"/>
      <c r="AS760" s="781"/>
      <c r="AT760" s="781"/>
      <c r="AU760" s="781"/>
    </row>
    <row r="761" ht="15.75" customHeight="1">
      <c r="A761" s="795">
        <v>44559.0</v>
      </c>
      <c r="B761" s="833" t="s">
        <v>6493</v>
      </c>
      <c r="C761" s="797" t="s">
        <v>3820</v>
      </c>
      <c r="D761" s="772" t="s">
        <v>6345</v>
      </c>
      <c r="E761" s="798">
        <v>97410.24</v>
      </c>
      <c r="F761" s="772" t="s">
        <v>6494</v>
      </c>
      <c r="G761" s="772" t="s">
        <v>18</v>
      </c>
      <c r="H761" s="772" t="s">
        <v>29</v>
      </c>
      <c r="I761" s="772" t="s">
        <v>3708</v>
      </c>
      <c r="J761" s="782">
        <v>44354.0</v>
      </c>
      <c r="K761" s="772" t="s">
        <v>3840</v>
      </c>
      <c r="L761" s="781"/>
      <c r="M761" s="781"/>
      <c r="N761" s="781"/>
      <c r="O761" s="781"/>
      <c r="P761" s="781"/>
      <c r="Q761" s="781"/>
      <c r="R761" s="781"/>
      <c r="S761" s="781"/>
      <c r="T761" s="781"/>
      <c r="U761" s="781"/>
      <c r="V761" s="781"/>
      <c r="W761" s="781"/>
      <c r="X761" s="781"/>
      <c r="Y761" s="781"/>
      <c r="Z761" s="781"/>
      <c r="AA761" s="781"/>
      <c r="AB761" s="781"/>
      <c r="AC761" s="781"/>
      <c r="AD761" s="781"/>
      <c r="AE761" s="781"/>
      <c r="AF761" s="781"/>
      <c r="AG761" s="781"/>
      <c r="AH761" s="781"/>
      <c r="AI761" s="781"/>
      <c r="AJ761" s="781"/>
      <c r="AK761" s="781"/>
      <c r="AL761" s="781"/>
      <c r="AM761" s="781"/>
      <c r="AN761" s="781"/>
      <c r="AO761" s="781"/>
      <c r="AP761" s="781"/>
      <c r="AQ761" s="781"/>
      <c r="AR761" s="781"/>
      <c r="AS761" s="781"/>
      <c r="AT761" s="781"/>
      <c r="AU761" s="781"/>
    </row>
    <row r="762" ht="15.75" customHeight="1">
      <c r="A762" s="844">
        <v>44566.405864444445</v>
      </c>
      <c r="B762" s="812" t="s">
        <v>3507</v>
      </c>
      <c r="C762" s="797" t="s">
        <v>2547</v>
      </c>
      <c r="D762" s="772" t="s">
        <v>6346</v>
      </c>
      <c r="E762" s="798" t="s">
        <v>6495</v>
      </c>
      <c r="F762" s="772" t="s">
        <v>3506</v>
      </c>
      <c r="G762" s="782" t="s">
        <v>18</v>
      </c>
      <c r="H762" s="782" t="s">
        <v>176</v>
      </c>
      <c r="I762" s="782" t="s">
        <v>177</v>
      </c>
      <c r="J762" s="782">
        <v>44263.0</v>
      </c>
      <c r="K762" s="782" t="s">
        <v>3836</v>
      </c>
      <c r="L762" s="781"/>
      <c r="M762" s="781"/>
      <c r="N762" s="781"/>
      <c r="O762" s="781"/>
      <c r="P762" s="781"/>
      <c r="Q762" s="781"/>
      <c r="R762" s="781"/>
      <c r="S762" s="781"/>
      <c r="T762" s="781"/>
      <c r="U762" s="781"/>
      <c r="V762" s="781"/>
      <c r="W762" s="781"/>
      <c r="X762" s="781"/>
      <c r="Y762" s="781"/>
      <c r="Z762" s="781"/>
      <c r="AA762" s="781"/>
      <c r="AB762" s="781"/>
      <c r="AC762" s="781"/>
      <c r="AD762" s="781"/>
      <c r="AE762" s="781"/>
      <c r="AF762" s="781"/>
      <c r="AG762" s="781"/>
      <c r="AH762" s="781"/>
      <c r="AI762" s="781"/>
      <c r="AJ762" s="781"/>
      <c r="AK762" s="781"/>
      <c r="AL762" s="781"/>
      <c r="AM762" s="781"/>
      <c r="AN762" s="781"/>
      <c r="AO762" s="781"/>
      <c r="AP762" s="781"/>
      <c r="AQ762" s="781"/>
      <c r="AR762" s="781"/>
      <c r="AS762" s="781"/>
      <c r="AT762" s="781"/>
      <c r="AU762" s="781"/>
    </row>
    <row r="763" ht="15.75" customHeight="1">
      <c r="A763" s="844">
        <v>44567.470252824074</v>
      </c>
      <c r="B763" s="812" t="s">
        <v>2919</v>
      </c>
      <c r="C763" s="797" t="s">
        <v>2547</v>
      </c>
      <c r="D763" s="772" t="s">
        <v>1481</v>
      </c>
      <c r="E763" s="845">
        <v>648751.76</v>
      </c>
      <c r="F763" s="772" t="s">
        <v>2918</v>
      </c>
      <c r="G763" s="782" t="s">
        <v>18</v>
      </c>
      <c r="H763" s="782" t="s">
        <v>176</v>
      </c>
      <c r="I763" s="782" t="s">
        <v>177</v>
      </c>
      <c r="J763" s="782">
        <v>44280.0</v>
      </c>
      <c r="K763" s="782" t="s">
        <v>3824</v>
      </c>
      <c r="L763" s="781"/>
      <c r="M763" s="781"/>
      <c r="N763" s="781"/>
      <c r="O763" s="781"/>
      <c r="P763" s="781"/>
      <c r="Q763" s="781"/>
      <c r="R763" s="781"/>
      <c r="S763" s="781"/>
      <c r="T763" s="781"/>
      <c r="U763" s="781"/>
      <c r="V763" s="781"/>
      <c r="W763" s="781"/>
      <c r="X763" s="781"/>
      <c r="Y763" s="781"/>
      <c r="Z763" s="781"/>
      <c r="AA763" s="781"/>
      <c r="AB763" s="781"/>
      <c r="AC763" s="781"/>
      <c r="AD763" s="781"/>
      <c r="AE763" s="781"/>
      <c r="AF763" s="781"/>
      <c r="AG763" s="781"/>
      <c r="AH763" s="781"/>
      <c r="AI763" s="781"/>
      <c r="AJ763" s="781"/>
      <c r="AK763" s="781"/>
      <c r="AL763" s="781"/>
      <c r="AM763" s="781"/>
      <c r="AN763" s="781"/>
      <c r="AO763" s="781"/>
      <c r="AP763" s="781"/>
      <c r="AQ763" s="781"/>
      <c r="AR763" s="781"/>
      <c r="AS763" s="781"/>
      <c r="AT763" s="781"/>
      <c r="AU763" s="781"/>
    </row>
    <row r="764" ht="15.75" customHeight="1">
      <c r="A764" s="844">
        <v>44567.6009122338</v>
      </c>
      <c r="B764" s="812" t="s">
        <v>3538</v>
      </c>
      <c r="C764" s="797" t="s">
        <v>2547</v>
      </c>
      <c r="D764" s="772" t="s">
        <v>1481</v>
      </c>
      <c r="E764" s="828">
        <v>146875.19</v>
      </c>
      <c r="F764" s="772" t="s">
        <v>3537</v>
      </c>
      <c r="G764" s="782" t="s">
        <v>18</v>
      </c>
      <c r="H764" s="782" t="s">
        <v>176</v>
      </c>
      <c r="I764" s="782" t="s">
        <v>197</v>
      </c>
      <c r="J764" s="782">
        <v>44340.0</v>
      </c>
      <c r="K764" s="782" t="s">
        <v>3836</v>
      </c>
      <c r="L764" s="781"/>
      <c r="M764" s="781"/>
      <c r="N764" s="781"/>
      <c r="O764" s="781"/>
      <c r="P764" s="781"/>
      <c r="Q764" s="781"/>
      <c r="R764" s="781"/>
      <c r="S764" s="781"/>
      <c r="T764" s="781"/>
      <c r="U764" s="781"/>
      <c r="V764" s="781"/>
      <c r="W764" s="781"/>
      <c r="X764" s="781"/>
      <c r="Y764" s="781"/>
      <c r="Z764" s="781"/>
      <c r="AA764" s="781"/>
      <c r="AB764" s="781"/>
      <c r="AC764" s="781"/>
      <c r="AD764" s="781"/>
      <c r="AE764" s="781"/>
      <c r="AF764" s="781"/>
      <c r="AG764" s="781"/>
      <c r="AH764" s="781"/>
      <c r="AI764" s="781"/>
      <c r="AJ764" s="781"/>
      <c r="AK764" s="781"/>
      <c r="AL764" s="781"/>
      <c r="AM764" s="781"/>
      <c r="AN764" s="781"/>
      <c r="AO764" s="781"/>
      <c r="AP764" s="781"/>
      <c r="AQ764" s="781"/>
      <c r="AR764" s="781"/>
      <c r="AS764" s="781"/>
      <c r="AT764" s="781"/>
      <c r="AU764" s="781"/>
    </row>
    <row r="765" ht="15.75" customHeight="1">
      <c r="A765" s="844">
        <v>44567.60629972222</v>
      </c>
      <c r="B765" s="812" t="s">
        <v>2890</v>
      </c>
      <c r="C765" s="797" t="s">
        <v>2547</v>
      </c>
      <c r="D765" s="772" t="s">
        <v>6346</v>
      </c>
      <c r="E765" s="798" t="s">
        <v>6496</v>
      </c>
      <c r="F765" s="772" t="s">
        <v>2889</v>
      </c>
      <c r="G765" s="782" t="s">
        <v>18</v>
      </c>
      <c r="H765" s="782" t="s">
        <v>176</v>
      </c>
      <c r="I765" s="782" t="s">
        <v>197</v>
      </c>
      <c r="J765" s="782">
        <v>44291.0</v>
      </c>
      <c r="K765" s="782" t="s">
        <v>3828</v>
      </c>
      <c r="L765" s="781"/>
      <c r="M765" s="781"/>
      <c r="N765" s="781"/>
      <c r="O765" s="781"/>
      <c r="P765" s="781"/>
      <c r="Q765" s="781"/>
      <c r="R765" s="781"/>
      <c r="S765" s="781"/>
      <c r="T765" s="781"/>
      <c r="U765" s="781"/>
      <c r="V765" s="781"/>
      <c r="W765" s="781"/>
      <c r="X765" s="781"/>
      <c r="Y765" s="781"/>
      <c r="Z765" s="781"/>
      <c r="AA765" s="781"/>
      <c r="AB765" s="781"/>
      <c r="AC765" s="781"/>
      <c r="AD765" s="781"/>
      <c r="AE765" s="781"/>
      <c r="AF765" s="781"/>
      <c r="AG765" s="781"/>
      <c r="AH765" s="781"/>
      <c r="AI765" s="781"/>
      <c r="AJ765" s="781"/>
      <c r="AK765" s="781"/>
      <c r="AL765" s="781"/>
      <c r="AM765" s="781"/>
      <c r="AN765" s="781"/>
      <c r="AO765" s="781"/>
      <c r="AP765" s="781"/>
      <c r="AQ765" s="781"/>
      <c r="AR765" s="781"/>
      <c r="AS765" s="781"/>
      <c r="AT765" s="781"/>
      <c r="AU765" s="781"/>
    </row>
    <row r="766" ht="15.75" customHeight="1">
      <c r="A766" s="844">
        <v>44568.43395849537</v>
      </c>
      <c r="B766" s="812" t="s">
        <v>2568</v>
      </c>
      <c r="C766" s="797" t="s">
        <v>2547</v>
      </c>
      <c r="D766" s="772" t="s">
        <v>6346</v>
      </c>
      <c r="E766" s="798" t="s">
        <v>6497</v>
      </c>
      <c r="F766" s="772" t="s">
        <v>2567</v>
      </c>
      <c r="G766" s="782" t="s">
        <v>18</v>
      </c>
      <c r="H766" s="782" t="s">
        <v>176</v>
      </c>
      <c r="I766" s="782" t="s">
        <v>197</v>
      </c>
      <c r="J766" s="782">
        <v>44321.0</v>
      </c>
      <c r="K766" s="782" t="s">
        <v>3836</v>
      </c>
      <c r="L766" s="781"/>
      <c r="M766" s="781"/>
      <c r="N766" s="781"/>
      <c r="O766" s="781"/>
      <c r="P766" s="781"/>
      <c r="Q766" s="781"/>
      <c r="R766" s="781"/>
      <c r="S766" s="781"/>
      <c r="T766" s="781"/>
      <c r="U766" s="781"/>
      <c r="V766" s="781"/>
      <c r="W766" s="781"/>
      <c r="X766" s="781"/>
      <c r="Y766" s="781"/>
      <c r="Z766" s="781"/>
      <c r="AA766" s="781"/>
      <c r="AB766" s="781"/>
      <c r="AC766" s="781"/>
      <c r="AD766" s="781"/>
      <c r="AE766" s="781"/>
      <c r="AF766" s="781"/>
      <c r="AG766" s="781"/>
      <c r="AH766" s="781"/>
      <c r="AI766" s="781"/>
      <c r="AJ766" s="781"/>
      <c r="AK766" s="781"/>
      <c r="AL766" s="781"/>
      <c r="AM766" s="781"/>
      <c r="AN766" s="781"/>
      <c r="AO766" s="781"/>
      <c r="AP766" s="781"/>
      <c r="AQ766" s="781"/>
      <c r="AR766" s="781"/>
      <c r="AS766" s="781"/>
      <c r="AT766" s="781"/>
      <c r="AU766" s="781"/>
    </row>
    <row r="767" ht="15.75" customHeight="1">
      <c r="A767" s="844">
        <v>44568.56865099537</v>
      </c>
      <c r="B767" s="812" t="s">
        <v>2912</v>
      </c>
      <c r="C767" s="797" t="s">
        <v>2547</v>
      </c>
      <c r="D767" s="772" t="s">
        <v>6346</v>
      </c>
      <c r="E767" s="798" t="s">
        <v>6498</v>
      </c>
      <c r="F767" s="772" t="s">
        <v>2911</v>
      </c>
      <c r="G767" s="782" t="s">
        <v>18</v>
      </c>
      <c r="H767" s="782" t="s">
        <v>176</v>
      </c>
      <c r="I767" s="782" t="s">
        <v>197</v>
      </c>
      <c r="J767" s="782">
        <v>44280.0</v>
      </c>
      <c r="K767" s="782" t="s">
        <v>3824</v>
      </c>
      <c r="L767" s="781"/>
      <c r="M767" s="781"/>
      <c r="N767" s="781"/>
      <c r="O767" s="781"/>
      <c r="P767" s="781"/>
      <c r="Q767" s="781"/>
      <c r="R767" s="781"/>
      <c r="S767" s="781"/>
      <c r="T767" s="781"/>
      <c r="U767" s="781"/>
      <c r="V767" s="781"/>
      <c r="W767" s="781"/>
      <c r="X767" s="781"/>
      <c r="Y767" s="781"/>
      <c r="Z767" s="781"/>
      <c r="AA767" s="781"/>
      <c r="AB767" s="781"/>
      <c r="AC767" s="781"/>
      <c r="AD767" s="781"/>
      <c r="AE767" s="781"/>
      <c r="AF767" s="781"/>
      <c r="AG767" s="781"/>
      <c r="AH767" s="781"/>
      <c r="AI767" s="781"/>
      <c r="AJ767" s="781"/>
      <c r="AK767" s="781"/>
      <c r="AL767" s="781"/>
      <c r="AM767" s="781"/>
      <c r="AN767" s="781"/>
      <c r="AO767" s="781"/>
      <c r="AP767" s="781"/>
      <c r="AQ767" s="781"/>
      <c r="AR767" s="781"/>
      <c r="AS767" s="781"/>
      <c r="AT767" s="781"/>
      <c r="AU767" s="781"/>
    </row>
    <row r="768" ht="15.75" customHeight="1">
      <c r="A768" s="844">
        <v>44569.0</v>
      </c>
      <c r="B768" s="812" t="s">
        <v>3712</v>
      </c>
      <c r="C768" s="797" t="s">
        <v>3632</v>
      </c>
      <c r="D768" s="772" t="s">
        <v>6345</v>
      </c>
      <c r="E768" s="798">
        <v>151280.2</v>
      </c>
      <c r="F768" s="772" t="s">
        <v>3711</v>
      </c>
      <c r="G768" s="782" t="s">
        <v>18</v>
      </c>
      <c r="H768" s="782" t="s">
        <v>29</v>
      </c>
      <c r="I768" s="782" t="s">
        <v>3678</v>
      </c>
      <c r="J768" s="782">
        <v>43731.0</v>
      </c>
      <c r="K768" s="782" t="s">
        <v>3824</v>
      </c>
      <c r="L768" s="781"/>
      <c r="M768" s="781"/>
      <c r="N768" s="781"/>
      <c r="O768" s="781"/>
      <c r="P768" s="781"/>
      <c r="Q768" s="781"/>
      <c r="R768" s="781"/>
      <c r="S768" s="781"/>
      <c r="T768" s="781"/>
      <c r="U768" s="781"/>
      <c r="V768" s="781"/>
      <c r="W768" s="781"/>
      <c r="X768" s="781"/>
      <c r="Y768" s="781"/>
      <c r="Z768" s="781"/>
      <c r="AA768" s="781"/>
      <c r="AB768" s="781"/>
      <c r="AC768" s="781"/>
      <c r="AD768" s="781"/>
      <c r="AE768" s="781"/>
      <c r="AF768" s="781"/>
      <c r="AG768" s="781"/>
      <c r="AH768" s="781"/>
      <c r="AI768" s="781"/>
      <c r="AJ768" s="781"/>
      <c r="AK768" s="781"/>
      <c r="AL768" s="781"/>
      <c r="AM768" s="781"/>
      <c r="AN768" s="781"/>
      <c r="AO768" s="781"/>
      <c r="AP768" s="781"/>
      <c r="AQ768" s="781"/>
      <c r="AR768" s="781"/>
      <c r="AS768" s="781"/>
      <c r="AT768" s="781"/>
      <c r="AU768" s="781"/>
    </row>
    <row r="769" ht="15.75" customHeight="1">
      <c r="A769" s="844">
        <v>44571.46989226852</v>
      </c>
      <c r="B769" s="812" t="s">
        <v>3507</v>
      </c>
      <c r="C769" s="797" t="s">
        <v>2547</v>
      </c>
      <c r="D769" s="772" t="s">
        <v>6346</v>
      </c>
      <c r="E769" s="798" t="s">
        <v>6499</v>
      </c>
      <c r="F769" s="772" t="s">
        <v>3506</v>
      </c>
      <c r="G769" s="782" t="s">
        <v>18</v>
      </c>
      <c r="H769" s="782" t="s">
        <v>176</v>
      </c>
      <c r="I769" s="782" t="s">
        <v>177</v>
      </c>
      <c r="J769" s="782">
        <v>44263.0</v>
      </c>
      <c r="K769" s="782" t="s">
        <v>3836</v>
      </c>
      <c r="L769" s="781"/>
      <c r="M769" s="781"/>
      <c r="N769" s="781"/>
      <c r="O769" s="781"/>
      <c r="P769" s="781"/>
      <c r="Q769" s="781"/>
      <c r="R769" s="781"/>
      <c r="S769" s="781"/>
      <c r="T769" s="781"/>
      <c r="U769" s="781"/>
      <c r="V769" s="781"/>
      <c r="W769" s="781"/>
      <c r="X769" s="781"/>
      <c r="Y769" s="781"/>
      <c r="Z769" s="781"/>
      <c r="AA769" s="781"/>
      <c r="AB769" s="781"/>
      <c r="AC769" s="781"/>
      <c r="AD769" s="781"/>
      <c r="AE769" s="781"/>
      <c r="AF769" s="781"/>
      <c r="AG769" s="781"/>
      <c r="AH769" s="781"/>
      <c r="AI769" s="781"/>
      <c r="AJ769" s="781"/>
      <c r="AK769" s="781"/>
      <c r="AL769" s="781"/>
      <c r="AM769" s="781"/>
      <c r="AN769" s="781"/>
      <c r="AO769" s="781"/>
      <c r="AP769" s="781"/>
      <c r="AQ769" s="781"/>
      <c r="AR769" s="781"/>
      <c r="AS769" s="781"/>
      <c r="AT769" s="781"/>
      <c r="AU769" s="781"/>
    </row>
    <row r="770" ht="15.75" customHeight="1">
      <c r="A770" s="844">
        <v>44571.51773393519</v>
      </c>
      <c r="B770" s="824" t="s">
        <v>3656</v>
      </c>
      <c r="C770" s="797" t="s">
        <v>3632</v>
      </c>
      <c r="D770" s="772" t="s">
        <v>6346</v>
      </c>
      <c r="E770" s="798">
        <v>8500.0</v>
      </c>
      <c r="F770" s="772" t="s">
        <v>3655</v>
      </c>
      <c r="G770" s="782" t="s">
        <v>18</v>
      </c>
      <c r="H770" s="782" t="s">
        <v>29</v>
      </c>
      <c r="I770" s="782" t="s">
        <v>18</v>
      </c>
      <c r="J770" s="782">
        <v>44062.0</v>
      </c>
      <c r="K770" s="782" t="s">
        <v>3828</v>
      </c>
      <c r="L770" s="781"/>
      <c r="M770" s="781"/>
      <c r="N770" s="781"/>
      <c r="O770" s="781"/>
      <c r="P770" s="781"/>
      <c r="Q770" s="781"/>
      <c r="R770" s="781"/>
      <c r="S770" s="781"/>
      <c r="T770" s="781"/>
      <c r="U770" s="781"/>
      <c r="V770" s="781"/>
      <c r="W770" s="781"/>
      <c r="X770" s="781"/>
      <c r="Y770" s="781"/>
      <c r="Z770" s="781"/>
      <c r="AA770" s="781"/>
      <c r="AB770" s="781"/>
      <c r="AC770" s="781"/>
      <c r="AD770" s="781"/>
      <c r="AE770" s="781"/>
      <c r="AF770" s="781"/>
      <c r="AG770" s="781"/>
      <c r="AH770" s="781"/>
      <c r="AI770" s="781"/>
      <c r="AJ770" s="781"/>
      <c r="AK770" s="781"/>
      <c r="AL770" s="781"/>
      <c r="AM770" s="781"/>
      <c r="AN770" s="781"/>
      <c r="AO770" s="781"/>
      <c r="AP770" s="781"/>
      <c r="AQ770" s="781"/>
      <c r="AR770" s="781"/>
      <c r="AS770" s="781"/>
      <c r="AT770" s="781"/>
      <c r="AU770" s="781"/>
    </row>
    <row r="771" ht="15.75" customHeight="1">
      <c r="A771" s="844">
        <v>44571.51773393519</v>
      </c>
      <c r="B771" s="812" t="s">
        <v>3091</v>
      </c>
      <c r="C771" s="797" t="s">
        <v>2547</v>
      </c>
      <c r="D771" s="772" t="s">
        <v>6346</v>
      </c>
      <c r="E771" s="798" t="s">
        <v>6500</v>
      </c>
      <c r="F771" s="772" t="s">
        <v>3090</v>
      </c>
      <c r="G771" s="782" t="s">
        <v>18</v>
      </c>
      <c r="H771" s="782" t="s">
        <v>176</v>
      </c>
      <c r="I771" s="782" t="s">
        <v>177</v>
      </c>
      <c r="J771" s="782">
        <v>44295.0</v>
      </c>
      <c r="K771" s="782" t="s">
        <v>3834</v>
      </c>
      <c r="L771" s="781"/>
      <c r="M771" s="781"/>
      <c r="N771" s="781"/>
      <c r="O771" s="781"/>
      <c r="P771" s="781"/>
      <c r="Q771" s="781"/>
      <c r="R771" s="781"/>
      <c r="S771" s="781"/>
      <c r="T771" s="781"/>
      <c r="U771" s="781"/>
      <c r="V771" s="781"/>
      <c r="W771" s="781"/>
      <c r="X771" s="781"/>
      <c r="Y771" s="781"/>
      <c r="Z771" s="781"/>
      <c r="AA771" s="781"/>
      <c r="AB771" s="781"/>
      <c r="AC771" s="781"/>
      <c r="AD771" s="781"/>
      <c r="AE771" s="781"/>
      <c r="AF771" s="781"/>
      <c r="AG771" s="781"/>
      <c r="AH771" s="781"/>
      <c r="AI771" s="781"/>
      <c r="AJ771" s="781"/>
      <c r="AK771" s="781"/>
      <c r="AL771" s="781"/>
      <c r="AM771" s="781"/>
      <c r="AN771" s="781"/>
      <c r="AO771" s="781"/>
      <c r="AP771" s="781"/>
      <c r="AQ771" s="781"/>
      <c r="AR771" s="781"/>
      <c r="AS771" s="781"/>
      <c r="AT771" s="781"/>
      <c r="AU771" s="781"/>
    </row>
    <row r="772" ht="15.75" customHeight="1">
      <c r="A772" s="844">
        <v>44572.44878824074</v>
      </c>
      <c r="B772" s="812" t="s">
        <v>3441</v>
      </c>
      <c r="C772" s="797" t="s">
        <v>2547</v>
      </c>
      <c r="D772" s="772" t="s">
        <v>6346</v>
      </c>
      <c r="E772" s="798" t="s">
        <v>6500</v>
      </c>
      <c r="F772" s="772" t="s">
        <v>3440</v>
      </c>
      <c r="G772" s="782" t="s">
        <v>18</v>
      </c>
      <c r="H772" s="782" t="s">
        <v>176</v>
      </c>
      <c r="I772" s="782" t="s">
        <v>197</v>
      </c>
      <c r="J772" s="782">
        <v>44319.0</v>
      </c>
      <c r="K772" s="782" t="s">
        <v>3828</v>
      </c>
      <c r="L772" s="781"/>
      <c r="M772" s="781"/>
      <c r="N772" s="781"/>
      <c r="O772" s="781"/>
      <c r="P772" s="781"/>
      <c r="Q772" s="781"/>
      <c r="R772" s="781"/>
      <c r="S772" s="781"/>
      <c r="T772" s="781"/>
      <c r="U772" s="781"/>
      <c r="V772" s="781"/>
      <c r="W772" s="781"/>
      <c r="X772" s="781"/>
      <c r="Y772" s="781"/>
      <c r="Z772" s="781"/>
      <c r="AA772" s="781"/>
      <c r="AB772" s="781"/>
      <c r="AC772" s="781"/>
      <c r="AD772" s="781"/>
      <c r="AE772" s="781"/>
      <c r="AF772" s="781"/>
      <c r="AG772" s="781"/>
      <c r="AH772" s="781"/>
      <c r="AI772" s="781"/>
      <c r="AJ772" s="781"/>
      <c r="AK772" s="781"/>
      <c r="AL772" s="781"/>
      <c r="AM772" s="781"/>
      <c r="AN772" s="781"/>
      <c r="AO772" s="781"/>
      <c r="AP772" s="781"/>
      <c r="AQ772" s="781"/>
      <c r="AR772" s="781"/>
      <c r="AS772" s="781"/>
      <c r="AT772" s="781"/>
      <c r="AU772" s="781"/>
    </row>
    <row r="773" ht="15.75" customHeight="1">
      <c r="A773" s="844">
        <v>44573.0</v>
      </c>
      <c r="B773" s="846" t="s">
        <v>3685</v>
      </c>
      <c r="C773" s="797" t="s">
        <v>3632</v>
      </c>
      <c r="D773" s="772" t="s">
        <v>1481</v>
      </c>
      <c r="E773" s="798">
        <v>9354.08</v>
      </c>
      <c r="F773" s="772" t="s">
        <v>3684</v>
      </c>
      <c r="G773" s="782" t="s">
        <v>18</v>
      </c>
      <c r="H773" s="782" t="s">
        <v>29</v>
      </c>
      <c r="I773" s="782" t="s">
        <v>3686</v>
      </c>
      <c r="J773" s="782">
        <v>43718.0</v>
      </c>
      <c r="K773" s="782" t="s">
        <v>3836</v>
      </c>
      <c r="L773" s="781"/>
      <c r="M773" s="781"/>
      <c r="N773" s="781"/>
      <c r="O773" s="781"/>
      <c r="P773" s="781"/>
      <c r="Q773" s="781"/>
      <c r="R773" s="781"/>
      <c r="S773" s="781"/>
      <c r="T773" s="781"/>
      <c r="U773" s="781"/>
      <c r="V773" s="781"/>
      <c r="W773" s="781"/>
      <c r="X773" s="781"/>
      <c r="Y773" s="781"/>
      <c r="Z773" s="781"/>
      <c r="AA773" s="781"/>
      <c r="AB773" s="781"/>
      <c r="AC773" s="781"/>
      <c r="AD773" s="781"/>
      <c r="AE773" s="781"/>
      <c r="AF773" s="781"/>
      <c r="AG773" s="781"/>
      <c r="AH773" s="781"/>
      <c r="AI773" s="781"/>
      <c r="AJ773" s="781"/>
      <c r="AK773" s="781"/>
      <c r="AL773" s="781"/>
      <c r="AM773" s="781"/>
      <c r="AN773" s="781"/>
      <c r="AO773" s="781"/>
      <c r="AP773" s="781"/>
      <c r="AQ773" s="781"/>
      <c r="AR773" s="781"/>
      <c r="AS773" s="781"/>
      <c r="AT773" s="781"/>
      <c r="AU773" s="781"/>
    </row>
    <row r="774" ht="15.75" customHeight="1">
      <c r="A774" s="844">
        <v>44573.0</v>
      </c>
      <c r="B774" s="796" t="s">
        <v>3216</v>
      </c>
      <c r="C774" s="797" t="s">
        <v>2547</v>
      </c>
      <c r="D774" s="772" t="s">
        <v>6346</v>
      </c>
      <c r="E774" s="798">
        <v>3000.0</v>
      </c>
      <c r="F774" s="772" t="s">
        <v>3215</v>
      </c>
      <c r="G774" s="782" t="s">
        <v>18</v>
      </c>
      <c r="H774" s="782" t="s">
        <v>176</v>
      </c>
      <c r="I774" s="782" t="s">
        <v>197</v>
      </c>
      <c r="J774" s="782">
        <v>44322.0</v>
      </c>
      <c r="K774" s="782" t="s">
        <v>3828</v>
      </c>
      <c r="L774" s="781"/>
      <c r="M774" s="781"/>
      <c r="N774" s="781"/>
      <c r="O774" s="781"/>
      <c r="P774" s="781"/>
      <c r="Q774" s="781"/>
      <c r="R774" s="781"/>
      <c r="S774" s="781"/>
      <c r="T774" s="781"/>
      <c r="U774" s="781"/>
      <c r="V774" s="781"/>
      <c r="W774" s="781"/>
      <c r="X774" s="781"/>
      <c r="Y774" s="781"/>
      <c r="Z774" s="781"/>
      <c r="AA774" s="781"/>
      <c r="AB774" s="781"/>
      <c r="AC774" s="781"/>
      <c r="AD774" s="781"/>
      <c r="AE774" s="781"/>
      <c r="AF774" s="781"/>
      <c r="AG774" s="781"/>
      <c r="AH774" s="781"/>
      <c r="AI774" s="781"/>
      <c r="AJ774" s="781"/>
      <c r="AK774" s="781"/>
      <c r="AL774" s="781"/>
      <c r="AM774" s="781"/>
      <c r="AN774" s="781"/>
      <c r="AO774" s="781"/>
      <c r="AP774" s="781"/>
      <c r="AQ774" s="781"/>
      <c r="AR774" s="781"/>
      <c r="AS774" s="781"/>
      <c r="AT774" s="781"/>
      <c r="AU774" s="781"/>
    </row>
    <row r="775" ht="15.75" customHeight="1">
      <c r="A775" s="844">
        <v>44575.0</v>
      </c>
      <c r="B775" s="832" t="s">
        <v>6501</v>
      </c>
      <c r="C775" s="797" t="s">
        <v>3820</v>
      </c>
      <c r="D775" s="772" t="s">
        <v>6345</v>
      </c>
      <c r="E775" s="798">
        <v>659874.72</v>
      </c>
      <c r="F775" s="772" t="s">
        <v>4858</v>
      </c>
      <c r="G775" s="772" t="s">
        <v>105</v>
      </c>
      <c r="H775" s="772" t="s">
        <v>29</v>
      </c>
      <c r="I775" s="772" t="s">
        <v>3993</v>
      </c>
      <c r="J775" s="782">
        <v>44005.0</v>
      </c>
      <c r="K775" s="772" t="s">
        <v>3824</v>
      </c>
      <c r="L775" s="781"/>
      <c r="M775" s="781"/>
      <c r="N775" s="781"/>
      <c r="O775" s="781"/>
      <c r="P775" s="781"/>
      <c r="Q775" s="781"/>
      <c r="R775" s="781"/>
      <c r="S775" s="781"/>
      <c r="T775" s="781"/>
      <c r="U775" s="781"/>
      <c r="V775" s="781"/>
      <c r="W775" s="781"/>
      <c r="X775" s="781"/>
      <c r="Y775" s="781"/>
      <c r="Z775" s="781"/>
      <c r="AA775" s="781"/>
      <c r="AB775" s="781"/>
      <c r="AC775" s="781"/>
      <c r="AD775" s="781"/>
      <c r="AE775" s="781"/>
      <c r="AF775" s="781"/>
      <c r="AG775" s="781"/>
      <c r="AH775" s="781"/>
      <c r="AI775" s="781"/>
      <c r="AJ775" s="781"/>
      <c r="AK775" s="781"/>
      <c r="AL775" s="781"/>
      <c r="AM775" s="781"/>
      <c r="AN775" s="781"/>
      <c r="AO775" s="781"/>
      <c r="AP775" s="781"/>
      <c r="AQ775" s="781"/>
      <c r="AR775" s="781"/>
      <c r="AS775" s="781"/>
      <c r="AT775" s="781"/>
      <c r="AU775" s="781"/>
    </row>
    <row r="776" ht="15.75" customHeight="1">
      <c r="A776" s="844">
        <v>44575.0</v>
      </c>
      <c r="B776" s="847" t="s">
        <v>3724</v>
      </c>
      <c r="C776" s="797" t="s">
        <v>3632</v>
      </c>
      <c r="D776" s="772" t="s">
        <v>6345</v>
      </c>
      <c r="E776" s="798">
        <v>147515.9</v>
      </c>
      <c r="F776" s="772" t="s">
        <v>3723</v>
      </c>
      <c r="G776" s="782" t="s">
        <v>18</v>
      </c>
      <c r="H776" s="782" t="s">
        <v>29</v>
      </c>
      <c r="I776" s="782" t="s">
        <v>2803</v>
      </c>
      <c r="J776" s="782">
        <v>43873.0</v>
      </c>
      <c r="K776" s="782" t="s">
        <v>3824</v>
      </c>
      <c r="L776" s="781"/>
      <c r="M776" s="781"/>
      <c r="N776" s="781"/>
      <c r="O776" s="781"/>
      <c r="P776" s="781"/>
      <c r="Q776" s="781"/>
      <c r="R776" s="781"/>
      <c r="S776" s="781"/>
      <c r="T776" s="781"/>
      <c r="U776" s="781"/>
      <c r="V776" s="781"/>
      <c r="W776" s="781"/>
      <c r="X776" s="781"/>
      <c r="Y776" s="781"/>
      <c r="Z776" s="781"/>
      <c r="AA776" s="781"/>
      <c r="AB776" s="781"/>
      <c r="AC776" s="781"/>
      <c r="AD776" s="781"/>
      <c r="AE776" s="781"/>
      <c r="AF776" s="781"/>
      <c r="AG776" s="781"/>
      <c r="AH776" s="781"/>
      <c r="AI776" s="781"/>
      <c r="AJ776" s="781"/>
      <c r="AK776" s="781"/>
      <c r="AL776" s="781"/>
      <c r="AM776" s="781"/>
      <c r="AN776" s="781"/>
      <c r="AO776" s="781"/>
      <c r="AP776" s="781"/>
      <c r="AQ776" s="781"/>
      <c r="AR776" s="781"/>
      <c r="AS776" s="781"/>
      <c r="AT776" s="781"/>
      <c r="AU776" s="781"/>
    </row>
    <row r="777" ht="15.75" customHeight="1">
      <c r="A777" s="844">
        <v>44575.0</v>
      </c>
      <c r="B777" s="846" t="s">
        <v>2902</v>
      </c>
      <c r="C777" s="797" t="s">
        <v>2547</v>
      </c>
      <c r="D777" s="772" t="s">
        <v>6346</v>
      </c>
      <c r="E777" s="798">
        <v>80000.0</v>
      </c>
      <c r="F777" s="772" t="s">
        <v>2901</v>
      </c>
      <c r="G777" s="782" t="s">
        <v>18</v>
      </c>
      <c r="H777" s="782" t="s">
        <v>176</v>
      </c>
      <c r="I777" s="782" t="s">
        <v>197</v>
      </c>
      <c r="J777" s="782">
        <v>44298.0</v>
      </c>
      <c r="K777" s="782" t="s">
        <v>3828</v>
      </c>
      <c r="L777" s="781"/>
      <c r="M777" s="781"/>
      <c r="N777" s="781"/>
      <c r="O777" s="781"/>
      <c r="P777" s="781"/>
      <c r="Q777" s="781"/>
      <c r="R777" s="781"/>
      <c r="S777" s="781"/>
      <c r="T777" s="781"/>
      <c r="U777" s="781"/>
      <c r="V777" s="781"/>
      <c r="W777" s="781"/>
      <c r="X777" s="781"/>
      <c r="Y777" s="781"/>
      <c r="Z777" s="781"/>
      <c r="AA777" s="781"/>
      <c r="AB777" s="781"/>
      <c r="AC777" s="781"/>
      <c r="AD777" s="781"/>
      <c r="AE777" s="781"/>
      <c r="AF777" s="781"/>
      <c r="AG777" s="781"/>
      <c r="AH777" s="781"/>
      <c r="AI777" s="781"/>
      <c r="AJ777" s="781"/>
      <c r="AK777" s="781"/>
      <c r="AL777" s="781"/>
      <c r="AM777" s="781"/>
      <c r="AN777" s="781"/>
      <c r="AO777" s="781"/>
      <c r="AP777" s="781"/>
      <c r="AQ777" s="781"/>
      <c r="AR777" s="781"/>
      <c r="AS777" s="781"/>
      <c r="AT777" s="781"/>
      <c r="AU777" s="781"/>
    </row>
    <row r="778" ht="15.75" customHeight="1">
      <c r="A778" s="844">
        <v>44575.0</v>
      </c>
      <c r="B778" s="846" t="s">
        <v>3409</v>
      </c>
      <c r="C778" s="797" t="s">
        <v>2547</v>
      </c>
      <c r="D778" s="772" t="s">
        <v>6346</v>
      </c>
      <c r="E778" s="798">
        <v>5000.0</v>
      </c>
      <c r="F778" s="772" t="s">
        <v>3408</v>
      </c>
      <c r="G778" s="782" t="s">
        <v>2550</v>
      </c>
      <c r="H778" s="782" t="s">
        <v>29</v>
      </c>
      <c r="I778" s="782" t="s">
        <v>2551</v>
      </c>
      <c r="J778" s="782">
        <v>43894.0</v>
      </c>
      <c r="K778" s="782" t="s">
        <v>3836</v>
      </c>
      <c r="L778" s="781"/>
      <c r="M778" s="781"/>
      <c r="N778" s="781"/>
      <c r="O778" s="781"/>
      <c r="P778" s="781"/>
      <c r="Q778" s="781"/>
      <c r="R778" s="781"/>
      <c r="S778" s="781"/>
      <c r="T778" s="781"/>
      <c r="U778" s="781"/>
      <c r="V778" s="781"/>
      <c r="W778" s="781"/>
      <c r="X778" s="781"/>
      <c r="Y778" s="781"/>
      <c r="Z778" s="781"/>
      <c r="AA778" s="781"/>
      <c r="AB778" s="781"/>
      <c r="AC778" s="781"/>
      <c r="AD778" s="781"/>
      <c r="AE778" s="781"/>
      <c r="AF778" s="781"/>
      <c r="AG778" s="781"/>
      <c r="AH778" s="781"/>
      <c r="AI778" s="781"/>
      <c r="AJ778" s="781"/>
      <c r="AK778" s="781"/>
      <c r="AL778" s="781"/>
      <c r="AM778" s="781"/>
      <c r="AN778" s="781"/>
      <c r="AO778" s="781"/>
      <c r="AP778" s="781"/>
      <c r="AQ778" s="781"/>
      <c r="AR778" s="781"/>
      <c r="AS778" s="781"/>
      <c r="AT778" s="781"/>
      <c r="AU778" s="781"/>
    </row>
    <row r="779" ht="15.75" customHeight="1">
      <c r="A779" s="844">
        <v>44578.0</v>
      </c>
      <c r="B779" s="846" t="s">
        <v>2902</v>
      </c>
      <c r="C779" s="797" t="s">
        <v>2547</v>
      </c>
      <c r="D779" s="772" t="s">
        <v>6345</v>
      </c>
      <c r="E779" s="798">
        <v>181959.12</v>
      </c>
      <c r="F779" s="772" t="s">
        <v>2901</v>
      </c>
      <c r="G779" s="782" t="s">
        <v>18</v>
      </c>
      <c r="H779" s="782" t="s">
        <v>176</v>
      </c>
      <c r="I779" s="782" t="s">
        <v>197</v>
      </c>
      <c r="J779" s="782">
        <v>44298.0</v>
      </c>
      <c r="K779" s="782" t="s">
        <v>3828</v>
      </c>
      <c r="L779" s="781"/>
      <c r="M779" s="781"/>
      <c r="N779" s="781"/>
      <c r="O779" s="781"/>
      <c r="P779" s="781"/>
      <c r="Q779" s="781"/>
      <c r="R779" s="781"/>
      <c r="S779" s="781"/>
      <c r="T779" s="781"/>
      <c r="U779" s="781"/>
      <c r="V779" s="781"/>
      <c r="W779" s="781"/>
      <c r="X779" s="781"/>
      <c r="Y779" s="781"/>
      <c r="Z779" s="781"/>
      <c r="AA779" s="781"/>
      <c r="AB779" s="781"/>
      <c r="AC779" s="781"/>
      <c r="AD779" s="781"/>
      <c r="AE779" s="781"/>
      <c r="AF779" s="781"/>
      <c r="AG779" s="781"/>
      <c r="AH779" s="781"/>
      <c r="AI779" s="781"/>
      <c r="AJ779" s="781"/>
      <c r="AK779" s="781"/>
      <c r="AL779" s="781"/>
      <c r="AM779" s="781"/>
      <c r="AN779" s="781"/>
      <c r="AO779" s="781"/>
      <c r="AP779" s="781"/>
      <c r="AQ779" s="781"/>
      <c r="AR779" s="781"/>
      <c r="AS779" s="781"/>
      <c r="AT779" s="781"/>
      <c r="AU779" s="781"/>
    </row>
    <row r="780" ht="15.75" customHeight="1">
      <c r="A780" s="844">
        <v>44578.0</v>
      </c>
      <c r="B780" s="830" t="s">
        <v>6502</v>
      </c>
      <c r="C780" s="797" t="s">
        <v>3820</v>
      </c>
      <c r="D780" s="772" t="s">
        <v>6346</v>
      </c>
      <c r="E780" s="798">
        <v>50000.0</v>
      </c>
      <c r="F780" s="772" t="s">
        <v>3972</v>
      </c>
      <c r="G780" s="772" t="s">
        <v>18</v>
      </c>
      <c r="H780" s="772" t="s">
        <v>29</v>
      </c>
      <c r="I780" s="772" t="s">
        <v>3973</v>
      </c>
      <c r="J780" s="782">
        <v>44061.0</v>
      </c>
      <c r="K780" s="772" t="s">
        <v>3828</v>
      </c>
      <c r="L780" s="781"/>
      <c r="M780" s="781"/>
      <c r="N780" s="781"/>
      <c r="O780" s="781"/>
      <c r="P780" s="781"/>
      <c r="Q780" s="781"/>
      <c r="R780" s="781"/>
      <c r="S780" s="781"/>
      <c r="T780" s="781"/>
      <c r="U780" s="781"/>
      <c r="V780" s="781"/>
      <c r="W780" s="781"/>
      <c r="X780" s="781"/>
      <c r="Y780" s="781"/>
      <c r="Z780" s="781"/>
      <c r="AA780" s="781"/>
      <c r="AB780" s="781"/>
      <c r="AC780" s="781"/>
      <c r="AD780" s="781"/>
      <c r="AE780" s="781"/>
      <c r="AF780" s="781"/>
      <c r="AG780" s="781"/>
      <c r="AH780" s="781"/>
      <c r="AI780" s="781"/>
      <c r="AJ780" s="781"/>
      <c r="AK780" s="781"/>
      <c r="AL780" s="781"/>
      <c r="AM780" s="781"/>
      <c r="AN780" s="781"/>
      <c r="AO780" s="781"/>
      <c r="AP780" s="781"/>
      <c r="AQ780" s="781"/>
      <c r="AR780" s="781"/>
      <c r="AS780" s="781"/>
      <c r="AT780" s="781"/>
      <c r="AU780" s="781"/>
    </row>
    <row r="781" ht="15.75" customHeight="1">
      <c r="A781" s="844">
        <v>44578.0</v>
      </c>
      <c r="B781" s="812" t="s">
        <v>3091</v>
      </c>
      <c r="C781" s="797" t="s">
        <v>2547</v>
      </c>
      <c r="D781" s="772" t="s">
        <v>6346</v>
      </c>
      <c r="E781" s="798">
        <v>10000.0</v>
      </c>
      <c r="F781" s="772" t="s">
        <v>3090</v>
      </c>
      <c r="G781" s="782" t="s">
        <v>18</v>
      </c>
      <c r="H781" s="782" t="s">
        <v>176</v>
      </c>
      <c r="I781" s="782" t="s">
        <v>177</v>
      </c>
      <c r="J781" s="782">
        <v>44295.0</v>
      </c>
      <c r="K781" s="782" t="s">
        <v>3834</v>
      </c>
      <c r="L781" s="781"/>
      <c r="M781" s="781"/>
      <c r="N781" s="781"/>
      <c r="O781" s="781"/>
      <c r="P781" s="781"/>
      <c r="Q781" s="781"/>
      <c r="R781" s="781"/>
      <c r="S781" s="781"/>
      <c r="T781" s="781"/>
      <c r="U781" s="781"/>
      <c r="V781" s="781"/>
      <c r="W781" s="781"/>
      <c r="X781" s="781"/>
      <c r="Y781" s="781"/>
      <c r="Z781" s="781"/>
      <c r="AA781" s="781"/>
      <c r="AB781" s="781"/>
      <c r="AC781" s="781"/>
      <c r="AD781" s="781"/>
      <c r="AE781" s="781"/>
      <c r="AF781" s="781"/>
      <c r="AG781" s="781"/>
      <c r="AH781" s="781"/>
      <c r="AI781" s="781"/>
      <c r="AJ781" s="781"/>
      <c r="AK781" s="781"/>
      <c r="AL781" s="781"/>
      <c r="AM781" s="781"/>
      <c r="AN781" s="781"/>
      <c r="AO781" s="781"/>
      <c r="AP781" s="781"/>
      <c r="AQ781" s="781"/>
      <c r="AR781" s="781"/>
      <c r="AS781" s="781"/>
      <c r="AT781" s="781"/>
      <c r="AU781" s="781"/>
    </row>
    <row r="782" ht="15.75" customHeight="1">
      <c r="A782" s="844">
        <v>44578.0</v>
      </c>
      <c r="B782" s="812" t="s">
        <v>3107</v>
      </c>
      <c r="C782" s="797" t="s">
        <v>2547</v>
      </c>
      <c r="D782" s="772" t="s">
        <v>6346</v>
      </c>
      <c r="E782" s="798">
        <v>15000.0</v>
      </c>
      <c r="F782" s="772" t="s">
        <v>3106</v>
      </c>
      <c r="G782" s="782" t="s">
        <v>18</v>
      </c>
      <c r="H782" s="782" t="s">
        <v>176</v>
      </c>
      <c r="I782" s="782" t="s">
        <v>197</v>
      </c>
      <c r="J782" s="782">
        <v>44333.0</v>
      </c>
      <c r="K782" s="782" t="s">
        <v>3836</v>
      </c>
      <c r="L782" s="781"/>
      <c r="M782" s="781"/>
      <c r="N782" s="781"/>
      <c r="O782" s="781"/>
      <c r="P782" s="781"/>
      <c r="Q782" s="781"/>
      <c r="R782" s="781"/>
      <c r="S782" s="781"/>
      <c r="T782" s="781"/>
      <c r="U782" s="781"/>
      <c r="V782" s="781"/>
      <c r="W782" s="781"/>
      <c r="X782" s="781"/>
      <c r="Y782" s="781"/>
      <c r="Z782" s="781"/>
      <c r="AA782" s="781"/>
      <c r="AB782" s="781"/>
      <c r="AC782" s="781"/>
      <c r="AD782" s="781"/>
      <c r="AE782" s="781"/>
      <c r="AF782" s="781"/>
      <c r="AG782" s="781"/>
      <c r="AH782" s="781"/>
      <c r="AI782" s="781"/>
      <c r="AJ782" s="781"/>
      <c r="AK782" s="781"/>
      <c r="AL782" s="781"/>
      <c r="AM782" s="781"/>
      <c r="AN782" s="781"/>
      <c r="AO782" s="781"/>
      <c r="AP782" s="781"/>
      <c r="AQ782" s="781"/>
      <c r="AR782" s="781"/>
      <c r="AS782" s="781"/>
      <c r="AT782" s="781"/>
      <c r="AU782" s="781"/>
    </row>
    <row r="783" ht="15.75" customHeight="1">
      <c r="A783" s="844">
        <v>44578.0</v>
      </c>
      <c r="B783" s="832" t="s">
        <v>6503</v>
      </c>
      <c r="C783" s="797" t="s">
        <v>3820</v>
      </c>
      <c r="D783" s="772" t="s">
        <v>6345</v>
      </c>
      <c r="E783" s="798">
        <v>109449.2</v>
      </c>
      <c r="F783" s="772" t="s">
        <v>3913</v>
      </c>
      <c r="G783" s="772" t="s">
        <v>105</v>
      </c>
      <c r="H783" s="772" t="s">
        <v>29</v>
      </c>
      <c r="I783" s="772" t="s">
        <v>3914</v>
      </c>
      <c r="J783" s="782">
        <v>44202.0</v>
      </c>
      <c r="K783" s="772" t="s">
        <v>3824</v>
      </c>
      <c r="L783" s="781"/>
      <c r="M783" s="781"/>
      <c r="N783" s="781"/>
      <c r="O783" s="781"/>
      <c r="P783" s="781"/>
      <c r="Q783" s="781"/>
      <c r="R783" s="781"/>
      <c r="S783" s="781"/>
      <c r="T783" s="781"/>
      <c r="U783" s="781"/>
      <c r="V783" s="781"/>
      <c r="W783" s="781"/>
      <c r="X783" s="781"/>
      <c r="Y783" s="781"/>
      <c r="Z783" s="781"/>
      <c r="AA783" s="781"/>
      <c r="AB783" s="781"/>
      <c r="AC783" s="781"/>
      <c r="AD783" s="781"/>
      <c r="AE783" s="781"/>
      <c r="AF783" s="781"/>
      <c r="AG783" s="781"/>
      <c r="AH783" s="781"/>
      <c r="AI783" s="781"/>
      <c r="AJ783" s="781"/>
      <c r="AK783" s="781"/>
      <c r="AL783" s="781"/>
      <c r="AM783" s="781"/>
      <c r="AN783" s="781"/>
      <c r="AO783" s="781"/>
      <c r="AP783" s="781"/>
      <c r="AQ783" s="781"/>
      <c r="AR783" s="781"/>
      <c r="AS783" s="781"/>
      <c r="AT783" s="781"/>
      <c r="AU783" s="781"/>
    </row>
    <row r="784" ht="15.75" customHeight="1">
      <c r="A784" s="844">
        <v>44579.0</v>
      </c>
      <c r="B784" s="830" t="s">
        <v>6446</v>
      </c>
      <c r="C784" s="797" t="s">
        <v>3820</v>
      </c>
      <c r="D784" s="772" t="s">
        <v>1481</v>
      </c>
      <c r="E784" s="798">
        <v>139991.04</v>
      </c>
      <c r="F784" s="772" t="s">
        <v>6504</v>
      </c>
      <c r="G784" s="772" t="s">
        <v>18</v>
      </c>
      <c r="H784" s="772" t="s">
        <v>19</v>
      </c>
      <c r="I784" s="772" t="s">
        <v>256</v>
      </c>
      <c r="J784" s="782">
        <v>44204.0</v>
      </c>
      <c r="K784" s="772" t="s">
        <v>4029</v>
      </c>
      <c r="L784" s="781"/>
      <c r="M784" s="781"/>
      <c r="N784" s="781"/>
      <c r="O784" s="781"/>
      <c r="P784" s="781"/>
      <c r="Q784" s="781"/>
      <c r="R784" s="781"/>
      <c r="S784" s="781"/>
      <c r="T784" s="781"/>
      <c r="U784" s="781"/>
      <c r="V784" s="781"/>
      <c r="W784" s="781"/>
      <c r="X784" s="781"/>
      <c r="Y784" s="781"/>
      <c r="Z784" s="781"/>
      <c r="AA784" s="781"/>
      <c r="AB784" s="781"/>
      <c r="AC784" s="781"/>
      <c r="AD784" s="781"/>
      <c r="AE784" s="781"/>
      <c r="AF784" s="781"/>
      <c r="AG784" s="781"/>
      <c r="AH784" s="781"/>
      <c r="AI784" s="781"/>
      <c r="AJ784" s="781"/>
      <c r="AK784" s="781"/>
      <c r="AL784" s="781"/>
      <c r="AM784" s="781"/>
      <c r="AN784" s="781"/>
      <c r="AO784" s="781"/>
      <c r="AP784" s="781"/>
      <c r="AQ784" s="781"/>
      <c r="AR784" s="781"/>
      <c r="AS784" s="781"/>
      <c r="AT784" s="781"/>
      <c r="AU784" s="781"/>
    </row>
    <row r="785" ht="15.75" customHeight="1">
      <c r="A785" s="844">
        <v>44579.0</v>
      </c>
      <c r="B785" s="843">
        <v>7048589.0</v>
      </c>
      <c r="C785" s="797" t="s">
        <v>3820</v>
      </c>
      <c r="D785" s="772" t="s">
        <v>1481</v>
      </c>
      <c r="E785" s="798">
        <v>193747.43</v>
      </c>
      <c r="F785" s="772" t="s">
        <v>4924</v>
      </c>
      <c r="G785" s="782" t="s">
        <v>18</v>
      </c>
      <c r="H785" s="782" t="s">
        <v>19</v>
      </c>
      <c r="I785" s="782" t="s">
        <v>213</v>
      </c>
      <c r="J785" s="782">
        <v>44508.0</v>
      </c>
      <c r="K785" s="782" t="s">
        <v>3836</v>
      </c>
      <c r="L785" s="781"/>
      <c r="M785" s="781"/>
      <c r="N785" s="781"/>
      <c r="O785" s="781"/>
      <c r="P785" s="781"/>
      <c r="Q785" s="781"/>
      <c r="R785" s="781"/>
      <c r="S785" s="781"/>
      <c r="T785" s="781"/>
      <c r="U785" s="781"/>
      <c r="V785" s="781"/>
      <c r="W785" s="781"/>
      <c r="X785" s="781"/>
      <c r="Y785" s="781"/>
      <c r="Z785" s="781"/>
      <c r="AA785" s="781"/>
      <c r="AB785" s="781"/>
      <c r="AC785" s="781"/>
      <c r="AD785" s="781"/>
      <c r="AE785" s="781"/>
      <c r="AF785" s="781"/>
      <c r="AG785" s="781"/>
      <c r="AH785" s="781"/>
      <c r="AI785" s="781"/>
      <c r="AJ785" s="781"/>
      <c r="AK785" s="781"/>
      <c r="AL785" s="781"/>
      <c r="AM785" s="781"/>
      <c r="AN785" s="781"/>
      <c r="AO785" s="781"/>
      <c r="AP785" s="781"/>
      <c r="AQ785" s="781"/>
      <c r="AR785" s="781"/>
      <c r="AS785" s="781"/>
      <c r="AT785" s="781"/>
      <c r="AU785" s="781"/>
    </row>
    <row r="786" ht="15.75" customHeight="1">
      <c r="A786" s="844">
        <v>44579.0</v>
      </c>
      <c r="B786" s="830" t="s">
        <v>6384</v>
      </c>
      <c r="C786" s="797" t="s">
        <v>3820</v>
      </c>
      <c r="D786" s="772" t="s">
        <v>6346</v>
      </c>
      <c r="E786" s="798">
        <v>12000.0</v>
      </c>
      <c r="F786" s="772" t="s">
        <v>5098</v>
      </c>
      <c r="G786" s="772" t="s">
        <v>105</v>
      </c>
      <c r="H786" s="772" t="s">
        <v>29</v>
      </c>
      <c r="I786" s="772" t="s">
        <v>4486</v>
      </c>
      <c r="J786" s="782">
        <v>44180.0</v>
      </c>
      <c r="K786" s="772" t="s">
        <v>3828</v>
      </c>
      <c r="L786" s="781"/>
      <c r="M786" s="781"/>
      <c r="N786" s="781"/>
      <c r="O786" s="781"/>
      <c r="P786" s="781"/>
      <c r="Q786" s="781"/>
      <c r="R786" s="781"/>
      <c r="S786" s="781"/>
      <c r="T786" s="781"/>
      <c r="U786" s="781"/>
      <c r="V786" s="781"/>
      <c r="W786" s="781"/>
      <c r="X786" s="781"/>
      <c r="Y786" s="781"/>
      <c r="Z786" s="781"/>
      <c r="AA786" s="781"/>
      <c r="AB786" s="781"/>
      <c r="AC786" s="781"/>
      <c r="AD786" s="781"/>
      <c r="AE786" s="781"/>
      <c r="AF786" s="781"/>
      <c r="AG786" s="781"/>
      <c r="AH786" s="781"/>
      <c r="AI786" s="781"/>
      <c r="AJ786" s="781"/>
      <c r="AK786" s="781"/>
      <c r="AL786" s="781"/>
      <c r="AM786" s="781"/>
      <c r="AN786" s="781"/>
      <c r="AO786" s="781"/>
      <c r="AP786" s="781"/>
      <c r="AQ786" s="781"/>
      <c r="AR786" s="781"/>
      <c r="AS786" s="781"/>
      <c r="AT786" s="781"/>
      <c r="AU786" s="781"/>
    </row>
    <row r="787" ht="15.75" customHeight="1">
      <c r="A787" s="844">
        <v>44580.0</v>
      </c>
      <c r="B787" s="796" t="s">
        <v>2919</v>
      </c>
      <c r="C787" s="797" t="s">
        <v>2547</v>
      </c>
      <c r="D787" s="772" t="s">
        <v>6345</v>
      </c>
      <c r="E787" s="798">
        <v>0.0</v>
      </c>
      <c r="F787" s="772" t="s">
        <v>2918</v>
      </c>
      <c r="G787" s="782" t="s">
        <v>18</v>
      </c>
      <c r="H787" s="782" t="s">
        <v>176</v>
      </c>
      <c r="I787" s="782" t="s">
        <v>177</v>
      </c>
      <c r="J787" s="782">
        <v>44280.0</v>
      </c>
      <c r="K787" s="782" t="s">
        <v>3824</v>
      </c>
      <c r="L787" s="781"/>
      <c r="M787" s="781"/>
      <c r="N787" s="781"/>
      <c r="O787" s="781"/>
      <c r="P787" s="781"/>
      <c r="Q787" s="781"/>
      <c r="R787" s="781"/>
      <c r="S787" s="781"/>
      <c r="T787" s="781"/>
      <c r="U787" s="781"/>
      <c r="V787" s="781"/>
      <c r="W787" s="781"/>
      <c r="X787" s="781"/>
      <c r="Y787" s="781"/>
      <c r="Z787" s="781"/>
      <c r="AA787" s="781"/>
      <c r="AB787" s="781"/>
      <c r="AC787" s="781"/>
      <c r="AD787" s="781"/>
      <c r="AE787" s="781"/>
      <c r="AF787" s="781"/>
      <c r="AG787" s="781"/>
      <c r="AH787" s="781"/>
      <c r="AI787" s="781"/>
      <c r="AJ787" s="781"/>
      <c r="AK787" s="781"/>
      <c r="AL787" s="781"/>
      <c r="AM787" s="781"/>
      <c r="AN787" s="781"/>
      <c r="AO787" s="781"/>
      <c r="AP787" s="781"/>
      <c r="AQ787" s="781"/>
      <c r="AR787" s="781"/>
      <c r="AS787" s="781"/>
      <c r="AT787" s="781"/>
      <c r="AU787" s="781"/>
    </row>
    <row r="788" ht="15.75" customHeight="1">
      <c r="A788" s="844">
        <v>44580.0</v>
      </c>
      <c r="B788" s="796" t="s">
        <v>3248</v>
      </c>
      <c r="C788" s="797" t="s">
        <v>2547</v>
      </c>
      <c r="D788" s="772" t="s">
        <v>6346</v>
      </c>
      <c r="E788" s="798">
        <v>25000.0</v>
      </c>
      <c r="F788" s="772" t="s">
        <v>3245</v>
      </c>
      <c r="G788" s="782" t="s">
        <v>2550</v>
      </c>
      <c r="H788" s="782" t="s">
        <v>29</v>
      </c>
      <c r="I788" s="782" t="s">
        <v>2551</v>
      </c>
      <c r="J788" s="782">
        <v>43811.0</v>
      </c>
      <c r="K788" s="782" t="s">
        <v>3836</v>
      </c>
      <c r="L788" s="781"/>
      <c r="M788" s="781"/>
      <c r="N788" s="781"/>
      <c r="O788" s="781"/>
      <c r="P788" s="781"/>
      <c r="Q788" s="781"/>
      <c r="R788" s="781"/>
      <c r="S788" s="781"/>
      <c r="T788" s="781"/>
      <c r="U788" s="781"/>
      <c r="V788" s="781"/>
      <c r="W788" s="781"/>
      <c r="X788" s="781"/>
      <c r="Y788" s="781"/>
      <c r="Z788" s="781"/>
      <c r="AA788" s="781"/>
      <c r="AB788" s="781"/>
      <c r="AC788" s="781"/>
      <c r="AD788" s="781"/>
      <c r="AE788" s="781"/>
      <c r="AF788" s="781"/>
      <c r="AG788" s="781"/>
      <c r="AH788" s="781"/>
      <c r="AI788" s="781"/>
      <c r="AJ788" s="781"/>
      <c r="AK788" s="781"/>
      <c r="AL788" s="781"/>
      <c r="AM788" s="781"/>
      <c r="AN788" s="781"/>
      <c r="AO788" s="781"/>
      <c r="AP788" s="781"/>
      <c r="AQ788" s="781"/>
      <c r="AR788" s="781"/>
      <c r="AS788" s="781"/>
      <c r="AT788" s="781"/>
      <c r="AU788" s="781"/>
    </row>
    <row r="789" ht="15.75" customHeight="1">
      <c r="A789" s="844">
        <v>44581.0</v>
      </c>
      <c r="B789" s="796" t="s">
        <v>6505</v>
      </c>
      <c r="C789" s="797" t="s">
        <v>3820</v>
      </c>
      <c r="D789" s="772" t="s">
        <v>1481</v>
      </c>
      <c r="E789" s="798">
        <v>13213.29</v>
      </c>
      <c r="F789" s="772" t="s">
        <v>4476</v>
      </c>
      <c r="G789" s="761" t="s">
        <v>18</v>
      </c>
      <c r="H789" s="840" t="s">
        <v>19</v>
      </c>
      <c r="I789" s="840" t="s">
        <v>256</v>
      </c>
      <c r="J789" s="841">
        <v>44405.0</v>
      </c>
      <c r="K789" s="810" t="s">
        <v>3828</v>
      </c>
      <c r="L789" s="781"/>
      <c r="M789" s="781"/>
      <c r="N789" s="781"/>
      <c r="O789" s="781"/>
      <c r="P789" s="781"/>
      <c r="Q789" s="781"/>
      <c r="R789" s="781"/>
      <c r="S789" s="781"/>
      <c r="T789" s="781"/>
      <c r="U789" s="781"/>
      <c r="V789" s="781"/>
      <c r="W789" s="781"/>
      <c r="X789" s="781"/>
      <c r="Y789" s="781"/>
      <c r="Z789" s="781"/>
      <c r="AA789" s="781"/>
      <c r="AB789" s="781"/>
      <c r="AC789" s="781"/>
      <c r="AD789" s="781"/>
      <c r="AE789" s="781"/>
      <c r="AF789" s="781"/>
      <c r="AG789" s="781"/>
      <c r="AH789" s="781"/>
      <c r="AI789" s="781"/>
      <c r="AJ789" s="781"/>
      <c r="AK789" s="781"/>
      <c r="AL789" s="781"/>
      <c r="AM789" s="781"/>
      <c r="AN789" s="781"/>
      <c r="AO789" s="781"/>
      <c r="AP789" s="781"/>
      <c r="AQ789" s="781"/>
      <c r="AR789" s="781"/>
      <c r="AS789" s="781"/>
      <c r="AT789" s="781"/>
      <c r="AU789" s="781"/>
    </row>
    <row r="790" ht="15.75" customHeight="1">
      <c r="A790" s="844">
        <v>44581.0</v>
      </c>
      <c r="B790" s="812" t="s">
        <v>3553</v>
      </c>
      <c r="C790" s="797" t="s">
        <v>2547</v>
      </c>
      <c r="D790" s="772" t="s">
        <v>6346</v>
      </c>
      <c r="E790" s="848">
        <v>13800.0</v>
      </c>
      <c r="F790" s="772" t="s">
        <v>3552</v>
      </c>
      <c r="G790" s="782" t="s">
        <v>2550</v>
      </c>
      <c r="H790" s="782" t="s">
        <v>29</v>
      </c>
      <c r="I790" s="782" t="s">
        <v>2562</v>
      </c>
      <c r="J790" s="782">
        <v>43822.0</v>
      </c>
      <c r="K790" s="782" t="s">
        <v>3836</v>
      </c>
      <c r="L790" s="781"/>
      <c r="M790" s="781"/>
      <c r="N790" s="781"/>
      <c r="O790" s="781"/>
      <c r="P790" s="781"/>
      <c r="Q790" s="781"/>
      <c r="R790" s="781"/>
      <c r="S790" s="781"/>
      <c r="T790" s="781"/>
      <c r="U790" s="781"/>
      <c r="V790" s="781"/>
      <c r="W790" s="781"/>
      <c r="X790" s="781"/>
      <c r="Y790" s="781"/>
      <c r="Z790" s="781"/>
      <c r="AA790" s="781"/>
      <c r="AB790" s="781"/>
      <c r="AC790" s="781"/>
      <c r="AD790" s="781"/>
      <c r="AE790" s="781"/>
      <c r="AF790" s="781"/>
      <c r="AG790" s="781"/>
      <c r="AH790" s="781"/>
      <c r="AI790" s="781"/>
      <c r="AJ790" s="781"/>
      <c r="AK790" s="781"/>
      <c r="AL790" s="781"/>
      <c r="AM790" s="781"/>
      <c r="AN790" s="781"/>
      <c r="AO790" s="781"/>
      <c r="AP790" s="781"/>
      <c r="AQ790" s="781"/>
      <c r="AR790" s="781"/>
      <c r="AS790" s="781"/>
      <c r="AT790" s="781"/>
      <c r="AU790" s="781"/>
    </row>
    <row r="791" ht="15.75" customHeight="1">
      <c r="A791" s="844">
        <v>44581.0</v>
      </c>
      <c r="B791" s="812" t="s">
        <v>3516</v>
      </c>
      <c r="C791" s="797" t="s">
        <v>2547</v>
      </c>
      <c r="D791" s="772" t="s">
        <v>6345</v>
      </c>
      <c r="E791" s="848">
        <v>3800.0</v>
      </c>
      <c r="F791" s="772" t="s">
        <v>3515</v>
      </c>
      <c r="G791" s="782" t="s">
        <v>2550</v>
      </c>
      <c r="H791" s="782" t="s">
        <v>29</v>
      </c>
      <c r="I791" s="782" t="s">
        <v>2551</v>
      </c>
      <c r="J791" s="782">
        <v>43717.0</v>
      </c>
      <c r="K791" s="782" t="s">
        <v>4206</v>
      </c>
      <c r="L791" s="809"/>
      <c r="M791" s="809"/>
      <c r="N791" s="809"/>
      <c r="O791" s="781"/>
      <c r="P791" s="781"/>
      <c r="Q791" s="781"/>
      <c r="R791" s="781"/>
      <c r="S791" s="781"/>
      <c r="T791" s="781"/>
      <c r="U791" s="781"/>
      <c r="V791" s="781"/>
      <c r="W791" s="781"/>
      <c r="X791" s="781"/>
      <c r="Y791" s="781"/>
      <c r="Z791" s="781"/>
      <c r="AA791" s="781"/>
      <c r="AB791" s="781"/>
      <c r="AC791" s="781"/>
      <c r="AD791" s="781"/>
      <c r="AE791" s="781"/>
      <c r="AF791" s="781"/>
      <c r="AG791" s="781"/>
      <c r="AH791" s="781"/>
      <c r="AI791" s="781"/>
      <c r="AJ791" s="781"/>
      <c r="AK791" s="781"/>
      <c r="AL791" s="781"/>
      <c r="AM791" s="781"/>
      <c r="AN791" s="781"/>
      <c r="AO791" s="781"/>
      <c r="AP791" s="781"/>
      <c r="AQ791" s="781"/>
      <c r="AR791" s="781"/>
      <c r="AS791" s="781"/>
      <c r="AT791" s="781"/>
      <c r="AU791" s="781"/>
    </row>
    <row r="792" ht="15.75" customHeight="1">
      <c r="A792" s="844">
        <v>44581.0</v>
      </c>
      <c r="B792" s="812" t="s">
        <v>2710</v>
      </c>
      <c r="C792" s="797" t="s">
        <v>2547</v>
      </c>
      <c r="D792" s="772" t="s">
        <v>1481</v>
      </c>
      <c r="E792" s="798">
        <v>11926.38</v>
      </c>
      <c r="F792" s="772" t="s">
        <v>2709</v>
      </c>
      <c r="G792" s="782" t="s">
        <v>2550</v>
      </c>
      <c r="H792" s="782" t="s">
        <v>29</v>
      </c>
      <c r="I792" s="782" t="s">
        <v>2551</v>
      </c>
      <c r="J792" s="782">
        <v>43769.0</v>
      </c>
      <c r="K792" s="782" t="s">
        <v>3836</v>
      </c>
      <c r="L792" s="781"/>
      <c r="M792" s="781"/>
      <c r="N792" s="781"/>
      <c r="O792" s="781"/>
      <c r="P792" s="781"/>
      <c r="Q792" s="781"/>
      <c r="R792" s="781"/>
      <c r="S792" s="781"/>
      <c r="T792" s="781"/>
      <c r="U792" s="781"/>
      <c r="V792" s="781"/>
      <c r="W792" s="781"/>
      <c r="X792" s="781"/>
      <c r="Y792" s="781"/>
      <c r="Z792" s="781"/>
      <c r="AA792" s="781"/>
      <c r="AB792" s="781"/>
      <c r="AC792" s="781"/>
      <c r="AD792" s="781"/>
      <c r="AE792" s="781"/>
      <c r="AF792" s="781"/>
      <c r="AG792" s="781"/>
      <c r="AH792" s="781"/>
      <c r="AI792" s="781"/>
      <c r="AJ792" s="781"/>
      <c r="AK792" s="781"/>
      <c r="AL792" s="781"/>
      <c r="AM792" s="781"/>
      <c r="AN792" s="781"/>
      <c r="AO792" s="781"/>
      <c r="AP792" s="781"/>
      <c r="AQ792" s="781"/>
      <c r="AR792" s="781"/>
      <c r="AS792" s="781"/>
      <c r="AT792" s="781"/>
      <c r="AU792" s="781"/>
    </row>
    <row r="793" ht="15.75" customHeight="1">
      <c r="A793" s="844">
        <v>44582.0</v>
      </c>
      <c r="B793" s="812" t="s">
        <v>3140</v>
      </c>
      <c r="C793" s="797" t="s">
        <v>2547</v>
      </c>
      <c r="D793" s="772" t="s">
        <v>1481</v>
      </c>
      <c r="E793" s="798">
        <v>219739.11</v>
      </c>
      <c r="F793" s="772" t="s">
        <v>3139</v>
      </c>
      <c r="G793" s="782" t="s">
        <v>18</v>
      </c>
      <c r="H793" s="782" t="s">
        <v>176</v>
      </c>
      <c r="I793" s="782" t="s">
        <v>177</v>
      </c>
      <c r="J793" s="782">
        <v>44319.0</v>
      </c>
      <c r="K793" s="782" t="s">
        <v>3828</v>
      </c>
      <c r="L793" s="781"/>
      <c r="M793" s="781"/>
      <c r="N793" s="781"/>
      <c r="O793" s="781"/>
      <c r="P793" s="781"/>
      <c r="Q793" s="781"/>
      <c r="R793" s="781"/>
      <c r="S793" s="781"/>
      <c r="T793" s="781"/>
      <c r="U793" s="781"/>
      <c r="V793" s="781"/>
      <c r="W793" s="781"/>
      <c r="X793" s="781"/>
      <c r="Y793" s="781"/>
      <c r="Z793" s="781"/>
      <c r="AA793" s="781"/>
      <c r="AB793" s="781"/>
      <c r="AC793" s="781"/>
      <c r="AD793" s="781"/>
      <c r="AE793" s="781"/>
      <c r="AF793" s="781"/>
      <c r="AG793" s="781"/>
      <c r="AH793" s="781"/>
      <c r="AI793" s="781"/>
      <c r="AJ793" s="781"/>
      <c r="AK793" s="781"/>
      <c r="AL793" s="781"/>
      <c r="AM793" s="781"/>
      <c r="AN793" s="781"/>
      <c r="AO793" s="781"/>
      <c r="AP793" s="781"/>
      <c r="AQ793" s="781"/>
      <c r="AR793" s="781"/>
      <c r="AS793" s="781"/>
      <c r="AT793" s="781"/>
      <c r="AU793" s="781"/>
    </row>
    <row r="794" ht="15.75" customHeight="1">
      <c r="A794" s="844">
        <v>44582.0</v>
      </c>
      <c r="B794" s="849" t="s">
        <v>3041</v>
      </c>
      <c r="C794" s="797" t="s">
        <v>2547</v>
      </c>
      <c r="D794" s="772" t="s">
        <v>6346</v>
      </c>
      <c r="E794" s="798">
        <v>3000.0</v>
      </c>
      <c r="F794" s="772" t="s">
        <v>3040</v>
      </c>
      <c r="G794" s="782" t="s">
        <v>2550</v>
      </c>
      <c r="H794" s="782" t="s">
        <v>29</v>
      </c>
      <c r="I794" s="782" t="s">
        <v>2551</v>
      </c>
      <c r="J794" s="782">
        <v>43605.0</v>
      </c>
      <c r="K794" s="782" t="s">
        <v>3836</v>
      </c>
      <c r="L794" s="781"/>
      <c r="M794" s="781"/>
      <c r="N794" s="781"/>
      <c r="O794" s="781"/>
      <c r="P794" s="781"/>
      <c r="Q794" s="781"/>
      <c r="R794" s="781"/>
      <c r="S794" s="781"/>
      <c r="T794" s="781"/>
      <c r="U794" s="781"/>
      <c r="V794" s="781"/>
      <c r="W794" s="781"/>
      <c r="X794" s="781"/>
      <c r="Y794" s="781"/>
      <c r="Z794" s="781"/>
      <c r="AA794" s="781"/>
      <c r="AB794" s="781"/>
      <c r="AC794" s="781"/>
      <c r="AD794" s="781"/>
      <c r="AE794" s="781"/>
      <c r="AF794" s="781"/>
      <c r="AG794" s="781"/>
      <c r="AH794" s="781"/>
      <c r="AI794" s="781"/>
      <c r="AJ794" s="781"/>
      <c r="AK794" s="781"/>
      <c r="AL794" s="781"/>
      <c r="AM794" s="781"/>
      <c r="AN794" s="781"/>
      <c r="AO794" s="781"/>
      <c r="AP794" s="781"/>
      <c r="AQ794" s="781"/>
      <c r="AR794" s="781"/>
      <c r="AS794" s="781"/>
      <c r="AT794" s="781"/>
      <c r="AU794" s="781"/>
    </row>
    <row r="795" ht="15.75" customHeight="1">
      <c r="A795" s="844">
        <v>44582.0</v>
      </c>
      <c r="B795" s="812" t="s">
        <v>3117</v>
      </c>
      <c r="C795" s="797" t="s">
        <v>2547</v>
      </c>
      <c r="D795" s="772" t="s">
        <v>6346</v>
      </c>
      <c r="E795" s="798">
        <v>30000.0</v>
      </c>
      <c r="F795" s="772" t="s">
        <v>3116</v>
      </c>
      <c r="G795" s="782" t="s">
        <v>18</v>
      </c>
      <c r="H795" s="782" t="s">
        <v>176</v>
      </c>
      <c r="I795" s="782" t="s">
        <v>197</v>
      </c>
      <c r="J795" s="782">
        <v>44280.0</v>
      </c>
      <c r="K795" s="782" t="s">
        <v>3828</v>
      </c>
      <c r="L795" s="781"/>
      <c r="M795" s="781"/>
      <c r="N795" s="781"/>
      <c r="O795" s="781"/>
      <c r="P795" s="781"/>
      <c r="Q795" s="781"/>
      <c r="R795" s="781"/>
      <c r="S795" s="781"/>
      <c r="T795" s="781"/>
      <c r="U795" s="781"/>
      <c r="V795" s="781"/>
      <c r="W795" s="781"/>
      <c r="X795" s="781"/>
      <c r="Y795" s="781"/>
      <c r="Z795" s="781"/>
      <c r="AA795" s="781"/>
      <c r="AB795" s="781"/>
      <c r="AC795" s="781"/>
      <c r="AD795" s="781"/>
      <c r="AE795" s="781"/>
      <c r="AF795" s="781"/>
      <c r="AG795" s="781"/>
      <c r="AH795" s="781"/>
      <c r="AI795" s="781"/>
      <c r="AJ795" s="781"/>
      <c r="AK795" s="781"/>
      <c r="AL795" s="781"/>
      <c r="AM795" s="781"/>
      <c r="AN795" s="781"/>
      <c r="AO795" s="781"/>
      <c r="AP795" s="781"/>
      <c r="AQ795" s="781"/>
      <c r="AR795" s="781"/>
      <c r="AS795" s="781"/>
      <c r="AT795" s="781"/>
      <c r="AU795" s="781"/>
    </row>
    <row r="796" ht="15.75" customHeight="1">
      <c r="A796" s="844">
        <v>44582.0</v>
      </c>
      <c r="B796" s="812" t="s">
        <v>3585</v>
      </c>
      <c r="C796" s="797" t="s">
        <v>2547</v>
      </c>
      <c r="D796" s="772" t="s">
        <v>6346</v>
      </c>
      <c r="E796" s="798">
        <v>10000.0</v>
      </c>
      <c r="F796" s="772" t="s">
        <v>3584</v>
      </c>
      <c r="G796" s="782" t="s">
        <v>18</v>
      </c>
      <c r="H796" s="782" t="s">
        <v>176</v>
      </c>
      <c r="I796" s="782" t="s">
        <v>2634</v>
      </c>
      <c r="J796" s="782">
        <v>44267.0</v>
      </c>
      <c r="K796" s="782" t="s">
        <v>3828</v>
      </c>
      <c r="L796" s="781"/>
      <c r="M796" s="781"/>
      <c r="N796" s="781"/>
      <c r="O796" s="781"/>
      <c r="P796" s="781"/>
      <c r="Q796" s="781"/>
      <c r="R796" s="781"/>
      <c r="S796" s="781"/>
      <c r="T796" s="781"/>
      <c r="U796" s="781"/>
      <c r="V796" s="781"/>
      <c r="W796" s="781"/>
      <c r="X796" s="781"/>
      <c r="Y796" s="781"/>
      <c r="Z796" s="781"/>
      <c r="AA796" s="781"/>
      <c r="AB796" s="781"/>
      <c r="AC796" s="781"/>
      <c r="AD796" s="781"/>
      <c r="AE796" s="781"/>
      <c r="AF796" s="781"/>
      <c r="AG796" s="781"/>
      <c r="AH796" s="781"/>
      <c r="AI796" s="781"/>
      <c r="AJ796" s="781"/>
      <c r="AK796" s="781"/>
      <c r="AL796" s="781"/>
      <c r="AM796" s="781"/>
      <c r="AN796" s="781"/>
      <c r="AO796" s="781"/>
      <c r="AP796" s="781"/>
      <c r="AQ796" s="781"/>
      <c r="AR796" s="781"/>
      <c r="AS796" s="781"/>
      <c r="AT796" s="781"/>
      <c r="AU796" s="781"/>
    </row>
    <row r="797" ht="15.75" customHeight="1">
      <c r="A797" s="844">
        <v>44582.0</v>
      </c>
      <c r="B797" s="737">
        <v>7082227.0</v>
      </c>
      <c r="C797" s="797" t="s">
        <v>3820</v>
      </c>
      <c r="D797" s="772" t="s">
        <v>6346</v>
      </c>
      <c r="E797" s="798">
        <v>25000.0</v>
      </c>
      <c r="F797" s="772" t="s">
        <v>4412</v>
      </c>
      <c r="G797" s="782" t="s">
        <v>18</v>
      </c>
      <c r="H797" s="782" t="s">
        <v>19</v>
      </c>
      <c r="I797" s="782" t="s">
        <v>5029</v>
      </c>
      <c r="J797" s="782">
        <v>44511.0</v>
      </c>
      <c r="K797" s="782" t="s">
        <v>3828</v>
      </c>
      <c r="L797" s="781"/>
      <c r="M797" s="781"/>
      <c r="N797" s="781"/>
      <c r="O797" s="781"/>
      <c r="P797" s="781"/>
      <c r="Q797" s="781"/>
      <c r="R797" s="781"/>
      <c r="S797" s="781"/>
      <c r="T797" s="781"/>
      <c r="U797" s="781"/>
      <c r="V797" s="781"/>
      <c r="W797" s="781"/>
      <c r="X797" s="781"/>
      <c r="Y797" s="781"/>
      <c r="Z797" s="781"/>
      <c r="AA797" s="781"/>
      <c r="AB797" s="781"/>
      <c r="AC797" s="781"/>
      <c r="AD797" s="781"/>
      <c r="AE797" s="781"/>
      <c r="AF797" s="781"/>
      <c r="AG797" s="781"/>
      <c r="AH797" s="781"/>
      <c r="AI797" s="781"/>
      <c r="AJ797" s="781"/>
      <c r="AK797" s="781"/>
      <c r="AL797" s="781"/>
      <c r="AM797" s="781"/>
      <c r="AN797" s="781"/>
      <c r="AO797" s="781"/>
      <c r="AP797" s="781"/>
      <c r="AQ797" s="781"/>
      <c r="AR797" s="781"/>
      <c r="AS797" s="781"/>
      <c r="AT797" s="781"/>
      <c r="AU797" s="781"/>
    </row>
    <row r="798" ht="15.75" customHeight="1">
      <c r="A798" s="844">
        <v>44582.0</v>
      </c>
      <c r="B798" s="839" t="s">
        <v>6478</v>
      </c>
      <c r="C798" s="797" t="s">
        <v>3820</v>
      </c>
      <c r="D798" s="772" t="s">
        <v>6346</v>
      </c>
      <c r="E798" s="798">
        <v>10000.0</v>
      </c>
      <c r="F798" s="772" t="s">
        <v>6506</v>
      </c>
      <c r="G798" s="772" t="s">
        <v>18</v>
      </c>
      <c r="H798" s="772" t="s">
        <v>29</v>
      </c>
      <c r="I798" s="772" t="s">
        <v>2803</v>
      </c>
      <c r="J798" s="782">
        <v>44399.0</v>
      </c>
      <c r="K798" s="772" t="s">
        <v>6507</v>
      </c>
      <c r="L798" s="781"/>
      <c r="M798" s="781"/>
      <c r="N798" s="781"/>
      <c r="O798" s="781"/>
      <c r="P798" s="781"/>
      <c r="Q798" s="781"/>
      <c r="R798" s="781"/>
      <c r="S798" s="781"/>
      <c r="T798" s="781"/>
      <c r="U798" s="781"/>
      <c r="V798" s="781"/>
      <c r="W798" s="781"/>
      <c r="X798" s="781"/>
      <c r="Y798" s="781"/>
      <c r="Z798" s="781"/>
      <c r="AA798" s="781"/>
      <c r="AB798" s="781"/>
      <c r="AC798" s="781"/>
      <c r="AD798" s="781"/>
      <c r="AE798" s="781"/>
      <c r="AF798" s="781"/>
      <c r="AG798" s="781"/>
      <c r="AH798" s="781"/>
      <c r="AI798" s="781"/>
      <c r="AJ798" s="781"/>
      <c r="AK798" s="781"/>
      <c r="AL798" s="781"/>
      <c r="AM798" s="781"/>
      <c r="AN798" s="781"/>
      <c r="AO798" s="781"/>
      <c r="AP798" s="781"/>
      <c r="AQ798" s="781"/>
      <c r="AR798" s="781"/>
      <c r="AS798" s="781"/>
      <c r="AT798" s="781"/>
      <c r="AU798" s="781"/>
    </row>
    <row r="799" ht="15.75" customHeight="1">
      <c r="A799" s="782">
        <v>44586.0</v>
      </c>
      <c r="B799" s="783" t="s">
        <v>6508</v>
      </c>
      <c r="C799" s="772" t="s">
        <v>3820</v>
      </c>
      <c r="D799" s="772" t="s">
        <v>1481</v>
      </c>
      <c r="E799" s="784">
        <v>142585.32</v>
      </c>
      <c r="F799" s="772" t="s">
        <v>4924</v>
      </c>
      <c r="G799" s="772" t="s">
        <v>18</v>
      </c>
      <c r="H799" s="772" t="s">
        <v>19</v>
      </c>
      <c r="I799" s="843" t="s">
        <v>213</v>
      </c>
      <c r="J799" s="850">
        <v>44508.0</v>
      </c>
      <c r="K799" s="772" t="s">
        <v>3836</v>
      </c>
      <c r="L799" s="851"/>
      <c r="M799" s="851"/>
      <c r="N799" s="851"/>
      <c r="O799" s="851"/>
      <c r="P799" s="851"/>
      <c r="Q799" s="851"/>
      <c r="R799" s="851"/>
      <c r="S799" s="851"/>
      <c r="T799" s="851"/>
      <c r="U799" s="851"/>
      <c r="V799" s="851"/>
      <c r="W799" s="851"/>
      <c r="X799" s="851"/>
      <c r="Y799" s="851"/>
      <c r="Z799" s="851"/>
      <c r="AA799" s="851"/>
      <c r="AB799" s="781"/>
      <c r="AC799" s="781"/>
      <c r="AD799" s="781"/>
      <c r="AE799" s="781"/>
      <c r="AF799" s="781"/>
      <c r="AG799" s="781"/>
      <c r="AH799" s="781"/>
      <c r="AI799" s="781"/>
      <c r="AJ799" s="781"/>
      <c r="AK799" s="781"/>
      <c r="AL799" s="781"/>
      <c r="AM799" s="781"/>
      <c r="AN799" s="781"/>
      <c r="AO799" s="781"/>
      <c r="AP799" s="781"/>
      <c r="AQ799" s="781"/>
      <c r="AR799" s="781"/>
      <c r="AS799" s="781"/>
      <c r="AT799" s="781"/>
      <c r="AU799" s="781"/>
    </row>
    <row r="800" ht="15.75" customHeight="1">
      <c r="A800" s="782">
        <v>44592.0</v>
      </c>
      <c r="B800" s="783" t="s">
        <v>6509</v>
      </c>
      <c r="C800" s="772" t="s">
        <v>3820</v>
      </c>
      <c r="D800" s="772" t="s">
        <v>6346</v>
      </c>
      <c r="E800" s="784">
        <v>3500.0</v>
      </c>
      <c r="F800" s="772" t="s">
        <v>4043</v>
      </c>
      <c r="G800" s="772" t="s">
        <v>18</v>
      </c>
      <c r="H800" s="772" t="s">
        <v>19</v>
      </c>
      <c r="I800" s="843" t="s">
        <v>122</v>
      </c>
      <c r="J800" s="850">
        <v>44523.0</v>
      </c>
      <c r="K800" s="772" t="s">
        <v>3834</v>
      </c>
      <c r="L800" s="774"/>
      <c r="M800" s="774"/>
      <c r="N800" s="774"/>
      <c r="O800" s="774"/>
      <c r="P800" s="774"/>
      <c r="Q800" s="774"/>
      <c r="R800" s="774"/>
      <c r="S800" s="774"/>
      <c r="T800" s="774"/>
      <c r="U800" s="774"/>
      <c r="V800" s="774"/>
      <c r="W800" s="774"/>
      <c r="X800" s="774"/>
      <c r="Y800" s="774"/>
      <c r="Z800" s="774"/>
      <c r="AA800" s="774"/>
      <c r="AB800" s="781"/>
      <c r="AC800" s="781"/>
      <c r="AD800" s="781"/>
      <c r="AE800" s="781"/>
      <c r="AF800" s="781"/>
      <c r="AG800" s="781"/>
      <c r="AH800" s="781"/>
      <c r="AI800" s="781"/>
      <c r="AJ800" s="781"/>
      <c r="AK800" s="781"/>
      <c r="AL800" s="781"/>
      <c r="AM800" s="781"/>
      <c r="AN800" s="781"/>
      <c r="AO800" s="781"/>
      <c r="AP800" s="781"/>
      <c r="AQ800" s="781"/>
      <c r="AR800" s="781"/>
      <c r="AS800" s="781"/>
      <c r="AT800" s="781"/>
      <c r="AU800" s="781"/>
    </row>
    <row r="801" ht="15.75" customHeight="1">
      <c r="A801" s="795">
        <v>44592.0</v>
      </c>
      <c r="B801" s="827" t="s">
        <v>2666</v>
      </c>
      <c r="C801" s="797" t="s">
        <v>2547</v>
      </c>
      <c r="D801" s="772" t="s">
        <v>6345</v>
      </c>
      <c r="E801" s="798" t="s">
        <v>6510</v>
      </c>
      <c r="F801" s="772" t="s">
        <v>2665</v>
      </c>
      <c r="G801" s="782" t="s">
        <v>18</v>
      </c>
      <c r="H801" s="782" t="s">
        <v>176</v>
      </c>
      <c r="I801" s="782" t="s">
        <v>197</v>
      </c>
      <c r="J801" s="782">
        <v>44295.0</v>
      </c>
      <c r="K801" s="782" t="s">
        <v>3824</v>
      </c>
      <c r="L801" s="774"/>
      <c r="M801" s="774"/>
      <c r="N801" s="774"/>
      <c r="O801" s="774"/>
      <c r="P801" s="774"/>
      <c r="Q801" s="774"/>
      <c r="R801" s="774"/>
      <c r="S801" s="774"/>
      <c r="T801" s="774"/>
      <c r="U801" s="774"/>
      <c r="V801" s="774"/>
      <c r="W801" s="774"/>
      <c r="X801" s="774"/>
      <c r="Y801" s="774"/>
      <c r="Z801" s="774"/>
      <c r="AA801" s="774"/>
      <c r="AB801" s="781"/>
      <c r="AC801" s="781"/>
      <c r="AD801" s="781"/>
      <c r="AE801" s="781"/>
      <c r="AF801" s="781"/>
      <c r="AG801" s="781"/>
      <c r="AH801" s="781"/>
      <c r="AI801" s="781"/>
      <c r="AJ801" s="781"/>
      <c r="AK801" s="781"/>
      <c r="AL801" s="781"/>
      <c r="AM801" s="781"/>
      <c r="AN801" s="781"/>
      <c r="AO801" s="781"/>
      <c r="AP801" s="781"/>
      <c r="AQ801" s="781"/>
      <c r="AR801" s="781"/>
      <c r="AS801" s="781"/>
      <c r="AT801" s="781"/>
      <c r="AU801" s="781"/>
    </row>
    <row r="802" ht="15.75" customHeight="1">
      <c r="A802" s="782">
        <v>44593.0</v>
      </c>
      <c r="B802" s="783" t="s">
        <v>6384</v>
      </c>
      <c r="C802" s="772" t="s">
        <v>3820</v>
      </c>
      <c r="D802" s="772" t="s">
        <v>6346</v>
      </c>
      <c r="E802" s="784">
        <v>11000.0</v>
      </c>
      <c r="F802" s="772" t="s">
        <v>5098</v>
      </c>
      <c r="G802" s="772" t="s">
        <v>105</v>
      </c>
      <c r="H802" s="772" t="s">
        <v>29</v>
      </c>
      <c r="I802" s="843" t="s">
        <v>4486</v>
      </c>
      <c r="J802" s="850">
        <v>44180.0</v>
      </c>
      <c r="K802" s="772" t="s">
        <v>3828</v>
      </c>
      <c r="L802" s="774"/>
      <c r="M802" s="774"/>
      <c r="N802" s="774"/>
      <c r="O802" s="774"/>
      <c r="P802" s="774"/>
      <c r="Q802" s="774"/>
      <c r="R802" s="774"/>
      <c r="S802" s="774"/>
      <c r="T802" s="774"/>
      <c r="U802" s="774"/>
      <c r="V802" s="774"/>
      <c r="W802" s="774"/>
      <c r="X802" s="774"/>
      <c r="Y802" s="774"/>
      <c r="Z802" s="774"/>
      <c r="AA802" s="774"/>
      <c r="AB802" s="781"/>
      <c r="AC802" s="781"/>
      <c r="AD802" s="781"/>
      <c r="AE802" s="781"/>
      <c r="AF802" s="781"/>
      <c r="AG802" s="781"/>
      <c r="AH802" s="781"/>
      <c r="AI802" s="781"/>
      <c r="AJ802" s="781"/>
      <c r="AK802" s="781"/>
      <c r="AL802" s="781"/>
      <c r="AM802" s="781"/>
      <c r="AN802" s="781"/>
      <c r="AO802" s="781"/>
      <c r="AP802" s="781"/>
      <c r="AQ802" s="781"/>
      <c r="AR802" s="781"/>
      <c r="AS802" s="781"/>
      <c r="AT802" s="781"/>
      <c r="AU802" s="781"/>
    </row>
    <row r="803" ht="15.75" customHeight="1">
      <c r="A803" s="782">
        <v>44601.0</v>
      </c>
      <c r="B803" s="843" t="s">
        <v>6511</v>
      </c>
      <c r="C803" s="772" t="s">
        <v>3820</v>
      </c>
      <c r="D803" s="772" t="s">
        <v>6346</v>
      </c>
      <c r="E803" s="784">
        <v>25000.0</v>
      </c>
      <c r="F803" s="772" t="s">
        <v>1552</v>
      </c>
      <c r="G803" s="761" t="s">
        <v>18</v>
      </c>
      <c r="H803" s="852" t="s">
        <v>29</v>
      </c>
      <c r="I803" s="761" t="s">
        <v>6512</v>
      </c>
      <c r="J803" s="808">
        <v>44594.0</v>
      </c>
      <c r="K803" s="772" t="s">
        <v>3834</v>
      </c>
      <c r="L803" s="781"/>
      <c r="M803" s="781"/>
      <c r="N803" s="781"/>
      <c r="O803" s="781"/>
      <c r="P803" s="781"/>
      <c r="Q803" s="781"/>
      <c r="R803" s="781"/>
      <c r="S803" s="781"/>
      <c r="T803" s="781"/>
      <c r="U803" s="781"/>
      <c r="V803" s="781"/>
      <c r="W803" s="781"/>
      <c r="X803" s="781"/>
      <c r="Y803" s="781"/>
      <c r="Z803" s="781"/>
      <c r="AA803" s="781"/>
      <c r="AB803" s="781"/>
      <c r="AC803" s="781"/>
      <c r="AD803" s="781"/>
      <c r="AE803" s="781"/>
      <c r="AF803" s="781"/>
      <c r="AG803" s="781"/>
      <c r="AH803" s="781"/>
      <c r="AI803" s="781"/>
      <c r="AJ803" s="781"/>
      <c r="AK803" s="781"/>
      <c r="AL803" s="781"/>
      <c r="AM803" s="781"/>
      <c r="AN803" s="781"/>
      <c r="AO803" s="781"/>
      <c r="AP803" s="781"/>
      <c r="AQ803" s="781"/>
      <c r="AR803" s="781"/>
      <c r="AS803" s="781"/>
      <c r="AT803" s="781"/>
      <c r="AU803" s="781"/>
    </row>
    <row r="804" ht="15.75" customHeight="1">
      <c r="A804" s="782">
        <v>44606.0</v>
      </c>
      <c r="B804" s="783" t="s">
        <v>6513</v>
      </c>
      <c r="C804" s="772" t="s">
        <v>3820</v>
      </c>
      <c r="D804" s="772" t="s">
        <v>6346</v>
      </c>
      <c r="E804" s="784">
        <v>45000.0</v>
      </c>
      <c r="F804" s="772" t="s">
        <v>3822</v>
      </c>
      <c r="G804" s="772" t="s">
        <v>18</v>
      </c>
      <c r="H804" s="772" t="s">
        <v>29</v>
      </c>
      <c r="I804" s="843" t="s">
        <v>3666</v>
      </c>
      <c r="J804" s="850">
        <v>44482.0</v>
      </c>
      <c r="K804" s="772" t="s">
        <v>3824</v>
      </c>
      <c r="L804" s="781"/>
      <c r="M804" s="781"/>
      <c r="N804" s="781"/>
      <c r="O804" s="781"/>
      <c r="P804" s="781"/>
      <c r="Q804" s="781"/>
      <c r="R804" s="781"/>
      <c r="S804" s="781"/>
      <c r="T804" s="781"/>
      <c r="U804" s="781"/>
      <c r="V804" s="781"/>
      <c r="W804" s="781"/>
      <c r="X804" s="781"/>
      <c r="Y804" s="781"/>
      <c r="Z804" s="781"/>
      <c r="AA804" s="781"/>
      <c r="AB804" s="781"/>
      <c r="AC804" s="781"/>
      <c r="AD804" s="781"/>
      <c r="AE804" s="781"/>
      <c r="AF804" s="781"/>
      <c r="AG804" s="781"/>
      <c r="AH804" s="781"/>
      <c r="AI804" s="781"/>
      <c r="AJ804" s="781"/>
      <c r="AK804" s="781"/>
      <c r="AL804" s="781"/>
      <c r="AM804" s="781"/>
      <c r="AN804" s="781"/>
      <c r="AO804" s="781"/>
      <c r="AP804" s="781"/>
      <c r="AQ804" s="781"/>
      <c r="AR804" s="781"/>
      <c r="AS804" s="781"/>
      <c r="AT804" s="781"/>
      <c r="AU804" s="781"/>
    </row>
    <row r="805" ht="15.75" customHeight="1">
      <c r="A805" s="782">
        <v>44609.0</v>
      </c>
      <c r="B805" s="783" t="s">
        <v>6384</v>
      </c>
      <c r="C805" s="772" t="s">
        <v>3820</v>
      </c>
      <c r="D805" s="772" t="s">
        <v>6346</v>
      </c>
      <c r="E805" s="784">
        <v>10000.0</v>
      </c>
      <c r="F805" s="772" t="s">
        <v>5098</v>
      </c>
      <c r="G805" s="772" t="s">
        <v>105</v>
      </c>
      <c r="H805" s="852" t="s">
        <v>29</v>
      </c>
      <c r="I805" s="843" t="s">
        <v>4486</v>
      </c>
      <c r="J805" s="850">
        <v>44180.0</v>
      </c>
      <c r="K805" s="772" t="s">
        <v>3828</v>
      </c>
      <c r="L805" s="781"/>
      <c r="M805" s="781"/>
      <c r="N805" s="781"/>
      <c r="O805" s="781"/>
      <c r="P805" s="781"/>
      <c r="Q805" s="781"/>
      <c r="R805" s="781"/>
      <c r="S805" s="781"/>
      <c r="T805" s="781"/>
      <c r="U805" s="781"/>
      <c r="V805" s="781"/>
      <c r="W805" s="781"/>
      <c r="X805" s="781"/>
      <c r="Y805" s="781"/>
      <c r="Z805" s="781"/>
      <c r="AA805" s="781"/>
      <c r="AB805" s="781"/>
      <c r="AC805" s="781"/>
      <c r="AD805" s="781"/>
      <c r="AE805" s="781"/>
      <c r="AF805" s="781"/>
      <c r="AG805" s="781"/>
      <c r="AH805" s="781"/>
      <c r="AI805" s="781"/>
      <c r="AJ805" s="781"/>
      <c r="AK805" s="781"/>
      <c r="AL805" s="781"/>
      <c r="AM805" s="781"/>
      <c r="AN805" s="781"/>
      <c r="AO805" s="781"/>
      <c r="AP805" s="781"/>
      <c r="AQ805" s="781"/>
      <c r="AR805" s="781"/>
      <c r="AS805" s="781"/>
      <c r="AT805" s="781"/>
      <c r="AU805" s="781"/>
    </row>
    <row r="806" ht="15.75" customHeight="1">
      <c r="A806" s="782">
        <v>44622.0</v>
      </c>
      <c r="B806" s="737">
        <v>858723.0</v>
      </c>
      <c r="C806" s="737" t="s">
        <v>2547</v>
      </c>
      <c r="D806" s="772" t="s">
        <v>6346</v>
      </c>
      <c r="E806" s="799">
        <v>25000.0</v>
      </c>
      <c r="F806" s="737" t="s">
        <v>3506</v>
      </c>
      <c r="G806" s="761" t="s">
        <v>18</v>
      </c>
      <c r="H806" s="772" t="s">
        <v>176</v>
      </c>
      <c r="I806" s="772" t="s">
        <v>177</v>
      </c>
      <c r="J806" s="805">
        <v>44585.0</v>
      </c>
      <c r="K806" s="843" t="s">
        <v>3834</v>
      </c>
      <c r="L806" s="781"/>
      <c r="M806" s="781"/>
      <c r="N806" s="781"/>
      <c r="O806" s="781"/>
      <c r="P806" s="781"/>
      <c r="Q806" s="781"/>
      <c r="R806" s="781"/>
      <c r="S806" s="781"/>
      <c r="T806" s="781"/>
      <c r="U806" s="781"/>
      <c r="V806" s="781"/>
      <c r="W806" s="781"/>
      <c r="X806" s="781"/>
      <c r="Y806" s="781"/>
      <c r="Z806" s="781"/>
      <c r="AA806" s="781"/>
      <c r="AB806" s="781"/>
      <c r="AC806" s="781"/>
      <c r="AD806" s="781"/>
      <c r="AE806" s="781"/>
      <c r="AF806" s="781"/>
      <c r="AG806" s="781"/>
      <c r="AH806" s="781"/>
      <c r="AI806" s="781"/>
      <c r="AJ806" s="781"/>
      <c r="AK806" s="781"/>
      <c r="AL806" s="781"/>
      <c r="AM806" s="781"/>
      <c r="AN806" s="781"/>
      <c r="AO806" s="781"/>
      <c r="AP806" s="781"/>
      <c r="AQ806" s="781"/>
      <c r="AR806" s="781"/>
      <c r="AS806" s="781"/>
      <c r="AT806" s="781"/>
      <c r="AU806" s="781"/>
    </row>
    <row r="807" ht="15.75" customHeight="1">
      <c r="A807" s="782">
        <v>44622.0</v>
      </c>
      <c r="B807" s="737">
        <v>328970.0</v>
      </c>
      <c r="C807" s="737" t="s">
        <v>2547</v>
      </c>
      <c r="D807" s="772" t="s">
        <v>6346</v>
      </c>
      <c r="E807" s="799">
        <v>106000.0</v>
      </c>
      <c r="F807" s="810" t="s">
        <v>3082</v>
      </c>
      <c r="G807" s="761" t="s">
        <v>18</v>
      </c>
      <c r="H807" s="772" t="s">
        <v>176</v>
      </c>
      <c r="I807" s="772" t="s">
        <v>197</v>
      </c>
      <c r="J807" s="805">
        <v>44277.0</v>
      </c>
      <c r="K807" s="843" t="s">
        <v>3824</v>
      </c>
      <c r="L807" s="781"/>
      <c r="M807" s="781"/>
      <c r="N807" s="781"/>
      <c r="O807" s="781"/>
      <c r="P807" s="781"/>
      <c r="Q807" s="781"/>
      <c r="R807" s="781"/>
      <c r="S807" s="781"/>
      <c r="T807" s="781"/>
      <c r="U807" s="781"/>
      <c r="V807" s="781"/>
      <c r="W807" s="781"/>
      <c r="X807" s="781"/>
      <c r="Y807" s="781"/>
      <c r="Z807" s="781"/>
      <c r="AA807" s="781"/>
      <c r="AB807" s="781"/>
      <c r="AC807" s="781"/>
      <c r="AD807" s="781"/>
      <c r="AE807" s="781"/>
      <c r="AF807" s="781"/>
      <c r="AG807" s="781"/>
      <c r="AH807" s="781"/>
      <c r="AI807" s="781"/>
      <c r="AJ807" s="781"/>
      <c r="AK807" s="781"/>
      <c r="AL807" s="781"/>
      <c r="AM807" s="781"/>
      <c r="AN807" s="781"/>
      <c r="AO807" s="781"/>
      <c r="AP807" s="781"/>
      <c r="AQ807" s="781"/>
      <c r="AR807" s="781"/>
      <c r="AS807" s="781"/>
      <c r="AT807" s="781"/>
      <c r="AU807" s="781"/>
    </row>
    <row r="808" ht="15.75" customHeight="1">
      <c r="A808" s="782">
        <v>44622.0</v>
      </c>
      <c r="B808" s="783" t="s">
        <v>3266</v>
      </c>
      <c r="C808" s="737" t="s">
        <v>2547</v>
      </c>
      <c r="D808" s="772" t="s">
        <v>6346</v>
      </c>
      <c r="E808" s="799">
        <v>100000.0</v>
      </c>
      <c r="F808" s="772" t="s">
        <v>6514</v>
      </c>
      <c r="G808" s="761" t="s">
        <v>18</v>
      </c>
      <c r="H808" s="772" t="s">
        <v>176</v>
      </c>
      <c r="I808" s="772" t="s">
        <v>197</v>
      </c>
      <c r="J808" s="782">
        <v>44448.0</v>
      </c>
      <c r="K808" s="772" t="s">
        <v>3824</v>
      </c>
      <c r="L808" s="781"/>
      <c r="M808" s="781"/>
      <c r="N808" s="781"/>
      <c r="O808" s="781"/>
      <c r="P808" s="781"/>
      <c r="Q808" s="781"/>
      <c r="R808" s="781"/>
      <c r="S808" s="781"/>
      <c r="T808" s="781"/>
      <c r="U808" s="781"/>
      <c r="V808" s="781"/>
      <c r="W808" s="781"/>
      <c r="X808" s="781"/>
      <c r="Y808" s="781"/>
      <c r="Z808" s="781"/>
      <c r="AA808" s="781"/>
      <c r="AB808" s="781"/>
      <c r="AC808" s="781"/>
      <c r="AD808" s="781"/>
      <c r="AE808" s="781"/>
      <c r="AF808" s="781"/>
      <c r="AG808" s="781"/>
      <c r="AH808" s="781"/>
      <c r="AI808" s="781"/>
      <c r="AJ808" s="781"/>
      <c r="AK808" s="781"/>
      <c r="AL808" s="781"/>
      <c r="AM808" s="781"/>
      <c r="AN808" s="781"/>
      <c r="AO808" s="781"/>
      <c r="AP808" s="781"/>
      <c r="AQ808" s="781"/>
      <c r="AR808" s="781"/>
      <c r="AS808" s="781"/>
      <c r="AT808" s="781"/>
      <c r="AU808" s="781"/>
    </row>
    <row r="809" ht="15.75" customHeight="1">
      <c r="A809" s="782">
        <v>44622.0</v>
      </c>
      <c r="B809" s="737">
        <v>330028.0</v>
      </c>
      <c r="C809" s="737" t="s">
        <v>2547</v>
      </c>
      <c r="D809" s="772" t="s">
        <v>6346</v>
      </c>
      <c r="E809" s="784">
        <v>500.0</v>
      </c>
      <c r="F809" s="772" t="s">
        <v>359</v>
      </c>
      <c r="G809" s="761" t="s">
        <v>18</v>
      </c>
      <c r="H809" s="772" t="s">
        <v>176</v>
      </c>
      <c r="I809" s="772" t="s">
        <v>177</v>
      </c>
      <c r="J809" s="782">
        <v>44263.0</v>
      </c>
      <c r="K809" s="772" t="s">
        <v>3828</v>
      </c>
      <c r="L809" s="781"/>
      <c r="M809" s="781"/>
      <c r="N809" s="781"/>
      <c r="O809" s="781"/>
      <c r="P809" s="781"/>
      <c r="Q809" s="781"/>
      <c r="R809" s="781"/>
      <c r="S809" s="781"/>
      <c r="T809" s="781"/>
      <c r="U809" s="781"/>
      <c r="V809" s="781"/>
      <c r="W809" s="781"/>
      <c r="X809" s="781"/>
      <c r="Y809" s="781"/>
      <c r="Z809" s="781"/>
      <c r="AA809" s="781"/>
      <c r="AB809" s="781"/>
      <c r="AC809" s="781"/>
      <c r="AD809" s="781"/>
      <c r="AE809" s="781"/>
      <c r="AF809" s="781"/>
      <c r="AG809" s="781"/>
      <c r="AH809" s="781"/>
      <c r="AI809" s="781"/>
      <c r="AJ809" s="781"/>
      <c r="AK809" s="781"/>
      <c r="AL809" s="781"/>
      <c r="AM809" s="781"/>
      <c r="AN809" s="781"/>
      <c r="AO809" s="781"/>
      <c r="AP809" s="781"/>
      <c r="AQ809" s="781"/>
      <c r="AR809" s="781"/>
      <c r="AS809" s="781"/>
      <c r="AT809" s="781"/>
      <c r="AU809" s="781"/>
    </row>
    <row r="810" ht="15.75" customHeight="1">
      <c r="A810" s="782">
        <v>44627.0</v>
      </c>
      <c r="B810" s="834" t="s">
        <v>6372</v>
      </c>
      <c r="C810" s="772" t="s">
        <v>3820</v>
      </c>
      <c r="D810" s="772" t="s">
        <v>6346</v>
      </c>
      <c r="E810" s="799">
        <v>8000.0</v>
      </c>
      <c r="F810" s="772" t="s">
        <v>3882</v>
      </c>
      <c r="G810" s="772" t="s">
        <v>2550</v>
      </c>
      <c r="H810" s="772" t="s">
        <v>2600</v>
      </c>
      <c r="I810" s="772" t="s">
        <v>2550</v>
      </c>
      <c r="J810" s="782">
        <v>44180.0</v>
      </c>
      <c r="K810" s="772" t="s">
        <v>3828</v>
      </c>
      <c r="L810" s="781"/>
      <c r="M810" s="781"/>
      <c r="N810" s="781"/>
      <c r="O810" s="781"/>
      <c r="P810" s="781"/>
      <c r="Q810" s="781"/>
      <c r="R810" s="781"/>
      <c r="S810" s="781"/>
      <c r="T810" s="781"/>
      <c r="U810" s="781"/>
      <c r="V810" s="781"/>
      <c r="W810" s="781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81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</row>
    <row r="811" ht="15.75" customHeight="1">
      <c r="A811" s="782">
        <v>44627.0</v>
      </c>
      <c r="B811" s="737">
        <v>4345500.0</v>
      </c>
      <c r="C811" s="737" t="s">
        <v>2547</v>
      </c>
      <c r="D811" s="772" t="s">
        <v>6346</v>
      </c>
      <c r="E811" s="799">
        <v>7500.0</v>
      </c>
      <c r="F811" s="772" t="s">
        <v>2981</v>
      </c>
      <c r="G811" s="772" t="s">
        <v>2550</v>
      </c>
      <c r="H811" s="782"/>
      <c r="I811" s="772" t="s">
        <v>2550</v>
      </c>
      <c r="J811" s="782">
        <v>43703.0</v>
      </c>
      <c r="K811" s="772" t="s">
        <v>4206</v>
      </c>
      <c r="L811" s="781"/>
      <c r="M811" s="781"/>
      <c r="N811" s="781"/>
      <c r="O811" s="781"/>
      <c r="P811" s="781"/>
      <c r="Q811" s="781"/>
      <c r="R811" s="781"/>
      <c r="S811" s="781"/>
      <c r="T811" s="781"/>
      <c r="U811" s="781"/>
      <c r="V811" s="781"/>
      <c r="W811" s="781"/>
      <c r="X811" s="781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81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</row>
    <row r="812" ht="15.75" customHeight="1">
      <c r="A812" s="811">
        <v>44628.0</v>
      </c>
      <c r="B812" s="812" t="s">
        <v>6368</v>
      </c>
      <c r="C812" s="813" t="s">
        <v>3820</v>
      </c>
      <c r="D812" s="814" t="s">
        <v>6346</v>
      </c>
      <c r="E812" s="815">
        <v>5000.0</v>
      </c>
      <c r="F812" s="814" t="s">
        <v>4388</v>
      </c>
      <c r="G812" s="814" t="s">
        <v>105</v>
      </c>
      <c r="H812" s="814" t="s">
        <v>29</v>
      </c>
      <c r="I812" s="814" t="s">
        <v>3887</v>
      </c>
      <c r="J812" s="816">
        <v>44263.0</v>
      </c>
      <c r="K812" s="813" t="s">
        <v>3828</v>
      </c>
      <c r="L812" s="781"/>
      <c r="M812" s="781"/>
      <c r="N812" s="781"/>
      <c r="O812" s="781"/>
      <c r="P812" s="781"/>
      <c r="Q812" s="781"/>
      <c r="R812" s="781"/>
      <c r="S812" s="781"/>
      <c r="T812" s="781"/>
      <c r="U812" s="781"/>
      <c r="V812" s="781"/>
      <c r="W812" s="781"/>
      <c r="X812" s="781"/>
      <c r="Y812" s="781"/>
      <c r="Z812" s="781"/>
      <c r="AA812" s="781"/>
      <c r="AB812" s="781"/>
      <c r="AC812" s="781"/>
      <c r="AD812" s="781"/>
      <c r="AE812" s="781"/>
      <c r="AF812" s="781"/>
      <c r="AG812" s="781"/>
      <c r="AH812" s="781"/>
      <c r="AI812" s="781"/>
      <c r="AJ812" s="781"/>
      <c r="AK812" s="781"/>
      <c r="AL812" s="781"/>
      <c r="AM812" s="781"/>
      <c r="AN812" s="781"/>
      <c r="AO812" s="781"/>
      <c r="AP812" s="781"/>
      <c r="AQ812" s="781"/>
      <c r="AR812" s="781"/>
      <c r="AS812" s="781"/>
      <c r="AT812" s="781"/>
      <c r="AU812" s="781"/>
    </row>
    <row r="813" ht="15.75" customHeight="1">
      <c r="A813" s="782">
        <v>44630.0</v>
      </c>
      <c r="B813" s="783" t="s">
        <v>3012</v>
      </c>
      <c r="C813" s="737" t="s">
        <v>2547</v>
      </c>
      <c r="D813" s="772" t="s">
        <v>6346</v>
      </c>
      <c r="E813" s="799">
        <v>40000.0</v>
      </c>
      <c r="F813" s="772" t="s">
        <v>1182</v>
      </c>
      <c r="G813" s="772" t="s">
        <v>18</v>
      </c>
      <c r="H813" s="772" t="s">
        <v>176</v>
      </c>
      <c r="I813" s="772" t="s">
        <v>177</v>
      </c>
      <c r="J813" s="782">
        <v>44319.0</v>
      </c>
      <c r="K813" s="772" t="s">
        <v>3828</v>
      </c>
      <c r="L813" s="781"/>
      <c r="M813" s="781"/>
      <c r="N813" s="781"/>
      <c r="O813" s="781"/>
      <c r="P813" s="781"/>
      <c r="Q813" s="781"/>
      <c r="R813" s="781"/>
      <c r="S813" s="781"/>
      <c r="T813" s="781"/>
      <c r="U813" s="781"/>
      <c r="V813" s="781"/>
      <c r="W813" s="781"/>
      <c r="X813" s="781"/>
      <c r="Y813" s="781"/>
      <c r="Z813" s="781"/>
      <c r="AA813" s="781"/>
      <c r="AB813" s="781"/>
      <c r="AC813" s="781"/>
      <c r="AD813" s="781"/>
      <c r="AE813" s="781"/>
      <c r="AF813" s="781"/>
      <c r="AG813" s="781"/>
      <c r="AH813" s="781"/>
      <c r="AI813" s="781"/>
      <c r="AJ813" s="781"/>
      <c r="AK813" s="781"/>
      <c r="AL813" s="781"/>
      <c r="AM813" s="781"/>
      <c r="AN813" s="781"/>
      <c r="AO813" s="781"/>
      <c r="AP813" s="781"/>
      <c r="AQ813" s="781"/>
      <c r="AR813" s="781"/>
      <c r="AS813" s="781"/>
      <c r="AT813" s="781"/>
      <c r="AU813" s="781"/>
    </row>
    <row r="814" ht="15.75" customHeight="1">
      <c r="A814" s="782">
        <v>44630.0</v>
      </c>
      <c r="B814" s="783" t="s">
        <v>6515</v>
      </c>
      <c r="C814" s="737" t="s">
        <v>2547</v>
      </c>
      <c r="D814" s="772" t="s">
        <v>6346</v>
      </c>
      <c r="E814" s="799">
        <v>25000.0</v>
      </c>
      <c r="F814" s="772" t="s">
        <v>3506</v>
      </c>
      <c r="G814" s="772" t="s">
        <v>18</v>
      </c>
      <c r="H814" s="772" t="s">
        <v>176</v>
      </c>
      <c r="I814" s="772" t="s">
        <v>177</v>
      </c>
      <c r="J814" s="782">
        <v>44585.0</v>
      </c>
      <c r="K814" s="772" t="s">
        <v>3834</v>
      </c>
      <c r="L814" s="781"/>
      <c r="M814" s="781"/>
      <c r="N814" s="781"/>
      <c r="O814" s="781"/>
      <c r="P814" s="781"/>
      <c r="Q814" s="781"/>
      <c r="R814" s="781"/>
      <c r="S814" s="781"/>
      <c r="T814" s="781"/>
      <c r="U814" s="781"/>
      <c r="V814" s="781"/>
      <c r="W814" s="781"/>
      <c r="X814" s="781"/>
      <c r="Y814" s="781"/>
      <c r="Z814" s="781"/>
      <c r="AA814" s="781"/>
      <c r="AB814" s="781"/>
      <c r="AC814" s="781"/>
      <c r="AD814" s="781"/>
      <c r="AE814" s="781"/>
      <c r="AF814" s="781"/>
      <c r="AG814" s="781"/>
      <c r="AH814" s="781"/>
      <c r="AI814" s="781"/>
      <c r="AJ814" s="781"/>
      <c r="AK814" s="781"/>
      <c r="AL814" s="781"/>
      <c r="AM814" s="781"/>
      <c r="AN814" s="781"/>
      <c r="AO814" s="781"/>
      <c r="AP814" s="781"/>
      <c r="AQ814" s="781"/>
      <c r="AR814" s="781"/>
      <c r="AS814" s="781"/>
      <c r="AT814" s="781"/>
      <c r="AU814" s="781"/>
    </row>
    <row r="815" ht="15.75" customHeight="1">
      <c r="A815" s="782">
        <v>44630.0</v>
      </c>
      <c r="B815" s="783" t="s">
        <v>6516</v>
      </c>
      <c r="C815" s="737" t="s">
        <v>2547</v>
      </c>
      <c r="D815" s="772" t="s">
        <v>6346</v>
      </c>
      <c r="E815" s="784">
        <v>16000.0</v>
      </c>
      <c r="F815" s="772" t="s">
        <v>2117</v>
      </c>
      <c r="G815" s="772" t="s">
        <v>18</v>
      </c>
      <c r="H815" s="772" t="s">
        <v>176</v>
      </c>
      <c r="I815" s="852" t="s">
        <v>197</v>
      </c>
      <c r="J815" s="782">
        <v>44462.0</v>
      </c>
      <c r="K815" s="772" t="s">
        <v>3840</v>
      </c>
      <c r="L815" s="781"/>
      <c r="M815" s="781"/>
      <c r="N815" s="781"/>
      <c r="O815" s="781"/>
      <c r="P815" s="781"/>
      <c r="Q815" s="781"/>
      <c r="R815" s="781"/>
      <c r="S815" s="781"/>
      <c r="T815" s="781"/>
      <c r="U815" s="781"/>
      <c r="V815" s="781"/>
      <c r="W815" s="781"/>
      <c r="X815" s="781"/>
      <c r="Y815" s="781"/>
      <c r="Z815" s="781"/>
      <c r="AA815" s="781"/>
      <c r="AB815" s="781"/>
      <c r="AC815" s="781"/>
      <c r="AD815" s="781"/>
      <c r="AE815" s="781"/>
      <c r="AF815" s="781"/>
      <c r="AG815" s="781"/>
      <c r="AH815" s="781"/>
      <c r="AI815" s="781"/>
      <c r="AJ815" s="781"/>
      <c r="AK815" s="781"/>
      <c r="AL815" s="781"/>
      <c r="AM815" s="781"/>
      <c r="AN815" s="781"/>
      <c r="AO815" s="781"/>
      <c r="AP815" s="781"/>
      <c r="AQ815" s="781"/>
      <c r="AR815" s="781"/>
      <c r="AS815" s="781"/>
      <c r="AT815" s="781"/>
      <c r="AU815" s="781"/>
    </row>
    <row r="816" ht="15.75" customHeight="1">
      <c r="A816" s="782">
        <v>44630.0</v>
      </c>
      <c r="B816" s="737">
        <v>391760.0</v>
      </c>
      <c r="C816" s="737" t="s">
        <v>2547</v>
      </c>
      <c r="D816" s="772" t="s">
        <v>6345</v>
      </c>
      <c r="E816" s="784">
        <v>31234.0</v>
      </c>
      <c r="F816" s="737" t="s">
        <v>3421</v>
      </c>
      <c r="G816" s="761" t="s">
        <v>2550</v>
      </c>
      <c r="H816" s="761" t="s">
        <v>29</v>
      </c>
      <c r="I816" s="772" t="s">
        <v>2562</v>
      </c>
      <c r="J816" s="782">
        <v>43865.0</v>
      </c>
      <c r="K816" s="772" t="s">
        <v>3828</v>
      </c>
      <c r="L816" s="781"/>
      <c r="M816" s="781"/>
      <c r="N816" s="781"/>
      <c r="O816" s="781"/>
      <c r="P816" s="781"/>
      <c r="Q816" s="781"/>
      <c r="R816" s="781"/>
      <c r="S816" s="781"/>
      <c r="T816" s="781"/>
      <c r="U816" s="781"/>
      <c r="V816" s="781"/>
      <c r="W816" s="781"/>
      <c r="X816" s="781"/>
      <c r="Y816" s="781"/>
      <c r="Z816" s="781"/>
      <c r="AA816" s="781"/>
      <c r="AB816" s="781"/>
      <c r="AC816" s="781"/>
      <c r="AD816" s="781"/>
      <c r="AE816" s="781"/>
      <c r="AF816" s="781"/>
      <c r="AG816" s="781"/>
      <c r="AH816" s="781"/>
      <c r="AI816" s="781"/>
      <c r="AJ816" s="781"/>
      <c r="AK816" s="781"/>
      <c r="AL816" s="781"/>
      <c r="AM816" s="781"/>
      <c r="AN816" s="781"/>
      <c r="AO816" s="781"/>
      <c r="AP816" s="781"/>
      <c r="AQ816" s="781"/>
      <c r="AR816" s="781"/>
      <c r="AS816" s="781"/>
      <c r="AT816" s="781"/>
      <c r="AU816" s="781"/>
    </row>
    <row r="817" ht="15.75" customHeight="1">
      <c r="A817" s="782">
        <v>44630.0</v>
      </c>
      <c r="B817" s="783" t="s">
        <v>2800</v>
      </c>
      <c r="C817" s="737" t="s">
        <v>2547</v>
      </c>
      <c r="D817" s="772" t="s">
        <v>6346</v>
      </c>
      <c r="E817" s="784">
        <v>10000.0</v>
      </c>
      <c r="F817" s="772" t="s">
        <v>649</v>
      </c>
      <c r="G817" s="772" t="s">
        <v>18</v>
      </c>
      <c r="H817" s="772" t="s">
        <v>176</v>
      </c>
      <c r="I817" s="772" t="s">
        <v>177</v>
      </c>
      <c r="J817" s="782">
        <v>44607.0</v>
      </c>
      <c r="K817" s="772" t="s">
        <v>3834</v>
      </c>
      <c r="L817" s="781"/>
      <c r="M817" s="781"/>
      <c r="N817" s="781"/>
      <c r="O817" s="781"/>
      <c r="P817" s="781"/>
      <c r="Q817" s="781"/>
      <c r="R817" s="781"/>
      <c r="S817" s="781"/>
      <c r="T817" s="781"/>
      <c r="U817" s="781"/>
      <c r="V817" s="781"/>
      <c r="W817" s="781"/>
      <c r="X817" s="781"/>
      <c r="Y817" s="781"/>
      <c r="Z817" s="781"/>
      <c r="AA817" s="781"/>
      <c r="AB817" s="781"/>
      <c r="AC817" s="781"/>
      <c r="AD817" s="781"/>
      <c r="AE817" s="781"/>
      <c r="AF817" s="781"/>
      <c r="AG817" s="781"/>
      <c r="AH817" s="781"/>
      <c r="AI817" s="781"/>
      <c r="AJ817" s="781"/>
      <c r="AK817" s="781"/>
      <c r="AL817" s="781"/>
      <c r="AM817" s="781"/>
      <c r="AN817" s="781"/>
      <c r="AO817" s="781"/>
      <c r="AP817" s="781"/>
      <c r="AQ817" s="781"/>
      <c r="AR817" s="781"/>
      <c r="AS817" s="781"/>
      <c r="AT817" s="781"/>
      <c r="AU817" s="781"/>
    </row>
    <row r="818" ht="15.75" customHeight="1">
      <c r="A818" s="782">
        <v>44630.0</v>
      </c>
      <c r="B818" s="783" t="s">
        <v>3248</v>
      </c>
      <c r="C818" s="737" t="s">
        <v>2547</v>
      </c>
      <c r="D818" s="772" t="s">
        <v>6346</v>
      </c>
      <c r="E818" s="784">
        <v>20000.0</v>
      </c>
      <c r="F818" s="772" t="s">
        <v>6517</v>
      </c>
      <c r="G818" s="772" t="s">
        <v>2550</v>
      </c>
      <c r="H818" s="772" t="s">
        <v>29</v>
      </c>
      <c r="I818" s="772" t="s">
        <v>2551</v>
      </c>
      <c r="J818" s="782">
        <v>43811.0</v>
      </c>
      <c r="K818" s="772" t="s">
        <v>3836</v>
      </c>
      <c r="L818" s="781"/>
      <c r="M818" s="781"/>
      <c r="N818" s="781"/>
      <c r="O818" s="781"/>
      <c r="P818" s="781"/>
      <c r="Q818" s="781"/>
      <c r="R818" s="781"/>
      <c r="S818" s="781"/>
      <c r="T818" s="781"/>
      <c r="U818" s="781"/>
      <c r="V818" s="781"/>
      <c r="W818" s="781"/>
      <c r="X818" s="781"/>
      <c r="Y818" s="781"/>
      <c r="Z818" s="781"/>
      <c r="AA818" s="781"/>
      <c r="AB818" s="781"/>
      <c r="AC818" s="781"/>
      <c r="AD818" s="781"/>
      <c r="AE818" s="781"/>
      <c r="AF818" s="781"/>
      <c r="AG818" s="781"/>
      <c r="AH818" s="781"/>
      <c r="AI818" s="781"/>
      <c r="AJ818" s="781"/>
      <c r="AK818" s="781"/>
      <c r="AL818" s="781"/>
      <c r="AM818" s="781"/>
      <c r="AN818" s="781"/>
      <c r="AO818" s="781"/>
      <c r="AP818" s="781"/>
      <c r="AQ818" s="781"/>
      <c r="AR818" s="781"/>
      <c r="AS818" s="781"/>
      <c r="AT818" s="781"/>
      <c r="AU818" s="781"/>
    </row>
    <row r="819" ht="15.75" customHeight="1">
      <c r="A819" s="782">
        <v>44634.0</v>
      </c>
      <c r="B819" s="800" t="s">
        <v>6518</v>
      </c>
      <c r="C819" s="772" t="s">
        <v>3820</v>
      </c>
      <c r="D819" s="772" t="s">
        <v>6346</v>
      </c>
      <c r="E819" s="784">
        <v>73500.0</v>
      </c>
      <c r="F819" s="772" t="s">
        <v>3867</v>
      </c>
      <c r="G819" s="761" t="s">
        <v>18</v>
      </c>
      <c r="H819" s="772" t="s">
        <v>19</v>
      </c>
      <c r="I819" s="772" t="s">
        <v>20</v>
      </c>
      <c r="J819" s="782">
        <v>44609.0</v>
      </c>
      <c r="K819" s="843" t="s">
        <v>3836</v>
      </c>
      <c r="L819" s="781"/>
      <c r="M819" s="781"/>
      <c r="N819" s="781"/>
      <c r="O819" s="781"/>
      <c r="P819" s="781"/>
      <c r="Q819" s="781"/>
      <c r="R819" s="781"/>
      <c r="S819" s="781"/>
      <c r="T819" s="781"/>
      <c r="U819" s="781"/>
      <c r="V819" s="781"/>
      <c r="W819" s="781"/>
      <c r="X819" s="781"/>
      <c r="Y819" s="781"/>
      <c r="Z819" s="781"/>
      <c r="AA819" s="781"/>
      <c r="AB819" s="781"/>
      <c r="AC819" s="781"/>
      <c r="AD819" s="781"/>
      <c r="AE819" s="781"/>
      <c r="AF819" s="781"/>
      <c r="AG819" s="781"/>
      <c r="AH819" s="781"/>
      <c r="AI819" s="781"/>
      <c r="AJ819" s="781"/>
      <c r="AK819" s="781"/>
      <c r="AL819" s="781"/>
      <c r="AM819" s="781"/>
      <c r="AN819" s="781"/>
      <c r="AO819" s="781"/>
      <c r="AP819" s="781"/>
      <c r="AQ819" s="781"/>
      <c r="AR819" s="781"/>
      <c r="AS819" s="781"/>
      <c r="AT819" s="781"/>
      <c r="AU819" s="781"/>
    </row>
    <row r="820" ht="15.75" customHeight="1">
      <c r="A820" s="782">
        <v>44634.0</v>
      </c>
      <c r="B820" s="783" t="s">
        <v>2611</v>
      </c>
      <c r="C820" s="737" t="s">
        <v>2547</v>
      </c>
      <c r="D820" s="772" t="s">
        <v>6345</v>
      </c>
      <c r="E820" s="784">
        <v>229216.0</v>
      </c>
      <c r="F820" s="772" t="s">
        <v>2610</v>
      </c>
      <c r="G820" s="772" t="s">
        <v>2550</v>
      </c>
      <c r="H820" s="772" t="s">
        <v>29</v>
      </c>
      <c r="I820" s="772" t="s">
        <v>2562</v>
      </c>
      <c r="J820" s="782">
        <v>44186.0</v>
      </c>
      <c r="K820" s="772" t="s">
        <v>3828</v>
      </c>
      <c r="L820" s="781"/>
      <c r="M820" s="781"/>
      <c r="N820" s="781"/>
      <c r="O820" s="781"/>
      <c r="P820" s="781"/>
      <c r="Q820" s="781"/>
      <c r="R820" s="781"/>
      <c r="S820" s="781"/>
      <c r="T820" s="781"/>
      <c r="U820" s="781"/>
      <c r="V820" s="781"/>
      <c r="W820" s="781"/>
      <c r="X820" s="781"/>
      <c r="Y820" s="781"/>
      <c r="Z820" s="781"/>
      <c r="AA820" s="781"/>
      <c r="AB820" s="781"/>
      <c r="AC820" s="781"/>
      <c r="AD820" s="781"/>
      <c r="AE820" s="781"/>
      <c r="AF820" s="781"/>
      <c r="AG820" s="781"/>
      <c r="AH820" s="781"/>
      <c r="AI820" s="781"/>
      <c r="AJ820" s="781"/>
      <c r="AK820" s="781"/>
      <c r="AL820" s="781"/>
      <c r="AM820" s="781"/>
      <c r="AN820" s="781"/>
      <c r="AO820" s="781"/>
      <c r="AP820" s="781"/>
      <c r="AQ820" s="781"/>
      <c r="AR820" s="781"/>
      <c r="AS820" s="781"/>
      <c r="AT820" s="781"/>
      <c r="AU820" s="781"/>
    </row>
    <row r="821" ht="15.75" customHeight="1">
      <c r="A821" s="782">
        <v>44634.0</v>
      </c>
      <c r="B821" s="783" t="s">
        <v>3347</v>
      </c>
      <c r="C821" s="737" t="s">
        <v>2547</v>
      </c>
      <c r="D821" s="772" t="s">
        <v>1481</v>
      </c>
      <c r="E821" s="784">
        <v>184170.0</v>
      </c>
      <c r="F821" s="772" t="s">
        <v>3346</v>
      </c>
      <c r="G821" s="772" t="s">
        <v>18</v>
      </c>
      <c r="H821" s="772" t="s">
        <v>176</v>
      </c>
      <c r="I821" s="772" t="s">
        <v>177</v>
      </c>
      <c r="J821" s="782">
        <v>44280.0</v>
      </c>
      <c r="K821" s="772" t="s">
        <v>3824</v>
      </c>
      <c r="L821" s="781"/>
      <c r="M821" s="781"/>
      <c r="N821" s="781"/>
      <c r="O821" s="781"/>
      <c r="P821" s="781"/>
      <c r="Q821" s="781"/>
      <c r="R821" s="781"/>
      <c r="S821" s="781"/>
      <c r="T821" s="781"/>
      <c r="U821" s="781"/>
      <c r="V821" s="781"/>
      <c r="W821" s="781"/>
      <c r="X821" s="781"/>
      <c r="Y821" s="781"/>
      <c r="Z821" s="781"/>
      <c r="AA821" s="781"/>
      <c r="AB821" s="781"/>
      <c r="AC821" s="781"/>
      <c r="AD821" s="781"/>
      <c r="AE821" s="781"/>
      <c r="AF821" s="781"/>
      <c r="AG821" s="781"/>
      <c r="AH821" s="781"/>
      <c r="AI821" s="781"/>
      <c r="AJ821" s="781"/>
      <c r="AK821" s="781"/>
      <c r="AL821" s="781"/>
      <c r="AM821" s="781"/>
      <c r="AN821" s="781"/>
      <c r="AO821" s="781"/>
      <c r="AP821" s="781"/>
      <c r="AQ821" s="781"/>
      <c r="AR821" s="781"/>
      <c r="AS821" s="781"/>
      <c r="AT821" s="781"/>
      <c r="AU821" s="781"/>
    </row>
    <row r="822" ht="15.75" customHeight="1">
      <c r="A822" s="782">
        <v>44634.0</v>
      </c>
      <c r="B822" s="853">
        <v>4663340.0</v>
      </c>
      <c r="C822" s="737" t="s">
        <v>2547</v>
      </c>
      <c r="D822" s="772" t="s">
        <v>1481</v>
      </c>
      <c r="E822" s="784">
        <v>237755.0</v>
      </c>
      <c r="F822" s="854" t="s">
        <v>3343</v>
      </c>
      <c r="G822" s="772" t="s">
        <v>18</v>
      </c>
      <c r="H822" s="772" t="s">
        <v>176</v>
      </c>
      <c r="I822" s="772" t="s">
        <v>177</v>
      </c>
      <c r="J822" s="782">
        <v>44280.0</v>
      </c>
      <c r="K822" s="772" t="s">
        <v>3840</v>
      </c>
      <c r="L822" s="781"/>
      <c r="M822" s="781"/>
      <c r="N822" s="781"/>
      <c r="O822" s="781"/>
      <c r="P822" s="781"/>
      <c r="Q822" s="781"/>
      <c r="R822" s="781"/>
      <c r="S822" s="781"/>
      <c r="T822" s="781"/>
      <c r="U822" s="781"/>
      <c r="V822" s="781"/>
      <c r="W822" s="781"/>
      <c r="X822" s="781"/>
      <c r="Y822" s="781"/>
      <c r="Z822" s="781"/>
      <c r="AA822" s="781"/>
      <c r="AB822" s="781"/>
      <c r="AC822" s="781"/>
      <c r="AD822" s="781"/>
      <c r="AE822" s="781"/>
      <c r="AF822" s="781"/>
      <c r="AG822" s="781"/>
      <c r="AH822" s="781"/>
      <c r="AI822" s="781"/>
      <c r="AJ822" s="781"/>
      <c r="AK822" s="781"/>
      <c r="AL822" s="781"/>
      <c r="AM822" s="781"/>
      <c r="AN822" s="781"/>
      <c r="AO822" s="781"/>
      <c r="AP822" s="781"/>
      <c r="AQ822" s="781"/>
      <c r="AR822" s="781"/>
      <c r="AS822" s="781"/>
      <c r="AT822" s="781"/>
      <c r="AU822" s="781"/>
    </row>
    <row r="823" ht="15.75" customHeight="1">
      <c r="A823" s="782">
        <v>44634.0</v>
      </c>
      <c r="B823" s="783" t="s">
        <v>3094</v>
      </c>
      <c r="C823" s="737" t="s">
        <v>2547</v>
      </c>
      <c r="D823" s="772" t="s">
        <v>6346</v>
      </c>
      <c r="E823" s="784">
        <v>63000.0</v>
      </c>
      <c r="F823" s="854" t="s">
        <v>3093</v>
      </c>
      <c r="G823" s="772" t="s">
        <v>18</v>
      </c>
      <c r="H823" s="772" t="s">
        <v>176</v>
      </c>
      <c r="I823" s="772" t="s">
        <v>177</v>
      </c>
      <c r="J823" s="782">
        <v>44263.0</v>
      </c>
      <c r="K823" s="772" t="s">
        <v>3828</v>
      </c>
      <c r="L823" s="781"/>
      <c r="M823" s="781"/>
      <c r="N823" s="781"/>
      <c r="O823" s="781"/>
      <c r="P823" s="781"/>
      <c r="Q823" s="781"/>
      <c r="R823" s="781"/>
      <c r="S823" s="781"/>
      <c r="T823" s="781"/>
      <c r="U823" s="781"/>
      <c r="V823" s="781"/>
      <c r="W823" s="781"/>
      <c r="X823" s="781"/>
      <c r="Y823" s="781"/>
      <c r="Z823" s="781"/>
      <c r="AA823" s="781"/>
      <c r="AB823" s="781"/>
      <c r="AC823" s="781"/>
      <c r="AD823" s="781"/>
      <c r="AE823" s="781"/>
      <c r="AF823" s="781"/>
      <c r="AG823" s="781"/>
      <c r="AH823" s="781"/>
      <c r="AI823" s="781"/>
      <c r="AJ823" s="781"/>
      <c r="AK823" s="781"/>
      <c r="AL823" s="781"/>
      <c r="AM823" s="781"/>
      <c r="AN823" s="781"/>
      <c r="AO823" s="781"/>
      <c r="AP823" s="781"/>
      <c r="AQ823" s="781"/>
      <c r="AR823" s="781"/>
      <c r="AS823" s="781"/>
      <c r="AT823" s="781"/>
      <c r="AU823" s="781"/>
    </row>
    <row r="824" ht="15.75" customHeight="1">
      <c r="A824" s="782">
        <v>44634.0</v>
      </c>
      <c r="B824" s="783" t="s">
        <v>3216</v>
      </c>
      <c r="C824" s="737" t="s">
        <v>2547</v>
      </c>
      <c r="D824" s="772" t="s">
        <v>6346</v>
      </c>
      <c r="E824" s="784">
        <v>3000.0</v>
      </c>
      <c r="F824" s="772" t="s">
        <v>3215</v>
      </c>
      <c r="G824" s="772" t="s">
        <v>18</v>
      </c>
      <c r="H824" s="772" t="s">
        <v>176</v>
      </c>
      <c r="I824" s="772" t="s">
        <v>177</v>
      </c>
      <c r="J824" s="782">
        <v>44322.0</v>
      </c>
      <c r="K824" s="772" t="s">
        <v>3828</v>
      </c>
      <c r="L824" s="781"/>
      <c r="M824" s="781"/>
      <c r="N824" s="781"/>
      <c r="O824" s="781"/>
      <c r="P824" s="781"/>
      <c r="Q824" s="781"/>
      <c r="R824" s="781"/>
      <c r="S824" s="781"/>
      <c r="T824" s="781"/>
      <c r="U824" s="781"/>
      <c r="V824" s="781"/>
      <c r="W824" s="781"/>
      <c r="X824" s="781"/>
      <c r="Y824" s="781"/>
      <c r="Z824" s="781"/>
      <c r="AA824" s="781"/>
      <c r="AB824" s="781"/>
      <c r="AC824" s="781"/>
      <c r="AD824" s="781"/>
      <c r="AE824" s="781"/>
      <c r="AF824" s="781"/>
      <c r="AG824" s="781"/>
      <c r="AH824" s="781"/>
      <c r="AI824" s="781"/>
      <c r="AJ824" s="781"/>
      <c r="AK824" s="781"/>
      <c r="AL824" s="781"/>
      <c r="AM824" s="781"/>
      <c r="AN824" s="781"/>
      <c r="AO824" s="781"/>
      <c r="AP824" s="781"/>
      <c r="AQ824" s="781"/>
      <c r="AR824" s="781"/>
      <c r="AS824" s="781"/>
      <c r="AT824" s="781"/>
      <c r="AU824" s="781"/>
    </row>
    <row r="825" ht="15.75" customHeight="1">
      <c r="A825" s="782">
        <v>44634.0</v>
      </c>
      <c r="B825" s="783" t="s">
        <v>3266</v>
      </c>
      <c r="C825" s="737" t="s">
        <v>2547</v>
      </c>
      <c r="D825" s="772" t="s">
        <v>1481</v>
      </c>
      <c r="E825" s="784">
        <v>285598.0</v>
      </c>
      <c r="F825" s="737" t="s">
        <v>3265</v>
      </c>
      <c r="G825" s="772" t="s">
        <v>18</v>
      </c>
      <c r="H825" s="772" t="s">
        <v>176</v>
      </c>
      <c r="I825" s="772" t="s">
        <v>177</v>
      </c>
      <c r="J825" s="782">
        <v>44448.0</v>
      </c>
      <c r="K825" s="772" t="s">
        <v>3824</v>
      </c>
      <c r="L825" s="781"/>
      <c r="M825" s="781"/>
      <c r="N825" s="781"/>
      <c r="O825" s="781"/>
      <c r="P825" s="781"/>
      <c r="Q825" s="781"/>
      <c r="R825" s="781"/>
      <c r="S825" s="781"/>
      <c r="T825" s="781"/>
      <c r="U825" s="781"/>
      <c r="V825" s="781"/>
      <c r="W825" s="781"/>
      <c r="X825" s="781"/>
      <c r="Y825" s="781"/>
      <c r="Z825" s="781"/>
      <c r="AA825" s="781"/>
      <c r="AB825" s="781"/>
      <c r="AC825" s="781"/>
      <c r="AD825" s="781"/>
      <c r="AE825" s="781"/>
      <c r="AF825" s="781"/>
      <c r="AG825" s="781"/>
      <c r="AH825" s="781"/>
      <c r="AI825" s="781"/>
      <c r="AJ825" s="781"/>
      <c r="AK825" s="781"/>
      <c r="AL825" s="781"/>
      <c r="AM825" s="781"/>
      <c r="AN825" s="781"/>
      <c r="AO825" s="781"/>
      <c r="AP825" s="781"/>
      <c r="AQ825" s="781"/>
      <c r="AR825" s="781"/>
      <c r="AS825" s="781"/>
      <c r="AT825" s="781"/>
      <c r="AU825" s="781"/>
    </row>
    <row r="826" ht="15.75" customHeight="1">
      <c r="A826" s="782">
        <v>44634.0</v>
      </c>
      <c r="B826" s="783" t="s">
        <v>3248</v>
      </c>
      <c r="C826" s="737" t="s">
        <v>2547</v>
      </c>
      <c r="D826" s="772" t="s">
        <v>6346</v>
      </c>
      <c r="E826" s="784">
        <v>15000.0</v>
      </c>
      <c r="F826" s="772" t="s">
        <v>6517</v>
      </c>
      <c r="G826" s="772" t="s">
        <v>2550</v>
      </c>
      <c r="H826" s="772" t="s">
        <v>29</v>
      </c>
      <c r="I826" s="772" t="s">
        <v>2551</v>
      </c>
      <c r="J826" s="782">
        <v>43811.0</v>
      </c>
      <c r="K826" s="772" t="s">
        <v>3836</v>
      </c>
      <c r="L826" s="781"/>
      <c r="M826" s="781"/>
      <c r="N826" s="781"/>
      <c r="O826" s="781"/>
      <c r="P826" s="781"/>
      <c r="Q826" s="781"/>
      <c r="R826" s="781"/>
      <c r="S826" s="781"/>
      <c r="T826" s="781"/>
      <c r="U826" s="781"/>
      <c r="V826" s="781"/>
      <c r="W826" s="781"/>
      <c r="X826" s="781"/>
      <c r="Y826" s="781"/>
      <c r="Z826" s="781"/>
      <c r="AA826" s="781"/>
      <c r="AB826" s="781"/>
      <c r="AC826" s="781"/>
      <c r="AD826" s="781"/>
      <c r="AE826" s="781"/>
      <c r="AF826" s="781"/>
      <c r="AG826" s="781"/>
      <c r="AH826" s="781"/>
      <c r="AI826" s="781"/>
      <c r="AJ826" s="781"/>
      <c r="AK826" s="781"/>
      <c r="AL826" s="781"/>
      <c r="AM826" s="781"/>
      <c r="AN826" s="781"/>
      <c r="AO826" s="781"/>
      <c r="AP826" s="781"/>
      <c r="AQ826" s="781"/>
      <c r="AR826" s="781"/>
      <c r="AS826" s="781"/>
      <c r="AT826" s="781"/>
      <c r="AU826" s="781"/>
    </row>
    <row r="827" ht="15.75" customHeight="1">
      <c r="A827" s="795">
        <v>44634.0</v>
      </c>
      <c r="B827" s="827" t="s">
        <v>3475</v>
      </c>
      <c r="C827" s="797" t="s">
        <v>2547</v>
      </c>
      <c r="D827" s="772" t="s">
        <v>6345</v>
      </c>
      <c r="E827" s="798"/>
      <c r="F827" s="772" t="s">
        <v>3474</v>
      </c>
      <c r="G827" s="782" t="s">
        <v>18</v>
      </c>
      <c r="H827" s="782" t="s">
        <v>176</v>
      </c>
      <c r="I827" s="782" t="s">
        <v>2634</v>
      </c>
      <c r="J827" s="782">
        <v>44199.0</v>
      </c>
      <c r="K827" s="782" t="s">
        <v>3836</v>
      </c>
      <c r="L827" s="781"/>
      <c r="M827" s="781"/>
      <c r="N827" s="781"/>
      <c r="O827" s="781"/>
      <c r="P827" s="781"/>
      <c r="Q827" s="781"/>
      <c r="R827" s="781"/>
      <c r="S827" s="781"/>
      <c r="T827" s="781"/>
      <c r="U827" s="781"/>
      <c r="V827" s="781"/>
      <c r="W827" s="781"/>
      <c r="X827" s="781"/>
      <c r="Y827" s="781"/>
      <c r="Z827" s="781"/>
      <c r="AA827" s="781"/>
      <c r="AB827" s="781"/>
      <c r="AC827" s="781"/>
      <c r="AD827" s="781"/>
      <c r="AE827" s="781"/>
      <c r="AF827" s="781"/>
      <c r="AG827" s="781"/>
      <c r="AH827" s="781"/>
      <c r="AI827" s="781"/>
      <c r="AJ827" s="781"/>
      <c r="AK827" s="781"/>
      <c r="AL827" s="781"/>
      <c r="AM827" s="781"/>
      <c r="AN827" s="781"/>
      <c r="AO827" s="781"/>
      <c r="AP827" s="781"/>
      <c r="AQ827" s="781"/>
      <c r="AR827" s="781"/>
      <c r="AS827" s="781"/>
      <c r="AT827" s="781"/>
      <c r="AU827" s="781"/>
    </row>
    <row r="828" ht="15.75" customHeight="1">
      <c r="A828" s="782">
        <v>44636.0</v>
      </c>
      <c r="B828" s="783" t="s">
        <v>3441</v>
      </c>
      <c r="C828" s="737" t="s">
        <v>2547</v>
      </c>
      <c r="D828" s="772" t="s">
        <v>6346</v>
      </c>
      <c r="E828" s="784">
        <v>10000.0</v>
      </c>
      <c r="F828" s="737" t="s">
        <v>3440</v>
      </c>
      <c r="G828" s="772" t="s">
        <v>18</v>
      </c>
      <c r="H828" s="772" t="s">
        <v>176</v>
      </c>
      <c r="I828" s="772" t="s">
        <v>177</v>
      </c>
      <c r="J828" s="782">
        <v>44319.0</v>
      </c>
      <c r="K828" s="772" t="s">
        <v>3828</v>
      </c>
      <c r="L828" s="781"/>
      <c r="M828" s="781"/>
      <c r="N828" s="781"/>
      <c r="O828" s="781"/>
      <c r="P828" s="781"/>
      <c r="Q828" s="781"/>
      <c r="R828" s="781"/>
      <c r="S828" s="781"/>
      <c r="T828" s="781"/>
      <c r="U828" s="781"/>
      <c r="V828" s="781"/>
      <c r="W828" s="781"/>
      <c r="X828" s="781"/>
      <c r="Y828" s="781"/>
      <c r="Z828" s="781"/>
      <c r="AA828" s="781"/>
      <c r="AB828" s="781"/>
      <c r="AC828" s="781"/>
      <c r="AD828" s="781"/>
      <c r="AE828" s="781"/>
      <c r="AF828" s="781"/>
      <c r="AG828" s="781"/>
      <c r="AH828" s="781"/>
      <c r="AI828" s="781"/>
      <c r="AJ828" s="781"/>
      <c r="AK828" s="781"/>
      <c r="AL828" s="781"/>
      <c r="AM828" s="781"/>
      <c r="AN828" s="781"/>
      <c r="AO828" s="781"/>
      <c r="AP828" s="781"/>
      <c r="AQ828" s="781"/>
      <c r="AR828" s="781"/>
      <c r="AS828" s="781"/>
      <c r="AT828" s="781"/>
      <c r="AU828" s="781"/>
    </row>
    <row r="829" ht="15.75" customHeight="1">
      <c r="A829" s="782">
        <v>44636.0</v>
      </c>
      <c r="B829" s="783" t="s">
        <v>3248</v>
      </c>
      <c r="C829" s="737" t="s">
        <v>2547</v>
      </c>
      <c r="D829" s="772" t="s">
        <v>6346</v>
      </c>
      <c r="E829" s="784">
        <v>20000.0</v>
      </c>
      <c r="F829" s="772" t="s">
        <v>6517</v>
      </c>
      <c r="G829" s="772" t="s">
        <v>2550</v>
      </c>
      <c r="H829" s="772" t="s">
        <v>29</v>
      </c>
      <c r="I829" s="772" t="s">
        <v>2551</v>
      </c>
      <c r="J829" s="782">
        <v>43811.0</v>
      </c>
      <c r="K829" s="772" t="s">
        <v>3836</v>
      </c>
      <c r="L829" s="781"/>
      <c r="M829" s="781"/>
      <c r="N829" s="781"/>
      <c r="O829" s="781"/>
      <c r="P829" s="781"/>
      <c r="Q829" s="781"/>
      <c r="R829" s="781"/>
      <c r="S829" s="781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81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</row>
    <row r="830" ht="15.75" customHeight="1">
      <c r="A830" s="782">
        <v>44636.0</v>
      </c>
      <c r="B830" s="783" t="s">
        <v>3263</v>
      </c>
      <c r="C830" s="737" t="s">
        <v>2547</v>
      </c>
      <c r="D830" s="772" t="s">
        <v>6346</v>
      </c>
      <c r="E830" s="784">
        <v>1000000.0</v>
      </c>
      <c r="F830" s="772" t="s">
        <v>3262</v>
      </c>
      <c r="G830" s="772" t="s">
        <v>18</v>
      </c>
      <c r="H830" s="772" t="s">
        <v>176</v>
      </c>
      <c r="I830" s="772" t="s">
        <v>177</v>
      </c>
      <c r="J830" s="782">
        <v>44321.0</v>
      </c>
      <c r="K830" s="772" t="s">
        <v>3834</v>
      </c>
      <c r="L830" s="781"/>
      <c r="M830" s="781"/>
      <c r="N830" s="781"/>
      <c r="O830" s="781"/>
      <c r="P830" s="781"/>
      <c r="Q830" s="781"/>
      <c r="R830" s="781"/>
      <c r="S830" s="781"/>
      <c r="T830" s="781"/>
      <c r="U830" s="781"/>
      <c r="V830" s="781"/>
      <c r="W830" s="781"/>
      <c r="X830" s="781"/>
      <c r="Y830" s="781"/>
      <c r="Z830" s="781"/>
      <c r="AA830" s="781"/>
      <c r="AB830" s="781"/>
      <c r="AC830" s="781"/>
      <c r="AD830" s="781"/>
      <c r="AE830" s="781"/>
      <c r="AF830" s="781"/>
      <c r="AG830" s="781"/>
      <c r="AH830" s="781"/>
      <c r="AI830" s="781"/>
      <c r="AJ830" s="781"/>
      <c r="AK830" s="781"/>
      <c r="AL830" s="781"/>
      <c r="AM830" s="781"/>
      <c r="AN830" s="781"/>
      <c r="AO830" s="781"/>
      <c r="AP830" s="781"/>
      <c r="AQ830" s="781"/>
      <c r="AR830" s="781"/>
      <c r="AS830" s="781"/>
      <c r="AT830" s="781"/>
      <c r="AU830" s="781"/>
    </row>
    <row r="831" ht="15.75" customHeight="1">
      <c r="A831" s="782">
        <v>44637.0</v>
      </c>
      <c r="B831" s="800" t="s">
        <v>6519</v>
      </c>
      <c r="C831" s="772" t="s">
        <v>3820</v>
      </c>
      <c r="D831" s="772" t="s">
        <v>6346</v>
      </c>
      <c r="E831" s="784">
        <v>7000.0</v>
      </c>
      <c r="F831" s="772" t="s">
        <v>4505</v>
      </c>
      <c r="G831" s="761" t="s">
        <v>18</v>
      </c>
      <c r="H831" s="772" t="s">
        <v>19</v>
      </c>
      <c r="I831" s="772" t="s">
        <v>20</v>
      </c>
      <c r="J831" s="782">
        <v>44615.0</v>
      </c>
      <c r="K831" s="843" t="s">
        <v>3828</v>
      </c>
      <c r="L831" s="781"/>
      <c r="M831" s="781"/>
      <c r="N831" s="781"/>
      <c r="O831" s="781"/>
      <c r="P831" s="781"/>
      <c r="Q831" s="781"/>
      <c r="R831" s="781"/>
      <c r="S831" s="781"/>
      <c r="T831" s="781"/>
      <c r="U831" s="781"/>
      <c r="V831" s="781"/>
      <c r="W831" s="781"/>
      <c r="X831" s="781"/>
      <c r="Y831" s="781"/>
      <c r="Z831" s="781"/>
      <c r="AA831" s="781"/>
      <c r="AB831" s="781"/>
      <c r="AC831" s="781"/>
      <c r="AD831" s="781"/>
      <c r="AE831" s="781"/>
      <c r="AF831" s="781"/>
      <c r="AG831" s="781"/>
      <c r="AH831" s="781"/>
      <c r="AI831" s="781"/>
      <c r="AJ831" s="781"/>
      <c r="AK831" s="781"/>
      <c r="AL831" s="781"/>
      <c r="AM831" s="781"/>
      <c r="AN831" s="781"/>
      <c r="AO831" s="781"/>
      <c r="AP831" s="781"/>
      <c r="AQ831" s="781"/>
      <c r="AR831" s="781"/>
      <c r="AS831" s="781"/>
      <c r="AT831" s="781"/>
      <c r="AU831" s="781"/>
    </row>
    <row r="832" ht="15.75" customHeight="1">
      <c r="A832" s="782">
        <v>44641.0</v>
      </c>
      <c r="B832" s="796" t="s">
        <v>6520</v>
      </c>
      <c r="C832" s="772" t="s">
        <v>3820</v>
      </c>
      <c r="D832" s="772" t="s">
        <v>1481</v>
      </c>
      <c r="E832" s="784">
        <v>100351.65</v>
      </c>
      <c r="F832" s="772" t="s">
        <v>4187</v>
      </c>
      <c r="G832" s="761" t="s">
        <v>18</v>
      </c>
      <c r="H832" s="852" t="s">
        <v>29</v>
      </c>
      <c r="I832" s="772" t="s">
        <v>6521</v>
      </c>
      <c r="J832" s="808">
        <v>44365.0</v>
      </c>
      <c r="K832" s="737" t="s">
        <v>3869</v>
      </c>
      <c r="L832" s="781"/>
      <c r="M832" s="781"/>
      <c r="N832" s="781"/>
      <c r="O832" s="781"/>
      <c r="P832" s="781"/>
      <c r="Q832" s="781"/>
      <c r="R832" s="781"/>
      <c r="S832" s="781"/>
      <c r="T832" s="781"/>
      <c r="U832" s="781"/>
      <c r="V832" s="781"/>
      <c r="W832" s="781"/>
      <c r="X832" s="781"/>
      <c r="Y832" s="781"/>
      <c r="Z832" s="781"/>
      <c r="AA832" s="781"/>
      <c r="AB832" s="781"/>
      <c r="AC832" s="781"/>
      <c r="AD832" s="781"/>
      <c r="AE832" s="781"/>
      <c r="AF832" s="781"/>
      <c r="AG832" s="781"/>
      <c r="AH832" s="781"/>
      <c r="AI832" s="781"/>
      <c r="AJ832" s="781"/>
      <c r="AK832" s="781"/>
      <c r="AL832" s="781"/>
      <c r="AM832" s="781"/>
      <c r="AN832" s="781"/>
      <c r="AO832" s="781"/>
      <c r="AP832" s="781"/>
      <c r="AQ832" s="781"/>
      <c r="AR832" s="781"/>
      <c r="AS832" s="781"/>
      <c r="AT832" s="781"/>
      <c r="AU832" s="781"/>
    </row>
    <row r="833" ht="15.75" customHeight="1">
      <c r="A833" s="782">
        <v>44641.0</v>
      </c>
      <c r="B833" s="796" t="s">
        <v>6522</v>
      </c>
      <c r="C833" s="772" t="s">
        <v>3820</v>
      </c>
      <c r="D833" s="772" t="s">
        <v>1481</v>
      </c>
      <c r="E833" s="784">
        <v>169950.33</v>
      </c>
      <c r="F833" s="737" t="s">
        <v>5158</v>
      </c>
      <c r="G833" s="761" t="s">
        <v>18</v>
      </c>
      <c r="H833" s="852" t="s">
        <v>1818</v>
      </c>
      <c r="I833" s="852" t="s">
        <v>6266</v>
      </c>
      <c r="J833" s="808">
        <v>44298.0</v>
      </c>
      <c r="K833" s="810" t="s">
        <v>3828</v>
      </c>
      <c r="L833" s="781"/>
      <c r="M833" s="781"/>
      <c r="N833" s="781"/>
      <c r="O833" s="781"/>
      <c r="P833" s="781"/>
      <c r="Q833" s="781"/>
      <c r="R833" s="781"/>
      <c r="S833" s="781"/>
      <c r="T833" s="781"/>
      <c r="U833" s="781"/>
      <c r="V833" s="781"/>
      <c r="W833" s="781"/>
      <c r="X833" s="781"/>
      <c r="Y833" s="781"/>
      <c r="Z833" s="781"/>
      <c r="AA833" s="781"/>
      <c r="AB833" s="781"/>
      <c r="AC833" s="781"/>
      <c r="AD833" s="781"/>
      <c r="AE833" s="781"/>
      <c r="AF833" s="781"/>
      <c r="AG833" s="781"/>
      <c r="AH833" s="781"/>
      <c r="AI833" s="781"/>
      <c r="AJ833" s="781"/>
      <c r="AK833" s="781"/>
      <c r="AL833" s="781"/>
      <c r="AM833" s="781"/>
      <c r="AN833" s="781"/>
      <c r="AO833" s="781"/>
      <c r="AP833" s="781"/>
      <c r="AQ833" s="781"/>
      <c r="AR833" s="781"/>
      <c r="AS833" s="781"/>
      <c r="AT833" s="781"/>
      <c r="AU833" s="781"/>
    </row>
    <row r="834" ht="15.75" customHeight="1">
      <c r="A834" s="782">
        <v>44641.0</v>
      </c>
      <c r="B834" s="852">
        <v>226343.0</v>
      </c>
      <c r="C834" s="772" t="s">
        <v>3820</v>
      </c>
      <c r="D834" s="772" t="s">
        <v>1481</v>
      </c>
      <c r="E834" s="784">
        <v>103307.43</v>
      </c>
      <c r="F834" s="772" t="s">
        <v>5395</v>
      </c>
      <c r="G834" s="761" t="s">
        <v>18</v>
      </c>
      <c r="H834" s="772" t="s">
        <v>19</v>
      </c>
      <c r="I834" s="761" t="s">
        <v>4152</v>
      </c>
      <c r="J834" s="782">
        <v>44469.0</v>
      </c>
      <c r="K834" s="737" t="s">
        <v>3824</v>
      </c>
      <c r="L834" s="781"/>
      <c r="M834" s="781"/>
      <c r="N834" s="781"/>
      <c r="O834" s="781"/>
      <c r="P834" s="781"/>
      <c r="Q834" s="781"/>
      <c r="R834" s="781"/>
      <c r="S834" s="781"/>
      <c r="T834" s="781"/>
      <c r="U834" s="781"/>
      <c r="V834" s="781"/>
      <c r="W834" s="781"/>
      <c r="X834" s="781"/>
      <c r="Y834" s="781"/>
      <c r="Z834" s="781"/>
      <c r="AA834" s="781"/>
      <c r="AB834" s="781"/>
      <c r="AC834" s="781"/>
      <c r="AD834" s="781"/>
      <c r="AE834" s="781"/>
      <c r="AF834" s="781"/>
      <c r="AG834" s="781"/>
      <c r="AH834" s="781"/>
      <c r="AI834" s="781"/>
      <c r="AJ834" s="781"/>
      <c r="AK834" s="781"/>
      <c r="AL834" s="781"/>
      <c r="AM834" s="781"/>
      <c r="AN834" s="781"/>
      <c r="AO834" s="781"/>
      <c r="AP834" s="781"/>
      <c r="AQ834" s="781"/>
      <c r="AR834" s="781"/>
      <c r="AS834" s="781"/>
      <c r="AT834" s="781"/>
      <c r="AU834" s="781"/>
    </row>
    <row r="835" ht="15.75" customHeight="1">
      <c r="A835" s="782">
        <v>44641.0</v>
      </c>
      <c r="B835" s="843">
        <v>6986262.0</v>
      </c>
      <c r="C835" s="772" t="s">
        <v>3820</v>
      </c>
      <c r="D835" s="772" t="s">
        <v>6346</v>
      </c>
      <c r="E835" s="784">
        <v>25000.0</v>
      </c>
      <c r="F835" s="772" t="s">
        <v>4312</v>
      </c>
      <c r="G835" s="761" t="s">
        <v>18</v>
      </c>
      <c r="H835" s="772" t="s">
        <v>19</v>
      </c>
      <c r="I835" s="772" t="s">
        <v>4152</v>
      </c>
      <c r="J835" s="782">
        <v>44503.0</v>
      </c>
      <c r="K835" s="737" t="s">
        <v>3869</v>
      </c>
      <c r="L835" s="781"/>
      <c r="M835" s="781"/>
      <c r="N835" s="781"/>
      <c r="O835" s="781"/>
      <c r="P835" s="781"/>
      <c r="Q835" s="781"/>
      <c r="R835" s="781"/>
      <c r="S835" s="781"/>
      <c r="T835" s="781"/>
      <c r="U835" s="781"/>
      <c r="V835" s="781"/>
      <c r="W835" s="781"/>
      <c r="X835" s="781"/>
      <c r="Y835" s="781"/>
      <c r="Z835" s="781"/>
      <c r="AA835" s="781"/>
      <c r="AB835" s="781"/>
      <c r="AC835" s="781"/>
      <c r="AD835" s="781"/>
      <c r="AE835" s="781"/>
      <c r="AF835" s="781"/>
      <c r="AG835" s="781"/>
      <c r="AH835" s="781"/>
      <c r="AI835" s="781"/>
      <c r="AJ835" s="781"/>
      <c r="AK835" s="781"/>
      <c r="AL835" s="781"/>
      <c r="AM835" s="781"/>
      <c r="AN835" s="781"/>
      <c r="AO835" s="781"/>
      <c r="AP835" s="781"/>
      <c r="AQ835" s="781"/>
      <c r="AR835" s="781"/>
      <c r="AS835" s="781"/>
      <c r="AT835" s="781"/>
      <c r="AU835" s="781"/>
    </row>
    <row r="836" ht="15.75" customHeight="1">
      <c r="A836" s="782">
        <v>44641.0</v>
      </c>
      <c r="B836" s="800" t="s">
        <v>6523</v>
      </c>
      <c r="C836" s="772" t="s">
        <v>3820</v>
      </c>
      <c r="D836" s="772" t="s">
        <v>1481</v>
      </c>
      <c r="E836" s="784">
        <v>175092.43</v>
      </c>
      <c r="F836" s="772" t="s">
        <v>4351</v>
      </c>
      <c r="G836" s="761" t="s">
        <v>105</v>
      </c>
      <c r="H836" s="761" t="s">
        <v>29</v>
      </c>
      <c r="I836" s="761" t="s">
        <v>3660</v>
      </c>
      <c r="J836" s="782">
        <v>44075.0</v>
      </c>
      <c r="K836" s="843" t="s">
        <v>3828</v>
      </c>
      <c r="L836" s="781"/>
      <c r="M836" s="781"/>
      <c r="N836" s="781"/>
      <c r="O836" s="781"/>
      <c r="P836" s="781"/>
      <c r="Q836" s="781"/>
      <c r="R836" s="781"/>
      <c r="S836" s="781"/>
      <c r="T836" s="781"/>
      <c r="U836" s="781"/>
      <c r="V836" s="781"/>
      <c r="W836" s="781"/>
      <c r="X836" s="781"/>
      <c r="Y836" s="781"/>
      <c r="Z836" s="781"/>
      <c r="AA836" s="781"/>
      <c r="AB836" s="781"/>
      <c r="AC836" s="781"/>
      <c r="AD836" s="781"/>
      <c r="AE836" s="781"/>
      <c r="AF836" s="781"/>
      <c r="AG836" s="781"/>
      <c r="AH836" s="781"/>
      <c r="AI836" s="781"/>
      <c r="AJ836" s="781"/>
      <c r="AK836" s="781"/>
      <c r="AL836" s="781"/>
      <c r="AM836" s="781"/>
      <c r="AN836" s="781"/>
      <c r="AO836" s="781"/>
      <c r="AP836" s="781"/>
      <c r="AQ836" s="781"/>
      <c r="AR836" s="781"/>
      <c r="AS836" s="781"/>
      <c r="AT836" s="781"/>
      <c r="AU836" s="781"/>
    </row>
    <row r="837" ht="15.75" customHeight="1">
      <c r="A837" s="782">
        <v>44643.0</v>
      </c>
      <c r="B837" s="800" t="s">
        <v>6524</v>
      </c>
      <c r="C837" s="772" t="s">
        <v>3820</v>
      </c>
      <c r="D837" s="772" t="s">
        <v>1481</v>
      </c>
      <c r="E837" s="784">
        <v>101496.62</v>
      </c>
      <c r="F837" s="772" t="s">
        <v>5365</v>
      </c>
      <c r="G837" s="761" t="s">
        <v>105</v>
      </c>
      <c r="H837" s="772" t="s">
        <v>1818</v>
      </c>
      <c r="I837" s="772" t="s">
        <v>6266</v>
      </c>
      <c r="J837" s="782">
        <v>44256.0</v>
      </c>
      <c r="K837" s="843" t="s">
        <v>3824</v>
      </c>
      <c r="L837" s="781"/>
      <c r="M837" s="781"/>
      <c r="N837" s="781"/>
      <c r="O837" s="781"/>
      <c r="P837" s="781"/>
      <c r="Q837" s="781"/>
      <c r="R837" s="781"/>
      <c r="S837" s="781"/>
      <c r="T837" s="781"/>
      <c r="U837" s="781"/>
      <c r="V837" s="781"/>
      <c r="W837" s="781"/>
      <c r="X837" s="781"/>
      <c r="Y837" s="781"/>
      <c r="Z837" s="781"/>
      <c r="AA837" s="781"/>
      <c r="AB837" s="781"/>
      <c r="AC837" s="781"/>
      <c r="AD837" s="781"/>
      <c r="AE837" s="781"/>
      <c r="AF837" s="781"/>
      <c r="AG837" s="781"/>
      <c r="AH837" s="781"/>
      <c r="AI837" s="781"/>
      <c r="AJ837" s="781"/>
      <c r="AK837" s="781"/>
      <c r="AL837" s="781"/>
      <c r="AM837" s="781"/>
      <c r="AN837" s="781"/>
      <c r="AO837" s="781"/>
      <c r="AP837" s="781"/>
      <c r="AQ837" s="781"/>
      <c r="AR837" s="781"/>
      <c r="AS837" s="781"/>
      <c r="AT837" s="781"/>
      <c r="AU837" s="781"/>
    </row>
    <row r="838" ht="15.75" customHeight="1">
      <c r="A838" s="782">
        <v>44644.0</v>
      </c>
      <c r="B838" s="783" t="s">
        <v>2912</v>
      </c>
      <c r="C838" s="737" t="s">
        <v>2547</v>
      </c>
      <c r="D838" s="772" t="s">
        <v>6346</v>
      </c>
      <c r="E838" s="784">
        <v>10000.0</v>
      </c>
      <c r="F838" s="772" t="s">
        <v>2911</v>
      </c>
      <c r="G838" s="772" t="s">
        <v>18</v>
      </c>
      <c r="H838" s="772" t="s">
        <v>176</v>
      </c>
      <c r="I838" s="772" t="s">
        <v>177</v>
      </c>
      <c r="J838" s="782">
        <v>44280.0</v>
      </c>
      <c r="K838" s="772" t="s">
        <v>3824</v>
      </c>
      <c r="L838" s="781"/>
      <c r="M838" s="781"/>
      <c r="N838" s="781"/>
      <c r="O838" s="781"/>
      <c r="P838" s="781"/>
      <c r="Q838" s="781"/>
      <c r="R838" s="781"/>
      <c r="S838" s="781"/>
      <c r="T838" s="781"/>
      <c r="U838" s="781"/>
      <c r="V838" s="781"/>
      <c r="W838" s="781"/>
      <c r="X838" s="781"/>
      <c r="Y838" s="781"/>
      <c r="Z838" s="781"/>
      <c r="AA838" s="781"/>
      <c r="AB838" s="781"/>
      <c r="AC838" s="781"/>
      <c r="AD838" s="781"/>
      <c r="AE838" s="781"/>
      <c r="AF838" s="781"/>
      <c r="AG838" s="781"/>
      <c r="AH838" s="781"/>
      <c r="AI838" s="781"/>
      <c r="AJ838" s="781"/>
      <c r="AK838" s="781"/>
      <c r="AL838" s="781"/>
      <c r="AM838" s="781"/>
      <c r="AN838" s="781"/>
      <c r="AO838" s="781"/>
      <c r="AP838" s="781"/>
      <c r="AQ838" s="781"/>
      <c r="AR838" s="781"/>
      <c r="AS838" s="781"/>
      <c r="AT838" s="781"/>
      <c r="AU838" s="781"/>
    </row>
    <row r="839" ht="15.75" customHeight="1">
      <c r="A839" s="782">
        <v>44644.0</v>
      </c>
      <c r="B839" s="783" t="s">
        <v>3475</v>
      </c>
      <c r="C839" s="737" t="s">
        <v>2547</v>
      </c>
      <c r="D839" s="772" t="s">
        <v>1481</v>
      </c>
      <c r="E839" s="784">
        <v>117357.0</v>
      </c>
      <c r="F839" s="772" t="s">
        <v>3474</v>
      </c>
      <c r="G839" s="772" t="s">
        <v>18</v>
      </c>
      <c r="H839" s="772" t="s">
        <v>176</v>
      </c>
      <c r="I839" s="772" t="s">
        <v>2634</v>
      </c>
      <c r="J839" s="782">
        <v>44330.0</v>
      </c>
      <c r="K839" s="772" t="s">
        <v>3836</v>
      </c>
      <c r="L839" s="781"/>
      <c r="M839" s="781"/>
      <c r="N839" s="781"/>
      <c r="O839" s="781"/>
      <c r="P839" s="781"/>
      <c r="Q839" s="781"/>
      <c r="R839" s="781"/>
      <c r="S839" s="781"/>
      <c r="T839" s="781"/>
      <c r="U839" s="781"/>
      <c r="V839" s="781"/>
      <c r="W839" s="781"/>
      <c r="X839" s="781"/>
      <c r="Y839" s="781"/>
      <c r="Z839" s="781"/>
      <c r="AA839" s="781"/>
      <c r="AB839" s="781"/>
      <c r="AC839" s="781"/>
      <c r="AD839" s="781"/>
      <c r="AE839" s="781"/>
      <c r="AF839" s="781"/>
      <c r="AG839" s="781"/>
      <c r="AH839" s="781"/>
      <c r="AI839" s="781"/>
      <c r="AJ839" s="781"/>
      <c r="AK839" s="781"/>
      <c r="AL839" s="781"/>
      <c r="AM839" s="781"/>
      <c r="AN839" s="781"/>
      <c r="AO839" s="781"/>
      <c r="AP839" s="781"/>
      <c r="AQ839" s="781"/>
      <c r="AR839" s="781"/>
      <c r="AS839" s="781"/>
      <c r="AT839" s="781"/>
      <c r="AU839" s="781"/>
    </row>
    <row r="840" ht="15.75" customHeight="1">
      <c r="A840" s="782">
        <v>44644.0</v>
      </c>
      <c r="B840" s="783" t="s">
        <v>3068</v>
      </c>
      <c r="C840" s="737" t="s">
        <v>2547</v>
      </c>
      <c r="D840" s="772" t="s">
        <v>6346</v>
      </c>
      <c r="E840" s="784">
        <v>19000.0</v>
      </c>
      <c r="F840" s="772" t="s">
        <v>3067</v>
      </c>
      <c r="G840" s="772" t="s">
        <v>18</v>
      </c>
      <c r="H840" s="772" t="s">
        <v>176</v>
      </c>
      <c r="I840" s="772" t="s">
        <v>2634</v>
      </c>
      <c r="J840" s="782">
        <v>44263.0</v>
      </c>
      <c r="K840" s="772" t="s">
        <v>3828</v>
      </c>
      <c r="L840" s="781"/>
      <c r="M840" s="781"/>
      <c r="N840" s="781"/>
      <c r="O840" s="781"/>
      <c r="P840" s="781"/>
      <c r="Q840" s="781"/>
      <c r="R840" s="781"/>
      <c r="S840" s="781"/>
      <c r="T840" s="781"/>
      <c r="U840" s="781"/>
      <c r="V840" s="781"/>
      <c r="W840" s="781"/>
      <c r="X840" s="781"/>
      <c r="Y840" s="781"/>
      <c r="Z840" s="781"/>
      <c r="AA840" s="781"/>
      <c r="AB840" s="781"/>
      <c r="AC840" s="781"/>
      <c r="AD840" s="781"/>
      <c r="AE840" s="781"/>
      <c r="AF840" s="781"/>
      <c r="AG840" s="781"/>
      <c r="AH840" s="781"/>
      <c r="AI840" s="781"/>
      <c r="AJ840" s="781"/>
      <c r="AK840" s="781"/>
      <c r="AL840" s="781"/>
      <c r="AM840" s="781"/>
      <c r="AN840" s="781"/>
      <c r="AO840" s="781"/>
      <c r="AP840" s="781"/>
      <c r="AQ840" s="781"/>
      <c r="AR840" s="781"/>
      <c r="AS840" s="781"/>
      <c r="AT840" s="781"/>
      <c r="AU840" s="781"/>
    </row>
    <row r="841" ht="15.75" customHeight="1">
      <c r="A841" s="782">
        <v>44644.0</v>
      </c>
      <c r="B841" s="783" t="s">
        <v>3044</v>
      </c>
      <c r="C841" s="737" t="s">
        <v>2547</v>
      </c>
      <c r="D841" s="772" t="s">
        <v>6346</v>
      </c>
      <c r="E841" s="784">
        <v>14000.0</v>
      </c>
      <c r="F841" s="772" t="s">
        <v>6525</v>
      </c>
      <c r="G841" s="772" t="s">
        <v>2550</v>
      </c>
      <c r="H841" s="772" t="s">
        <v>29</v>
      </c>
      <c r="I841" s="772" t="s">
        <v>2551</v>
      </c>
      <c r="J841" s="782">
        <v>43605.0</v>
      </c>
      <c r="K841" s="772" t="s">
        <v>3840</v>
      </c>
      <c r="L841" s="781"/>
      <c r="M841" s="781"/>
      <c r="N841" s="781"/>
      <c r="O841" s="781"/>
      <c r="P841" s="781"/>
      <c r="Q841" s="781"/>
      <c r="R841" s="781"/>
      <c r="S841" s="781"/>
      <c r="T841" s="781"/>
      <c r="U841" s="781"/>
      <c r="V841" s="781"/>
      <c r="W841" s="781"/>
      <c r="X841" s="781"/>
      <c r="Y841" s="781"/>
      <c r="Z841" s="781"/>
      <c r="AA841" s="781"/>
      <c r="AB841" s="781"/>
      <c r="AC841" s="781"/>
      <c r="AD841" s="781"/>
      <c r="AE841" s="781"/>
      <c r="AF841" s="781"/>
      <c r="AG841" s="781"/>
      <c r="AH841" s="781"/>
      <c r="AI841" s="781"/>
      <c r="AJ841" s="781"/>
      <c r="AK841" s="781"/>
      <c r="AL841" s="781"/>
      <c r="AM841" s="781"/>
      <c r="AN841" s="781"/>
      <c r="AO841" s="781"/>
      <c r="AP841" s="781"/>
      <c r="AQ841" s="781"/>
      <c r="AR841" s="781"/>
      <c r="AS841" s="781"/>
      <c r="AT841" s="781"/>
      <c r="AU841" s="781"/>
    </row>
    <row r="842" ht="15.75" customHeight="1">
      <c r="A842" s="782">
        <v>44644.0</v>
      </c>
      <c r="B842" s="783" t="s">
        <v>2699</v>
      </c>
      <c r="C842" s="737" t="s">
        <v>2547</v>
      </c>
      <c r="D842" s="772" t="s">
        <v>6346</v>
      </c>
      <c r="E842" s="784">
        <v>5000.0</v>
      </c>
      <c r="F842" s="772" t="s">
        <v>403</v>
      </c>
      <c r="G842" s="772" t="s">
        <v>18</v>
      </c>
      <c r="H842" s="772" t="s">
        <v>176</v>
      </c>
      <c r="I842" s="772" t="s">
        <v>177</v>
      </c>
      <c r="J842" s="782">
        <v>44421.0</v>
      </c>
      <c r="K842" s="772" t="s">
        <v>3828</v>
      </c>
      <c r="L842" s="781"/>
      <c r="M842" s="781"/>
      <c r="N842" s="781"/>
      <c r="O842" s="781"/>
      <c r="P842" s="781"/>
      <c r="Q842" s="781"/>
      <c r="R842" s="781"/>
      <c r="S842" s="781"/>
      <c r="T842" s="781"/>
      <c r="U842" s="781"/>
      <c r="V842" s="781"/>
      <c r="W842" s="781"/>
      <c r="X842" s="781"/>
      <c r="Y842" s="781"/>
      <c r="Z842" s="781"/>
      <c r="AA842" s="781"/>
      <c r="AB842" s="781"/>
      <c r="AC842" s="781"/>
      <c r="AD842" s="781"/>
      <c r="AE842" s="781"/>
      <c r="AF842" s="781"/>
      <c r="AG842" s="781"/>
      <c r="AH842" s="781"/>
      <c r="AI842" s="781"/>
      <c r="AJ842" s="781"/>
      <c r="AK842" s="781"/>
      <c r="AL842" s="781"/>
      <c r="AM842" s="781"/>
      <c r="AN842" s="781"/>
      <c r="AO842" s="781"/>
      <c r="AP842" s="781"/>
      <c r="AQ842" s="781"/>
      <c r="AR842" s="781"/>
      <c r="AS842" s="781"/>
      <c r="AT842" s="781"/>
      <c r="AU842" s="781"/>
    </row>
    <row r="843" ht="15.75" customHeight="1">
      <c r="A843" s="782">
        <v>44644.0</v>
      </c>
      <c r="B843" s="783" t="s">
        <v>6515</v>
      </c>
      <c r="C843" s="737" t="s">
        <v>2547</v>
      </c>
      <c r="D843" s="772" t="s">
        <v>6346</v>
      </c>
      <c r="E843" s="784">
        <v>25000.0</v>
      </c>
      <c r="F843" s="772" t="s">
        <v>3506</v>
      </c>
      <c r="G843" s="772" t="s">
        <v>18</v>
      </c>
      <c r="H843" s="772" t="s">
        <v>176</v>
      </c>
      <c r="I843" s="772" t="s">
        <v>177</v>
      </c>
      <c r="J843" s="782">
        <v>44585.0</v>
      </c>
      <c r="K843" s="772" t="s">
        <v>3834</v>
      </c>
      <c r="L843" s="781"/>
      <c r="M843" s="781"/>
      <c r="N843" s="781"/>
      <c r="O843" s="781"/>
      <c r="P843" s="781"/>
      <c r="Q843" s="781"/>
      <c r="R843" s="781"/>
      <c r="S843" s="781"/>
      <c r="T843" s="781"/>
      <c r="U843" s="781"/>
      <c r="V843" s="781"/>
      <c r="W843" s="781"/>
      <c r="X843" s="781"/>
      <c r="Y843" s="781"/>
      <c r="Z843" s="781"/>
      <c r="AA843" s="781"/>
      <c r="AB843" s="781"/>
      <c r="AC843" s="781"/>
      <c r="AD843" s="781"/>
      <c r="AE843" s="781"/>
      <c r="AF843" s="781"/>
      <c r="AG843" s="781"/>
      <c r="AH843" s="781"/>
      <c r="AI843" s="781"/>
      <c r="AJ843" s="781"/>
      <c r="AK843" s="781"/>
      <c r="AL843" s="781"/>
      <c r="AM843" s="781"/>
      <c r="AN843" s="781"/>
      <c r="AO843" s="781"/>
      <c r="AP843" s="781"/>
      <c r="AQ843" s="781"/>
      <c r="AR843" s="781"/>
      <c r="AS843" s="781"/>
      <c r="AT843" s="781"/>
      <c r="AU843" s="781"/>
    </row>
    <row r="844" ht="15.75" customHeight="1">
      <c r="A844" s="782">
        <v>44644.0</v>
      </c>
      <c r="B844" s="783" t="s">
        <v>3137</v>
      </c>
      <c r="C844" s="737" t="s">
        <v>2547</v>
      </c>
      <c r="D844" s="772" t="s">
        <v>6346</v>
      </c>
      <c r="E844" s="784">
        <v>300000.0</v>
      </c>
      <c r="F844" s="772" t="s">
        <v>1372</v>
      </c>
      <c r="G844" s="772" t="s">
        <v>18</v>
      </c>
      <c r="H844" s="772" t="s">
        <v>176</v>
      </c>
      <c r="I844" s="772" t="s">
        <v>177</v>
      </c>
      <c r="J844" s="819"/>
      <c r="K844" s="772"/>
      <c r="L844" s="781"/>
      <c r="M844" s="781"/>
      <c r="N844" s="781"/>
      <c r="O844" s="781"/>
      <c r="P844" s="781"/>
      <c r="Q844" s="781"/>
      <c r="R844" s="781"/>
      <c r="S844" s="781"/>
      <c r="T844" s="781"/>
      <c r="U844" s="781"/>
      <c r="V844" s="781"/>
      <c r="W844" s="781"/>
      <c r="X844" s="781"/>
      <c r="Y844" s="781"/>
      <c r="Z844" s="781"/>
      <c r="AA844" s="781"/>
      <c r="AB844" s="781"/>
      <c r="AC844" s="781"/>
      <c r="AD844" s="781"/>
      <c r="AE844" s="781"/>
      <c r="AF844" s="781"/>
      <c r="AG844" s="781"/>
      <c r="AH844" s="781"/>
      <c r="AI844" s="781"/>
      <c r="AJ844" s="781"/>
      <c r="AK844" s="781"/>
      <c r="AL844" s="781"/>
      <c r="AM844" s="781"/>
      <c r="AN844" s="781"/>
      <c r="AO844" s="781"/>
      <c r="AP844" s="781"/>
      <c r="AQ844" s="781"/>
      <c r="AR844" s="781"/>
      <c r="AS844" s="781"/>
      <c r="AT844" s="781"/>
      <c r="AU844" s="781"/>
    </row>
    <row r="845" ht="15.75" customHeight="1">
      <c r="A845" s="782">
        <v>44648.0</v>
      </c>
      <c r="B845" s="800" t="s">
        <v>6511</v>
      </c>
      <c r="C845" s="772" t="s">
        <v>3820</v>
      </c>
      <c r="D845" s="772" t="s">
        <v>6346</v>
      </c>
      <c r="E845" s="784">
        <v>15000.0</v>
      </c>
      <c r="F845" s="772" t="s">
        <v>1552</v>
      </c>
      <c r="G845" s="761" t="s">
        <v>18</v>
      </c>
      <c r="H845" s="761" t="s">
        <v>29</v>
      </c>
      <c r="I845" s="761" t="s">
        <v>6512</v>
      </c>
      <c r="J845" s="782">
        <v>44594.0</v>
      </c>
      <c r="K845" s="843" t="s">
        <v>3834</v>
      </c>
      <c r="L845" s="781"/>
      <c r="M845" s="781"/>
      <c r="N845" s="781"/>
      <c r="O845" s="781"/>
      <c r="P845" s="781"/>
      <c r="Q845" s="781"/>
      <c r="R845" s="781"/>
      <c r="S845" s="781"/>
      <c r="T845" s="781"/>
      <c r="U845" s="781"/>
      <c r="V845" s="781"/>
      <c r="W845" s="781"/>
      <c r="X845" s="781"/>
      <c r="Y845" s="781"/>
      <c r="Z845" s="781"/>
      <c r="AA845" s="781"/>
      <c r="AB845" s="781"/>
      <c r="AC845" s="781"/>
      <c r="AD845" s="781"/>
      <c r="AE845" s="781"/>
      <c r="AF845" s="781"/>
      <c r="AG845" s="781"/>
      <c r="AH845" s="781"/>
      <c r="AI845" s="781"/>
      <c r="AJ845" s="781"/>
      <c r="AK845" s="781"/>
      <c r="AL845" s="781"/>
      <c r="AM845" s="781"/>
      <c r="AN845" s="781"/>
      <c r="AO845" s="781"/>
      <c r="AP845" s="781"/>
      <c r="AQ845" s="781"/>
      <c r="AR845" s="781"/>
      <c r="AS845" s="781"/>
      <c r="AT845" s="781"/>
      <c r="AU845" s="781"/>
    </row>
    <row r="846" ht="15.75" customHeight="1">
      <c r="A846" s="782">
        <v>44648.0</v>
      </c>
      <c r="B846" s="830" t="s">
        <v>6400</v>
      </c>
      <c r="C846" s="772" t="s">
        <v>3820</v>
      </c>
      <c r="D846" s="772" t="s">
        <v>1481</v>
      </c>
      <c r="E846" s="784">
        <v>2232.0</v>
      </c>
      <c r="F846" s="810" t="s">
        <v>1056</v>
      </c>
      <c r="G846" s="761" t="s">
        <v>105</v>
      </c>
      <c r="H846" s="761" t="s">
        <v>29</v>
      </c>
      <c r="I846" s="761" t="s">
        <v>4122</v>
      </c>
      <c r="J846" s="805">
        <v>44145.0</v>
      </c>
      <c r="K846" s="843" t="s">
        <v>3824</v>
      </c>
      <c r="L846" s="781"/>
      <c r="M846" s="781"/>
      <c r="N846" s="781"/>
      <c r="O846" s="781"/>
      <c r="P846" s="781"/>
      <c r="Q846" s="781"/>
      <c r="R846" s="781"/>
      <c r="S846" s="781"/>
      <c r="T846" s="781"/>
      <c r="U846" s="781"/>
      <c r="V846" s="781"/>
      <c r="W846" s="781"/>
      <c r="X846" s="781"/>
      <c r="Y846" s="781"/>
      <c r="Z846" s="781"/>
      <c r="AA846" s="781"/>
      <c r="AB846" s="781"/>
      <c r="AC846" s="781"/>
      <c r="AD846" s="781"/>
      <c r="AE846" s="781"/>
      <c r="AF846" s="781"/>
      <c r="AG846" s="781"/>
      <c r="AH846" s="781"/>
      <c r="AI846" s="781"/>
      <c r="AJ846" s="781"/>
      <c r="AK846" s="781"/>
      <c r="AL846" s="781"/>
      <c r="AM846" s="781"/>
      <c r="AN846" s="781"/>
      <c r="AO846" s="781"/>
      <c r="AP846" s="781"/>
      <c r="AQ846" s="781"/>
      <c r="AR846" s="781"/>
      <c r="AS846" s="781"/>
      <c r="AT846" s="781"/>
      <c r="AU846" s="781"/>
    </row>
    <row r="847" ht="15.75" customHeight="1">
      <c r="A847" s="782">
        <v>44650.0</v>
      </c>
      <c r="B847" s="830" t="s">
        <v>6526</v>
      </c>
      <c r="C847" s="772" t="s">
        <v>3820</v>
      </c>
      <c r="D847" s="772" t="s">
        <v>6345</v>
      </c>
      <c r="E847" s="784">
        <v>129000.0</v>
      </c>
      <c r="F847" s="810" t="s">
        <v>4943</v>
      </c>
      <c r="G847" s="761" t="s">
        <v>105</v>
      </c>
      <c r="H847" s="772" t="s">
        <v>1818</v>
      </c>
      <c r="I847" s="761" t="s">
        <v>6260</v>
      </c>
      <c r="J847" s="805">
        <v>44216.0</v>
      </c>
      <c r="K847" s="843" t="s">
        <v>3824</v>
      </c>
      <c r="L847" s="781"/>
      <c r="M847" s="781"/>
      <c r="N847" s="781"/>
      <c r="O847" s="781"/>
      <c r="P847" s="781"/>
      <c r="Q847" s="781"/>
      <c r="R847" s="781"/>
      <c r="S847" s="781"/>
      <c r="T847" s="781"/>
      <c r="U847" s="781"/>
      <c r="V847" s="781"/>
      <c r="W847" s="781"/>
      <c r="X847" s="781"/>
      <c r="Y847" s="781"/>
      <c r="Z847" s="781"/>
      <c r="AA847" s="781"/>
      <c r="AB847" s="781"/>
      <c r="AC847" s="781"/>
      <c r="AD847" s="781"/>
      <c r="AE847" s="781"/>
      <c r="AF847" s="781"/>
      <c r="AG847" s="781"/>
      <c r="AH847" s="781"/>
      <c r="AI847" s="781"/>
      <c r="AJ847" s="781"/>
      <c r="AK847" s="781"/>
      <c r="AL847" s="781"/>
      <c r="AM847" s="781"/>
      <c r="AN847" s="781"/>
      <c r="AO847" s="781"/>
      <c r="AP847" s="781"/>
      <c r="AQ847" s="781"/>
      <c r="AR847" s="781"/>
      <c r="AS847" s="781"/>
      <c r="AT847" s="781"/>
      <c r="AU847" s="781"/>
    </row>
    <row r="848" ht="15.75" customHeight="1">
      <c r="A848" s="782">
        <v>44650.0</v>
      </c>
      <c r="B848" s="830" t="s">
        <v>6527</v>
      </c>
      <c r="C848" s="772" t="s">
        <v>3820</v>
      </c>
      <c r="D848" s="772" t="s">
        <v>6345</v>
      </c>
      <c r="E848" s="784">
        <v>630477.0</v>
      </c>
      <c r="F848" s="810" t="s">
        <v>4943</v>
      </c>
      <c r="G848" s="761" t="s">
        <v>105</v>
      </c>
      <c r="H848" s="772" t="s">
        <v>1818</v>
      </c>
      <c r="I848" s="761" t="s">
        <v>6260</v>
      </c>
      <c r="J848" s="805">
        <v>44207.0</v>
      </c>
      <c r="K848" s="843" t="s">
        <v>3869</v>
      </c>
      <c r="L848" s="781"/>
      <c r="M848" s="781"/>
      <c r="N848" s="781"/>
      <c r="O848" s="781"/>
      <c r="P848" s="781"/>
      <c r="Q848" s="781"/>
      <c r="R848" s="781"/>
      <c r="S848" s="781"/>
      <c r="T848" s="781"/>
      <c r="U848" s="781"/>
      <c r="V848" s="781"/>
      <c r="W848" s="781"/>
      <c r="X848" s="781"/>
      <c r="Y848" s="781"/>
      <c r="Z848" s="781"/>
      <c r="AA848" s="781"/>
      <c r="AB848" s="781"/>
      <c r="AC848" s="781"/>
      <c r="AD848" s="781"/>
      <c r="AE848" s="781"/>
      <c r="AF848" s="781"/>
      <c r="AG848" s="781"/>
      <c r="AH848" s="781"/>
      <c r="AI848" s="781"/>
      <c r="AJ848" s="781"/>
      <c r="AK848" s="781"/>
      <c r="AL848" s="781"/>
      <c r="AM848" s="781"/>
      <c r="AN848" s="781"/>
      <c r="AO848" s="781"/>
      <c r="AP848" s="781"/>
      <c r="AQ848" s="781"/>
      <c r="AR848" s="781"/>
      <c r="AS848" s="781"/>
      <c r="AT848" s="781"/>
      <c r="AU848" s="781"/>
    </row>
    <row r="849" ht="15.75" customHeight="1">
      <c r="A849" s="782">
        <v>44650.0</v>
      </c>
      <c r="B849" s="830" t="s">
        <v>6528</v>
      </c>
      <c r="C849" s="772" t="s">
        <v>3820</v>
      </c>
      <c r="D849" s="772" t="s">
        <v>6345</v>
      </c>
      <c r="E849" s="784">
        <v>152856.49</v>
      </c>
      <c r="F849" s="737" t="s">
        <v>4110</v>
      </c>
      <c r="G849" s="761" t="s">
        <v>105</v>
      </c>
      <c r="H849" s="772" t="s">
        <v>1818</v>
      </c>
      <c r="I849" s="761" t="s">
        <v>6260</v>
      </c>
      <c r="J849" s="805">
        <v>44385.0</v>
      </c>
      <c r="K849" s="843" t="s">
        <v>3824</v>
      </c>
      <c r="L849" s="781"/>
      <c r="M849" s="781"/>
      <c r="N849" s="781"/>
      <c r="O849" s="781"/>
      <c r="P849" s="781"/>
      <c r="Q849" s="781"/>
      <c r="R849" s="781"/>
      <c r="S849" s="781"/>
      <c r="T849" s="781"/>
      <c r="U849" s="781"/>
      <c r="V849" s="781"/>
      <c r="W849" s="781"/>
      <c r="X849" s="781"/>
      <c r="Y849" s="781"/>
      <c r="Z849" s="781"/>
      <c r="AA849" s="781"/>
      <c r="AB849" s="781"/>
      <c r="AC849" s="781"/>
      <c r="AD849" s="781"/>
      <c r="AE849" s="781"/>
      <c r="AF849" s="781"/>
      <c r="AG849" s="781"/>
      <c r="AH849" s="781"/>
      <c r="AI849" s="781"/>
      <c r="AJ849" s="781"/>
      <c r="AK849" s="781"/>
      <c r="AL849" s="781"/>
      <c r="AM849" s="781"/>
      <c r="AN849" s="781"/>
      <c r="AO849" s="781"/>
      <c r="AP849" s="781"/>
      <c r="AQ849" s="781"/>
      <c r="AR849" s="781"/>
      <c r="AS849" s="781"/>
      <c r="AT849" s="781"/>
      <c r="AU849" s="781"/>
    </row>
    <row r="850" ht="15.75" customHeight="1">
      <c r="A850" s="782">
        <v>44650.0</v>
      </c>
      <c r="B850" s="783" t="s">
        <v>6529</v>
      </c>
      <c r="C850" s="737" t="s">
        <v>3820</v>
      </c>
      <c r="D850" s="772" t="s">
        <v>6346</v>
      </c>
      <c r="E850" s="784">
        <v>22140.93</v>
      </c>
      <c r="F850" s="772" t="s">
        <v>6530</v>
      </c>
      <c r="G850" s="772" t="s">
        <v>18</v>
      </c>
      <c r="H850" s="772" t="s">
        <v>19</v>
      </c>
      <c r="I850" s="772" t="s">
        <v>20</v>
      </c>
      <c r="J850" s="782">
        <v>44656.0</v>
      </c>
      <c r="K850" s="772" t="s">
        <v>3828</v>
      </c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</row>
    <row r="851" ht="15.75" customHeight="1">
      <c r="A851" s="782">
        <v>44651.0</v>
      </c>
      <c r="B851" s="830" t="s">
        <v>6531</v>
      </c>
      <c r="C851" s="772" t="s">
        <v>3820</v>
      </c>
      <c r="D851" s="772" t="s">
        <v>6345</v>
      </c>
      <c r="E851" s="784">
        <v>230428.79</v>
      </c>
      <c r="F851" s="855" t="s">
        <v>5403</v>
      </c>
      <c r="G851" s="761" t="s">
        <v>105</v>
      </c>
      <c r="H851" s="772" t="s">
        <v>1818</v>
      </c>
      <c r="I851" s="761" t="s">
        <v>6260</v>
      </c>
      <c r="J851" s="805">
        <v>44294.0</v>
      </c>
      <c r="K851" s="843" t="s">
        <v>3824</v>
      </c>
      <c r="L851" s="781"/>
      <c r="M851" s="781"/>
      <c r="N851" s="781"/>
      <c r="O851" s="781"/>
      <c r="P851" s="781"/>
      <c r="Q851" s="781"/>
      <c r="R851" s="781"/>
      <c r="S851" s="781"/>
      <c r="T851" s="781"/>
      <c r="U851" s="781"/>
      <c r="V851" s="781"/>
      <c r="W851" s="781"/>
      <c r="X851" s="781"/>
      <c r="Y851" s="781"/>
      <c r="Z851" s="781"/>
      <c r="AA851" s="781"/>
      <c r="AB851" s="781"/>
      <c r="AC851" s="781"/>
      <c r="AD851" s="781"/>
      <c r="AE851" s="781"/>
      <c r="AF851" s="781"/>
      <c r="AG851" s="781"/>
      <c r="AH851" s="781"/>
      <c r="AI851" s="781"/>
      <c r="AJ851" s="781"/>
      <c r="AK851" s="781"/>
      <c r="AL851" s="781"/>
      <c r="AM851" s="781"/>
      <c r="AN851" s="781"/>
      <c r="AO851" s="781"/>
      <c r="AP851" s="781"/>
      <c r="AQ851" s="781"/>
      <c r="AR851" s="781"/>
      <c r="AS851" s="781"/>
      <c r="AT851" s="781"/>
      <c r="AU851" s="781"/>
    </row>
    <row r="852" ht="15.75" customHeight="1">
      <c r="A852" s="782">
        <v>44651.0</v>
      </c>
      <c r="B852" s="800" t="s">
        <v>6532</v>
      </c>
      <c r="C852" s="772" t="s">
        <v>3820</v>
      </c>
      <c r="D852" s="772" t="s">
        <v>6345</v>
      </c>
      <c r="E852" s="784">
        <v>281890.89</v>
      </c>
      <c r="F852" s="772" t="s">
        <v>4290</v>
      </c>
      <c r="G852" s="761" t="s">
        <v>18</v>
      </c>
      <c r="H852" s="761" t="s">
        <v>19</v>
      </c>
      <c r="I852" s="761" t="s">
        <v>256</v>
      </c>
      <c r="J852" s="782">
        <v>44300.0</v>
      </c>
      <c r="K852" s="843" t="s">
        <v>3828</v>
      </c>
      <c r="L852" s="781"/>
      <c r="M852" s="781"/>
      <c r="N852" s="781"/>
      <c r="O852" s="781"/>
      <c r="P852" s="781"/>
      <c r="Q852" s="781"/>
      <c r="R852" s="781"/>
      <c r="S852" s="781"/>
      <c r="T852" s="781"/>
      <c r="U852" s="781"/>
      <c r="V852" s="781"/>
      <c r="W852" s="781"/>
      <c r="X852" s="781"/>
      <c r="Y852" s="781"/>
      <c r="Z852" s="781"/>
      <c r="AA852" s="781"/>
      <c r="AB852" s="781"/>
      <c r="AC852" s="781"/>
      <c r="AD852" s="781"/>
      <c r="AE852" s="781"/>
      <c r="AF852" s="781"/>
      <c r="AG852" s="781"/>
      <c r="AH852" s="781"/>
      <c r="AI852" s="781"/>
      <c r="AJ852" s="781"/>
      <c r="AK852" s="781"/>
      <c r="AL852" s="781"/>
      <c r="AM852" s="781"/>
      <c r="AN852" s="781"/>
      <c r="AO852" s="781"/>
      <c r="AP852" s="781"/>
      <c r="AQ852" s="781"/>
      <c r="AR852" s="781"/>
      <c r="AS852" s="781"/>
      <c r="AT852" s="781"/>
      <c r="AU852" s="781"/>
    </row>
    <row r="853" ht="15.75" customHeight="1">
      <c r="A853" s="782">
        <v>44651.0</v>
      </c>
      <c r="B853" s="783">
        <v>804771.0</v>
      </c>
      <c r="C853" s="737" t="s">
        <v>2547</v>
      </c>
      <c r="D853" s="772" t="s">
        <v>1481</v>
      </c>
      <c r="E853" s="784">
        <v>84500.0</v>
      </c>
      <c r="F853" s="772" t="s">
        <v>3317</v>
      </c>
      <c r="G853" s="772" t="s">
        <v>2659</v>
      </c>
      <c r="H853" s="772" t="s">
        <v>29</v>
      </c>
      <c r="I853" s="772" t="s">
        <v>2659</v>
      </c>
      <c r="J853" s="819">
        <v>43441.0</v>
      </c>
      <c r="K853" s="772" t="s">
        <v>3840</v>
      </c>
      <c r="L853" s="781"/>
      <c r="M853" s="781"/>
      <c r="N853" s="781"/>
      <c r="O853" s="781"/>
      <c r="P853" s="781"/>
      <c r="Q853" s="781"/>
      <c r="R853" s="781"/>
      <c r="S853" s="781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81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</row>
    <row r="854" ht="15.75" customHeight="1">
      <c r="A854" s="782">
        <v>44651.0</v>
      </c>
      <c r="B854" s="783" t="s">
        <v>2584</v>
      </c>
      <c r="C854" s="737" t="s">
        <v>2547</v>
      </c>
      <c r="D854" s="772" t="s">
        <v>1481</v>
      </c>
      <c r="E854" s="784">
        <v>32277.0</v>
      </c>
      <c r="F854" s="772" t="s">
        <v>2583</v>
      </c>
      <c r="G854" s="772" t="s">
        <v>2550</v>
      </c>
      <c r="H854" s="772" t="s">
        <v>29</v>
      </c>
      <c r="I854" s="772" t="s">
        <v>2551</v>
      </c>
      <c r="J854" s="782">
        <v>43753.0</v>
      </c>
      <c r="K854" s="772" t="s">
        <v>3828</v>
      </c>
      <c r="L854" s="781"/>
      <c r="M854" s="781"/>
      <c r="N854" s="781"/>
      <c r="O854" s="781"/>
      <c r="P854" s="781"/>
      <c r="Q854" s="781"/>
      <c r="R854" s="781"/>
      <c r="S854" s="781"/>
      <c r="T854" s="781"/>
      <c r="U854" s="781"/>
      <c r="V854" s="781"/>
      <c r="W854" s="781"/>
      <c r="X854" s="781"/>
      <c r="Y854" s="781"/>
      <c r="Z854" s="781"/>
      <c r="AA854" s="781"/>
      <c r="AB854" s="781"/>
      <c r="AC854" s="781"/>
      <c r="AD854" s="781"/>
      <c r="AE854" s="781"/>
      <c r="AF854" s="781"/>
      <c r="AG854" s="781"/>
      <c r="AH854" s="781"/>
      <c r="AI854" s="781"/>
      <c r="AJ854" s="781"/>
      <c r="AK854" s="781"/>
      <c r="AL854" s="781"/>
      <c r="AM854" s="781"/>
      <c r="AN854" s="781"/>
      <c r="AO854" s="781"/>
      <c r="AP854" s="781"/>
      <c r="AQ854" s="781"/>
      <c r="AR854" s="781"/>
      <c r="AS854" s="781"/>
      <c r="AT854" s="781"/>
      <c r="AU854" s="781"/>
    </row>
    <row r="855" ht="15.75" customHeight="1">
      <c r="A855" s="782">
        <v>44652.0</v>
      </c>
      <c r="B855" s="783" t="s">
        <v>3216</v>
      </c>
      <c r="C855" s="737" t="s">
        <v>2547</v>
      </c>
      <c r="D855" s="772" t="s">
        <v>6345</v>
      </c>
      <c r="E855" s="784">
        <v>15091.06</v>
      </c>
      <c r="F855" s="772" t="s">
        <v>3215</v>
      </c>
      <c r="G855" s="772" t="s">
        <v>18</v>
      </c>
      <c r="H855" s="772" t="s">
        <v>176</v>
      </c>
      <c r="I855" s="772" t="s">
        <v>197</v>
      </c>
      <c r="J855" s="782">
        <v>44322.0</v>
      </c>
      <c r="K855" s="782" t="s">
        <v>3828</v>
      </c>
      <c r="L855" s="781"/>
      <c r="M855" s="781"/>
      <c r="N855" s="781"/>
      <c r="O855" s="781"/>
      <c r="P855" s="781"/>
      <c r="Q855" s="781"/>
      <c r="R855" s="781"/>
      <c r="S855" s="781"/>
      <c r="T855" s="781"/>
      <c r="U855" s="781"/>
      <c r="V855" s="781"/>
      <c r="W855" s="781"/>
      <c r="X855" s="781"/>
      <c r="Y855" s="781"/>
      <c r="Z855" s="781"/>
      <c r="AA855" s="781"/>
      <c r="AB855" s="781"/>
      <c r="AC855" s="781"/>
      <c r="AD855" s="781"/>
      <c r="AE855" s="781"/>
      <c r="AF855" s="781"/>
      <c r="AG855" s="781"/>
      <c r="AH855" s="781"/>
      <c r="AI855" s="781"/>
      <c r="AJ855" s="781"/>
      <c r="AK855" s="781"/>
      <c r="AL855" s="781"/>
      <c r="AM855" s="781"/>
      <c r="AN855" s="781"/>
      <c r="AO855" s="781"/>
      <c r="AP855" s="781"/>
      <c r="AQ855" s="781"/>
      <c r="AR855" s="781"/>
      <c r="AS855" s="781"/>
      <c r="AT855" s="781"/>
      <c r="AU855" s="781"/>
    </row>
    <row r="856" ht="15.75" customHeight="1">
      <c r="A856" s="782">
        <v>44652.0</v>
      </c>
      <c r="B856" s="783" t="s">
        <v>6518</v>
      </c>
      <c r="C856" s="737" t="s">
        <v>3820</v>
      </c>
      <c r="D856" s="772" t="s">
        <v>6346</v>
      </c>
      <c r="E856" s="784">
        <v>31400.0</v>
      </c>
      <c r="F856" s="772" t="s">
        <v>3867</v>
      </c>
      <c r="G856" s="772" t="s">
        <v>18</v>
      </c>
      <c r="H856" s="772" t="s">
        <v>19</v>
      </c>
      <c r="I856" s="782" t="s">
        <v>20</v>
      </c>
      <c r="J856" s="782">
        <v>44609.0</v>
      </c>
      <c r="K856" s="772" t="s">
        <v>3836</v>
      </c>
      <c r="L856" s="781"/>
      <c r="M856" s="781"/>
      <c r="N856" s="781"/>
      <c r="O856" s="781"/>
      <c r="P856" s="781"/>
      <c r="Q856" s="781"/>
      <c r="R856" s="781"/>
      <c r="S856" s="781"/>
      <c r="T856" s="781"/>
      <c r="U856" s="781"/>
      <c r="V856" s="781"/>
      <c r="W856" s="781"/>
      <c r="X856" s="781"/>
      <c r="Y856" s="781"/>
      <c r="Z856" s="781"/>
      <c r="AA856" s="781"/>
      <c r="AB856" s="781"/>
      <c r="AC856" s="781"/>
      <c r="AD856" s="781"/>
      <c r="AE856" s="781"/>
      <c r="AF856" s="781"/>
      <c r="AG856" s="781"/>
      <c r="AH856" s="781"/>
      <c r="AI856" s="781"/>
      <c r="AJ856" s="781"/>
      <c r="AK856" s="781"/>
      <c r="AL856" s="781"/>
      <c r="AM856" s="781"/>
      <c r="AN856" s="781"/>
      <c r="AO856" s="781"/>
      <c r="AP856" s="781"/>
      <c r="AQ856" s="781"/>
      <c r="AR856" s="781"/>
      <c r="AS856" s="781"/>
      <c r="AT856" s="781"/>
      <c r="AU856" s="781"/>
    </row>
    <row r="857" ht="15.75" customHeight="1">
      <c r="A857" s="782">
        <v>44655.0</v>
      </c>
      <c r="B857" s="783" t="s">
        <v>2847</v>
      </c>
      <c r="C857" s="737" t="s">
        <v>2547</v>
      </c>
      <c r="D857" s="772" t="s">
        <v>6346</v>
      </c>
      <c r="E857" s="784">
        <v>40000.0</v>
      </c>
      <c r="F857" s="737" t="s">
        <v>6533</v>
      </c>
      <c r="G857" s="772" t="s">
        <v>18</v>
      </c>
      <c r="H857" s="772" t="s">
        <v>176</v>
      </c>
      <c r="I857" s="772" t="s">
        <v>177</v>
      </c>
      <c r="J857" s="782">
        <v>44321.0</v>
      </c>
      <c r="K857" s="772" t="s">
        <v>3828</v>
      </c>
      <c r="L857" s="781"/>
      <c r="M857" s="781"/>
      <c r="N857" s="781"/>
      <c r="O857" s="781"/>
      <c r="P857" s="781"/>
      <c r="Q857" s="781"/>
      <c r="R857" s="781"/>
      <c r="S857" s="781"/>
      <c r="T857" s="781"/>
      <c r="U857" s="781"/>
      <c r="V857" s="781"/>
      <c r="W857" s="781"/>
      <c r="X857" s="781"/>
      <c r="Y857" s="781"/>
      <c r="Z857" s="781"/>
      <c r="AA857" s="781"/>
      <c r="AB857" s="781"/>
      <c r="AC857" s="781"/>
      <c r="AD857" s="781"/>
      <c r="AE857" s="781"/>
      <c r="AF857" s="781"/>
      <c r="AG857" s="781"/>
      <c r="AH857" s="781"/>
      <c r="AI857" s="781"/>
      <c r="AJ857" s="781"/>
      <c r="AK857" s="781"/>
      <c r="AL857" s="781"/>
      <c r="AM857" s="781"/>
      <c r="AN857" s="781"/>
      <c r="AO857" s="781"/>
      <c r="AP857" s="781"/>
      <c r="AQ857" s="781"/>
      <c r="AR857" s="781"/>
      <c r="AS857" s="781"/>
      <c r="AT857" s="781"/>
      <c r="AU857" s="781"/>
    </row>
    <row r="858" ht="15.75" customHeight="1">
      <c r="A858" s="782">
        <v>44656.0</v>
      </c>
      <c r="B858" s="783" t="s">
        <v>6534</v>
      </c>
      <c r="C858" s="737" t="s">
        <v>3820</v>
      </c>
      <c r="D858" s="772" t="s">
        <v>6345</v>
      </c>
      <c r="E858" s="784">
        <v>171724.96</v>
      </c>
      <c r="F858" s="772" t="s">
        <v>4783</v>
      </c>
      <c r="G858" s="772" t="s">
        <v>18</v>
      </c>
      <c r="H858" s="772" t="s">
        <v>19</v>
      </c>
      <c r="I858" s="782" t="s">
        <v>256</v>
      </c>
      <c r="J858" s="782">
        <v>44274.0</v>
      </c>
      <c r="K858" s="772" t="s">
        <v>3828</v>
      </c>
      <c r="L858" s="781"/>
      <c r="M858" s="781"/>
      <c r="N858" s="781"/>
      <c r="O858" s="781"/>
      <c r="P858" s="781"/>
      <c r="Q858" s="781"/>
      <c r="R858" s="781"/>
      <c r="S858" s="781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81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</row>
    <row r="859" ht="15.75" customHeight="1">
      <c r="A859" s="782">
        <v>44656.0</v>
      </c>
      <c r="B859" s="783" t="s">
        <v>6515</v>
      </c>
      <c r="C859" s="737" t="s">
        <v>2547</v>
      </c>
      <c r="D859" s="772" t="s">
        <v>6346</v>
      </c>
      <c r="E859" s="784">
        <v>25000.0</v>
      </c>
      <c r="F859" s="737" t="s">
        <v>6535</v>
      </c>
      <c r="G859" s="772" t="s">
        <v>18</v>
      </c>
      <c r="H859" s="772" t="s">
        <v>176</v>
      </c>
      <c r="I859" s="772" t="s">
        <v>177</v>
      </c>
      <c r="J859" s="782">
        <v>44263.0</v>
      </c>
      <c r="K859" s="772" t="s">
        <v>3836</v>
      </c>
      <c r="L859" s="781"/>
      <c r="M859" s="781"/>
      <c r="N859" s="781"/>
      <c r="O859" s="781"/>
      <c r="P859" s="781"/>
      <c r="Q859" s="781"/>
      <c r="R859" s="781"/>
      <c r="S859" s="781"/>
      <c r="T859" s="781"/>
      <c r="U859" s="781"/>
      <c r="V859" s="781"/>
      <c r="W859" s="781"/>
      <c r="X859" s="781"/>
      <c r="Y859" s="781"/>
      <c r="Z859" s="781"/>
      <c r="AA859" s="781"/>
      <c r="AB859" s="781"/>
      <c r="AC859" s="781"/>
      <c r="AD859" s="781"/>
      <c r="AE859" s="781"/>
      <c r="AF859" s="781"/>
      <c r="AG859" s="781"/>
      <c r="AH859" s="781"/>
      <c r="AI859" s="781"/>
      <c r="AJ859" s="781"/>
      <c r="AK859" s="781"/>
      <c r="AL859" s="781"/>
      <c r="AM859" s="781"/>
      <c r="AN859" s="781"/>
      <c r="AO859" s="781"/>
      <c r="AP859" s="781"/>
      <c r="AQ859" s="781"/>
      <c r="AR859" s="781"/>
      <c r="AS859" s="781"/>
      <c r="AT859" s="781"/>
      <c r="AU859" s="781"/>
    </row>
    <row r="860" ht="15.75" customHeight="1">
      <c r="A860" s="782">
        <v>44657.0</v>
      </c>
      <c r="B860" s="783" t="s">
        <v>6536</v>
      </c>
      <c r="C860" s="737" t="s">
        <v>3820</v>
      </c>
      <c r="D860" s="772" t="s">
        <v>6345</v>
      </c>
      <c r="E860" s="784">
        <v>221711.79</v>
      </c>
      <c r="F860" s="772" t="s">
        <v>4005</v>
      </c>
      <c r="G860" s="772" t="s">
        <v>18</v>
      </c>
      <c r="H860" s="772" t="s">
        <v>1818</v>
      </c>
      <c r="I860" s="782" t="s">
        <v>6260</v>
      </c>
      <c r="J860" s="782">
        <v>44252.0</v>
      </c>
      <c r="K860" s="772" t="s">
        <v>3824</v>
      </c>
      <c r="L860" s="781"/>
      <c r="M860" s="781"/>
      <c r="N860" s="781"/>
      <c r="O860" s="781"/>
      <c r="P860" s="781"/>
      <c r="Q860" s="781"/>
      <c r="R860" s="781"/>
      <c r="S860" s="781"/>
      <c r="T860" s="781"/>
      <c r="U860" s="781"/>
      <c r="V860" s="781"/>
      <c r="W860" s="781"/>
      <c r="X860" s="781"/>
      <c r="Y860" s="781"/>
      <c r="Z860" s="781"/>
      <c r="AA860" s="781"/>
      <c r="AB860" s="781"/>
      <c r="AC860" s="781"/>
      <c r="AD860" s="781"/>
      <c r="AE860" s="781"/>
      <c r="AF860" s="781"/>
      <c r="AG860" s="781"/>
      <c r="AH860" s="781"/>
      <c r="AI860" s="781"/>
      <c r="AJ860" s="781"/>
      <c r="AK860" s="781"/>
      <c r="AL860" s="781"/>
      <c r="AM860" s="781"/>
      <c r="AN860" s="781"/>
      <c r="AO860" s="781"/>
      <c r="AP860" s="781"/>
      <c r="AQ860" s="781"/>
      <c r="AR860" s="781"/>
      <c r="AS860" s="781"/>
      <c r="AT860" s="781"/>
      <c r="AU860" s="781"/>
    </row>
    <row r="861" ht="15.75" customHeight="1">
      <c r="A861" s="782">
        <v>44657.0</v>
      </c>
      <c r="B861" s="783" t="s">
        <v>3233</v>
      </c>
      <c r="C861" s="737" t="s">
        <v>2547</v>
      </c>
      <c r="D861" s="772" t="s">
        <v>6346</v>
      </c>
      <c r="E861" s="784">
        <v>31000.0</v>
      </c>
      <c r="F861" s="737" t="s">
        <v>6537</v>
      </c>
      <c r="G861" s="772" t="s">
        <v>18</v>
      </c>
      <c r="H861" s="772" t="s">
        <v>176</v>
      </c>
      <c r="I861" s="772" t="s">
        <v>197</v>
      </c>
      <c r="J861" s="782">
        <v>44382.0</v>
      </c>
      <c r="K861" s="772" t="s">
        <v>3824</v>
      </c>
      <c r="L861" s="781"/>
      <c r="M861" s="781"/>
      <c r="N861" s="781"/>
      <c r="O861" s="781"/>
      <c r="P861" s="781"/>
      <c r="Q861" s="781"/>
      <c r="R861" s="781"/>
      <c r="S861" s="781"/>
      <c r="T861" s="781"/>
      <c r="U861" s="781"/>
      <c r="V861" s="781"/>
      <c r="W861" s="781"/>
      <c r="X861" s="781"/>
      <c r="Y861" s="781"/>
      <c r="Z861" s="781"/>
      <c r="AA861" s="781"/>
      <c r="AB861" s="781"/>
      <c r="AC861" s="781"/>
      <c r="AD861" s="781"/>
      <c r="AE861" s="781"/>
      <c r="AF861" s="781"/>
      <c r="AG861" s="781"/>
      <c r="AH861" s="781"/>
      <c r="AI861" s="781"/>
      <c r="AJ861" s="781"/>
      <c r="AK861" s="781"/>
      <c r="AL861" s="781"/>
      <c r="AM861" s="781"/>
      <c r="AN861" s="781"/>
      <c r="AO861" s="781"/>
      <c r="AP861" s="781"/>
      <c r="AQ861" s="781"/>
      <c r="AR861" s="781"/>
      <c r="AS861" s="781"/>
      <c r="AT861" s="781"/>
      <c r="AU861" s="781"/>
    </row>
    <row r="862" ht="15.75" customHeight="1">
      <c r="A862" s="782">
        <v>44658.0</v>
      </c>
      <c r="B862" s="783" t="s">
        <v>2933</v>
      </c>
      <c r="C862" s="737" t="s">
        <v>2547</v>
      </c>
      <c r="D862" s="772" t="s">
        <v>6346</v>
      </c>
      <c r="E862" s="784">
        <v>105000.0</v>
      </c>
      <c r="F862" s="772" t="s">
        <v>1030</v>
      </c>
      <c r="G862" s="772" t="s">
        <v>18</v>
      </c>
      <c r="H862" s="772" t="s">
        <v>176</v>
      </c>
      <c r="I862" s="782" t="s">
        <v>532</v>
      </c>
      <c r="J862" s="782">
        <v>44677.0</v>
      </c>
      <c r="K862" s="772" t="s">
        <v>3834</v>
      </c>
      <c r="L862" s="781"/>
      <c r="M862" s="781"/>
      <c r="N862" s="781"/>
      <c r="O862" s="781"/>
      <c r="P862" s="781"/>
      <c r="Q862" s="781"/>
      <c r="R862" s="781"/>
      <c r="S862" s="781"/>
      <c r="T862" s="781"/>
      <c r="U862" s="781"/>
      <c r="V862" s="781"/>
      <c r="W862" s="781"/>
      <c r="X862" s="781"/>
      <c r="Y862" s="781"/>
      <c r="Z862" s="781"/>
      <c r="AA862" s="781"/>
      <c r="AB862" s="781"/>
      <c r="AC862" s="781"/>
      <c r="AD862" s="781"/>
      <c r="AE862" s="781"/>
      <c r="AF862" s="781"/>
      <c r="AG862" s="781"/>
      <c r="AH862" s="781"/>
      <c r="AI862" s="781"/>
      <c r="AJ862" s="781"/>
      <c r="AK862" s="781"/>
      <c r="AL862" s="781"/>
      <c r="AM862" s="781"/>
      <c r="AN862" s="781"/>
      <c r="AO862" s="781"/>
      <c r="AP862" s="781"/>
      <c r="AQ862" s="781"/>
      <c r="AR862" s="781"/>
      <c r="AS862" s="781"/>
      <c r="AT862" s="781"/>
      <c r="AU862" s="781"/>
    </row>
    <row r="863" ht="15.75" customHeight="1">
      <c r="A863" s="782">
        <v>44658.0</v>
      </c>
      <c r="B863" s="783" t="s">
        <v>6511</v>
      </c>
      <c r="C863" s="737" t="s">
        <v>3820</v>
      </c>
      <c r="D863" s="772" t="s">
        <v>6346</v>
      </c>
      <c r="E863" s="784">
        <v>25000.0</v>
      </c>
      <c r="F863" s="772" t="s">
        <v>1552</v>
      </c>
      <c r="G863" s="772" t="s">
        <v>18</v>
      </c>
      <c r="H863" s="772" t="s">
        <v>29</v>
      </c>
      <c r="I863" s="782" t="s">
        <v>5047</v>
      </c>
      <c r="J863" s="782">
        <v>44594.0</v>
      </c>
      <c r="K863" s="772" t="s">
        <v>3834</v>
      </c>
      <c r="L863" s="781"/>
      <c r="M863" s="781"/>
      <c r="N863" s="781"/>
      <c r="O863" s="781"/>
      <c r="P863" s="781"/>
      <c r="Q863" s="781"/>
      <c r="R863" s="781"/>
      <c r="S863" s="781"/>
      <c r="T863" s="781"/>
      <c r="U863" s="781"/>
      <c r="V863" s="781"/>
      <c r="W863" s="781"/>
      <c r="X863" s="781"/>
      <c r="Y863" s="781"/>
      <c r="Z863" s="781"/>
      <c r="AA863" s="781"/>
      <c r="AB863" s="781"/>
      <c r="AC863" s="781"/>
      <c r="AD863" s="781"/>
      <c r="AE863" s="781"/>
      <c r="AF863" s="781"/>
      <c r="AG863" s="781"/>
      <c r="AH863" s="781"/>
      <c r="AI863" s="781"/>
      <c r="AJ863" s="781"/>
      <c r="AK863" s="781"/>
      <c r="AL863" s="781"/>
      <c r="AM863" s="781"/>
      <c r="AN863" s="781"/>
      <c r="AO863" s="781"/>
      <c r="AP863" s="781"/>
      <c r="AQ863" s="781"/>
      <c r="AR863" s="781"/>
      <c r="AS863" s="781"/>
      <c r="AT863" s="781"/>
      <c r="AU863" s="781"/>
    </row>
    <row r="864" ht="15.75" customHeight="1">
      <c r="A864" s="782">
        <v>44658.0</v>
      </c>
      <c r="B864" s="783" t="s">
        <v>6538</v>
      </c>
      <c r="C864" s="737" t="s">
        <v>2547</v>
      </c>
      <c r="D864" s="772" t="s">
        <v>6346</v>
      </c>
      <c r="E864" s="784">
        <v>15000.0</v>
      </c>
      <c r="F864" s="737" t="s">
        <v>2898</v>
      </c>
      <c r="G864" s="772" t="s">
        <v>18</v>
      </c>
      <c r="H864" s="772" t="s">
        <v>176</v>
      </c>
      <c r="I864" s="772" t="s">
        <v>197</v>
      </c>
      <c r="J864" s="782">
        <v>44602.0</v>
      </c>
      <c r="K864" s="772" t="s">
        <v>3828</v>
      </c>
      <c r="L864" s="781"/>
      <c r="M864" s="781"/>
      <c r="N864" s="781"/>
      <c r="O864" s="781"/>
      <c r="P864" s="781"/>
      <c r="Q864" s="781"/>
      <c r="R864" s="781"/>
      <c r="S864" s="781"/>
      <c r="T864" s="781"/>
      <c r="U864" s="781"/>
      <c r="V864" s="781"/>
      <c r="W864" s="781"/>
      <c r="X864" s="781"/>
      <c r="Y864" s="781"/>
      <c r="Z864" s="781"/>
      <c r="AA864" s="781"/>
      <c r="AB864" s="781"/>
      <c r="AC864" s="781"/>
      <c r="AD864" s="781"/>
      <c r="AE864" s="781"/>
      <c r="AF864" s="781"/>
      <c r="AG864" s="781"/>
      <c r="AH864" s="781"/>
      <c r="AI864" s="781"/>
      <c r="AJ864" s="781"/>
      <c r="AK864" s="781"/>
      <c r="AL864" s="781"/>
      <c r="AM864" s="781"/>
      <c r="AN864" s="781"/>
      <c r="AO864" s="781"/>
      <c r="AP864" s="781"/>
      <c r="AQ864" s="781"/>
      <c r="AR864" s="781"/>
      <c r="AS864" s="781"/>
      <c r="AT864" s="781"/>
      <c r="AU864" s="781"/>
    </row>
    <row r="865" ht="15.75" customHeight="1">
      <c r="A865" s="782">
        <v>44658.0</v>
      </c>
      <c r="B865" s="783" t="s">
        <v>3117</v>
      </c>
      <c r="C865" s="737" t="s">
        <v>2547</v>
      </c>
      <c r="D865" s="772" t="s">
        <v>6346</v>
      </c>
      <c r="E865" s="784">
        <v>24500.0</v>
      </c>
      <c r="F865" s="737" t="s">
        <v>6539</v>
      </c>
      <c r="G865" s="772" t="s">
        <v>18</v>
      </c>
      <c r="H865" s="772" t="s">
        <v>176</v>
      </c>
      <c r="I865" s="772" t="s">
        <v>197</v>
      </c>
      <c r="J865" s="782">
        <v>44439.0</v>
      </c>
      <c r="K865" s="772" t="s">
        <v>3836</v>
      </c>
      <c r="L865" s="781"/>
      <c r="M865" s="781"/>
      <c r="N865" s="781"/>
      <c r="O865" s="781"/>
      <c r="P865" s="781"/>
      <c r="Q865" s="781"/>
      <c r="R865" s="781"/>
      <c r="S865" s="781"/>
      <c r="T865" s="781"/>
      <c r="U865" s="781"/>
      <c r="V865" s="781"/>
      <c r="W865" s="781"/>
      <c r="X865" s="781"/>
      <c r="Y865" s="781"/>
      <c r="Z865" s="781"/>
      <c r="AA865" s="781"/>
      <c r="AB865" s="781"/>
      <c r="AC865" s="781"/>
      <c r="AD865" s="781"/>
      <c r="AE865" s="781"/>
      <c r="AF865" s="781"/>
      <c r="AG865" s="781"/>
      <c r="AH865" s="781"/>
      <c r="AI865" s="781"/>
      <c r="AJ865" s="781"/>
      <c r="AK865" s="781"/>
      <c r="AL865" s="781"/>
      <c r="AM865" s="781"/>
      <c r="AN865" s="781"/>
      <c r="AO865" s="781"/>
      <c r="AP865" s="781"/>
      <c r="AQ865" s="781"/>
      <c r="AR865" s="781"/>
      <c r="AS865" s="781"/>
      <c r="AT865" s="781"/>
      <c r="AU865" s="781"/>
    </row>
    <row r="866" ht="15.75" customHeight="1">
      <c r="A866" s="795">
        <v>44658.0</v>
      </c>
      <c r="B866" s="827" t="s">
        <v>3150</v>
      </c>
      <c r="C866" s="797" t="s">
        <v>2547</v>
      </c>
      <c r="D866" s="772" t="s">
        <v>6345</v>
      </c>
      <c r="E866" s="798" t="s">
        <v>6540</v>
      </c>
      <c r="F866" s="772" t="s">
        <v>3149</v>
      </c>
      <c r="G866" s="782" t="s">
        <v>18</v>
      </c>
      <c r="H866" s="782" t="s">
        <v>176</v>
      </c>
      <c r="I866" s="782" t="s">
        <v>197</v>
      </c>
      <c r="J866" s="782">
        <v>44440.0</v>
      </c>
      <c r="K866" s="782" t="s">
        <v>3828</v>
      </c>
      <c r="L866" s="781"/>
      <c r="M866" s="781"/>
      <c r="N866" s="781"/>
      <c r="O866" s="781"/>
      <c r="P866" s="781"/>
      <c r="Q866" s="781"/>
      <c r="R866" s="781"/>
      <c r="S866" s="781"/>
      <c r="T866" s="781"/>
      <c r="U866" s="781"/>
      <c r="V866" s="781"/>
      <c r="W866" s="781"/>
      <c r="X866" s="781"/>
      <c r="Y866" s="781"/>
      <c r="Z866" s="781"/>
      <c r="AA866" s="781"/>
      <c r="AB866" s="781"/>
      <c r="AC866" s="781"/>
      <c r="AD866" s="781"/>
      <c r="AE866" s="781"/>
      <c r="AF866" s="781"/>
      <c r="AG866" s="781"/>
      <c r="AH866" s="781"/>
      <c r="AI866" s="781"/>
      <c r="AJ866" s="781"/>
      <c r="AK866" s="781"/>
      <c r="AL866" s="781"/>
      <c r="AM866" s="781"/>
      <c r="AN866" s="781"/>
      <c r="AO866" s="781"/>
      <c r="AP866" s="781"/>
      <c r="AQ866" s="781"/>
      <c r="AR866" s="781"/>
      <c r="AS866" s="781"/>
      <c r="AT866" s="781"/>
      <c r="AU866" s="781"/>
    </row>
    <row r="867" ht="15.75" customHeight="1">
      <c r="A867" s="782">
        <v>44659.0</v>
      </c>
      <c r="B867" s="783" t="s">
        <v>6541</v>
      </c>
      <c r="C867" s="737" t="s">
        <v>3820</v>
      </c>
      <c r="D867" s="772" t="s">
        <v>6345</v>
      </c>
      <c r="E867" s="784">
        <v>2966054.05</v>
      </c>
      <c r="F867" s="772" t="s">
        <v>4028</v>
      </c>
      <c r="G867" s="772" t="s">
        <v>18</v>
      </c>
      <c r="H867" s="772" t="s">
        <v>1818</v>
      </c>
      <c r="I867" s="782" t="s">
        <v>6260</v>
      </c>
      <c r="J867" s="782">
        <v>44426.0</v>
      </c>
      <c r="K867" s="772" t="s">
        <v>4030</v>
      </c>
      <c r="L867" s="781"/>
      <c r="M867" s="781"/>
      <c r="N867" s="781"/>
      <c r="O867" s="781"/>
      <c r="P867" s="781"/>
      <c r="Q867" s="781"/>
      <c r="R867" s="781"/>
      <c r="S867" s="781"/>
      <c r="T867" s="781"/>
      <c r="U867" s="781"/>
      <c r="V867" s="781"/>
      <c r="W867" s="781"/>
      <c r="X867" s="781"/>
      <c r="Y867" s="781"/>
      <c r="Z867" s="781"/>
      <c r="AA867" s="781"/>
      <c r="AB867" s="781"/>
      <c r="AC867" s="781"/>
      <c r="AD867" s="781"/>
      <c r="AE867" s="781"/>
      <c r="AF867" s="781"/>
      <c r="AG867" s="781"/>
      <c r="AH867" s="781"/>
      <c r="AI867" s="781"/>
      <c r="AJ867" s="781"/>
      <c r="AK867" s="781"/>
      <c r="AL867" s="781"/>
      <c r="AM867" s="781"/>
      <c r="AN867" s="781"/>
      <c r="AO867" s="781"/>
      <c r="AP867" s="781"/>
      <c r="AQ867" s="781"/>
      <c r="AR867" s="781"/>
      <c r="AS867" s="781"/>
      <c r="AT867" s="781"/>
      <c r="AU867" s="781"/>
    </row>
    <row r="868" ht="15.75" customHeight="1">
      <c r="A868" s="782">
        <v>44659.0</v>
      </c>
      <c r="B868" s="783" t="s">
        <v>6446</v>
      </c>
      <c r="C868" s="737" t="s">
        <v>3820</v>
      </c>
      <c r="D868" s="772" t="s">
        <v>6345</v>
      </c>
      <c r="E868" s="784">
        <v>2132.55</v>
      </c>
      <c r="F868" s="772" t="s">
        <v>4028</v>
      </c>
      <c r="G868" s="772" t="s">
        <v>18</v>
      </c>
      <c r="H868" s="772" t="s">
        <v>1818</v>
      </c>
      <c r="I868" s="782" t="s">
        <v>6260</v>
      </c>
      <c r="J868" s="782">
        <v>44204.0</v>
      </c>
      <c r="K868" s="772" t="s">
        <v>4029</v>
      </c>
      <c r="L868" s="781"/>
      <c r="M868" s="781"/>
      <c r="N868" s="781"/>
      <c r="O868" s="781"/>
      <c r="P868" s="781"/>
      <c r="Q868" s="781"/>
      <c r="R868" s="781"/>
      <c r="S868" s="781"/>
      <c r="T868" s="781"/>
      <c r="U868" s="781"/>
      <c r="V868" s="781"/>
      <c r="W868" s="781"/>
      <c r="X868" s="781"/>
      <c r="Y868" s="781"/>
      <c r="Z868" s="781"/>
      <c r="AA868" s="781"/>
      <c r="AB868" s="781"/>
      <c r="AC868" s="781"/>
      <c r="AD868" s="781"/>
      <c r="AE868" s="781"/>
      <c r="AF868" s="781"/>
      <c r="AG868" s="781"/>
      <c r="AH868" s="781"/>
      <c r="AI868" s="781"/>
      <c r="AJ868" s="781"/>
      <c r="AK868" s="781"/>
      <c r="AL868" s="781"/>
      <c r="AM868" s="781"/>
      <c r="AN868" s="781"/>
      <c r="AO868" s="781"/>
      <c r="AP868" s="781"/>
      <c r="AQ868" s="781"/>
      <c r="AR868" s="781"/>
      <c r="AS868" s="781"/>
      <c r="AT868" s="781"/>
      <c r="AU868" s="781"/>
    </row>
    <row r="869" ht="15.75" customHeight="1">
      <c r="A869" s="782">
        <v>44659.0</v>
      </c>
      <c r="B869" s="783" t="s">
        <v>6396</v>
      </c>
      <c r="C869" s="737" t="s">
        <v>3820</v>
      </c>
      <c r="D869" s="772" t="s">
        <v>6345</v>
      </c>
      <c r="E869" s="784">
        <v>2832.67</v>
      </c>
      <c r="F869" s="772" t="s">
        <v>3956</v>
      </c>
      <c r="G869" s="772" t="s">
        <v>18</v>
      </c>
      <c r="H869" s="772" t="s">
        <v>1818</v>
      </c>
      <c r="I869" s="782" t="s">
        <v>6260</v>
      </c>
      <c r="J869" s="782">
        <v>44298.0</v>
      </c>
      <c r="K869" s="772" t="s">
        <v>3836</v>
      </c>
      <c r="L869" s="781"/>
      <c r="M869" s="781"/>
      <c r="N869" s="781"/>
      <c r="O869" s="781"/>
      <c r="P869" s="781"/>
      <c r="Q869" s="781"/>
      <c r="R869" s="781"/>
      <c r="S869" s="781"/>
      <c r="T869" s="781"/>
      <c r="U869" s="781"/>
      <c r="V869" s="781"/>
      <c r="W869" s="781"/>
      <c r="X869" s="781"/>
      <c r="Y869" s="781"/>
      <c r="Z869" s="781"/>
      <c r="AA869" s="781"/>
      <c r="AB869" s="781"/>
      <c r="AC869" s="781"/>
      <c r="AD869" s="781"/>
      <c r="AE869" s="781"/>
      <c r="AF869" s="781"/>
      <c r="AG869" s="781"/>
      <c r="AH869" s="781"/>
      <c r="AI869" s="781"/>
      <c r="AJ869" s="781"/>
      <c r="AK869" s="781"/>
      <c r="AL869" s="781"/>
      <c r="AM869" s="781"/>
      <c r="AN869" s="781"/>
      <c r="AO869" s="781"/>
      <c r="AP869" s="781"/>
      <c r="AQ869" s="781"/>
      <c r="AR869" s="781"/>
      <c r="AS869" s="781"/>
      <c r="AT869" s="781"/>
      <c r="AU869" s="781"/>
    </row>
    <row r="870" ht="15.75" customHeight="1">
      <c r="A870" s="782">
        <v>44659.0</v>
      </c>
      <c r="B870" s="783" t="s">
        <v>6542</v>
      </c>
      <c r="C870" s="737" t="s">
        <v>3820</v>
      </c>
      <c r="D870" s="772" t="s">
        <v>6345</v>
      </c>
      <c r="E870" s="784">
        <v>815208.64</v>
      </c>
      <c r="F870" s="772" t="s">
        <v>4071</v>
      </c>
      <c r="G870" s="772" t="s">
        <v>18</v>
      </c>
      <c r="H870" s="772" t="s">
        <v>19</v>
      </c>
      <c r="I870" s="782" t="s">
        <v>6260</v>
      </c>
      <c r="J870" s="782">
        <v>44445.0</v>
      </c>
      <c r="K870" s="772" t="s">
        <v>4030</v>
      </c>
      <c r="L870" s="781"/>
      <c r="M870" s="781"/>
      <c r="N870" s="781"/>
      <c r="O870" s="781"/>
      <c r="P870" s="781"/>
      <c r="Q870" s="781"/>
      <c r="R870" s="781"/>
      <c r="S870" s="781"/>
      <c r="T870" s="781"/>
      <c r="U870" s="781"/>
      <c r="V870" s="781"/>
      <c r="W870" s="781"/>
      <c r="X870" s="781"/>
      <c r="Y870" s="781"/>
      <c r="Z870" s="781"/>
      <c r="AA870" s="781"/>
      <c r="AB870" s="781"/>
      <c r="AC870" s="781"/>
      <c r="AD870" s="781"/>
      <c r="AE870" s="781"/>
      <c r="AF870" s="781"/>
      <c r="AG870" s="781"/>
      <c r="AH870" s="781"/>
      <c r="AI870" s="781"/>
      <c r="AJ870" s="781"/>
      <c r="AK870" s="781"/>
      <c r="AL870" s="781"/>
      <c r="AM870" s="781"/>
      <c r="AN870" s="781"/>
      <c r="AO870" s="781"/>
      <c r="AP870" s="781"/>
      <c r="AQ870" s="781"/>
      <c r="AR870" s="781"/>
      <c r="AS870" s="781"/>
      <c r="AT870" s="781"/>
      <c r="AU870" s="781"/>
    </row>
    <row r="871" ht="15.75" customHeight="1">
      <c r="A871" s="782">
        <v>44662.0</v>
      </c>
      <c r="B871" s="783" t="s">
        <v>3656</v>
      </c>
      <c r="C871" s="737" t="s">
        <v>3632</v>
      </c>
      <c r="D871" s="772" t="s">
        <v>6346</v>
      </c>
      <c r="E871" s="784">
        <v>3000.0</v>
      </c>
      <c r="F871" s="772" t="s">
        <v>3655</v>
      </c>
      <c r="G871" s="772" t="s">
        <v>18</v>
      </c>
      <c r="H871" s="772" t="s">
        <v>18</v>
      </c>
      <c r="I871" s="782" t="s">
        <v>6253</v>
      </c>
      <c r="J871" s="782">
        <v>44062.0</v>
      </c>
      <c r="K871" s="772" t="s">
        <v>3828</v>
      </c>
      <c r="L871" s="781"/>
      <c r="M871" s="781"/>
      <c r="N871" s="781"/>
      <c r="O871" s="781"/>
      <c r="P871" s="781"/>
      <c r="Q871" s="781"/>
      <c r="R871" s="781"/>
      <c r="S871" s="781"/>
      <c r="T871" s="781"/>
      <c r="U871" s="781"/>
      <c r="V871" s="781"/>
      <c r="W871" s="781"/>
      <c r="X871" s="781"/>
      <c r="Y871" s="781"/>
      <c r="Z871" s="781"/>
      <c r="AA871" s="781"/>
      <c r="AB871" s="781"/>
      <c r="AC871" s="781"/>
      <c r="AD871" s="781"/>
      <c r="AE871" s="781"/>
      <c r="AF871" s="781"/>
      <c r="AG871" s="781"/>
      <c r="AH871" s="781"/>
      <c r="AI871" s="781"/>
      <c r="AJ871" s="781"/>
      <c r="AK871" s="781"/>
      <c r="AL871" s="781"/>
      <c r="AM871" s="781"/>
      <c r="AN871" s="781"/>
      <c r="AO871" s="781"/>
      <c r="AP871" s="781"/>
      <c r="AQ871" s="781"/>
      <c r="AR871" s="781"/>
      <c r="AS871" s="781"/>
      <c r="AT871" s="781"/>
      <c r="AU871" s="781"/>
    </row>
    <row r="872" ht="15.75" customHeight="1">
      <c r="A872" s="782">
        <v>44662.0</v>
      </c>
      <c r="B872" s="783" t="s">
        <v>3475</v>
      </c>
      <c r="C872" s="737" t="s">
        <v>2547</v>
      </c>
      <c r="D872" s="772" t="s">
        <v>1481</v>
      </c>
      <c r="E872" s="784">
        <v>119000.0</v>
      </c>
      <c r="F872" s="737" t="s">
        <v>3474</v>
      </c>
      <c r="G872" s="772" t="s">
        <v>18</v>
      </c>
      <c r="H872" s="772" t="s">
        <v>176</v>
      </c>
      <c r="I872" s="772" t="s">
        <v>2634</v>
      </c>
      <c r="J872" s="782">
        <v>44199.0</v>
      </c>
      <c r="K872" s="782" t="s">
        <v>3836</v>
      </c>
      <c r="L872" s="781"/>
      <c r="M872" s="781"/>
      <c r="N872" s="781"/>
      <c r="O872" s="781"/>
      <c r="P872" s="781"/>
      <c r="Q872" s="781"/>
      <c r="R872" s="781"/>
      <c r="S872" s="781"/>
      <c r="T872" s="781"/>
      <c r="U872" s="781"/>
      <c r="V872" s="781"/>
      <c r="W872" s="781"/>
      <c r="X872" s="781"/>
      <c r="Y872" s="781"/>
      <c r="Z872" s="781"/>
      <c r="AA872" s="781"/>
      <c r="AB872" s="781"/>
      <c r="AC872" s="781"/>
      <c r="AD872" s="781"/>
      <c r="AE872" s="781"/>
      <c r="AF872" s="781"/>
      <c r="AG872" s="781"/>
      <c r="AH872" s="781"/>
      <c r="AI872" s="781"/>
      <c r="AJ872" s="781"/>
      <c r="AK872" s="781"/>
      <c r="AL872" s="781"/>
      <c r="AM872" s="781"/>
      <c r="AN872" s="781"/>
      <c r="AO872" s="781"/>
      <c r="AP872" s="781"/>
      <c r="AQ872" s="781"/>
      <c r="AR872" s="781"/>
      <c r="AS872" s="781"/>
      <c r="AT872" s="781"/>
      <c r="AU872" s="781"/>
    </row>
    <row r="873" ht="15.75" customHeight="1">
      <c r="A873" s="782">
        <v>44663.0</v>
      </c>
      <c r="B873" s="783" t="s">
        <v>6543</v>
      </c>
      <c r="C873" s="737" t="s">
        <v>3820</v>
      </c>
      <c r="D873" s="772" t="s">
        <v>6346</v>
      </c>
      <c r="E873" s="784">
        <v>50000.0</v>
      </c>
      <c r="F873" s="737" t="s">
        <v>1819</v>
      </c>
      <c r="G873" s="772" t="s">
        <v>18</v>
      </c>
      <c r="H873" s="772" t="s">
        <v>19</v>
      </c>
      <c r="I873" s="772" t="s">
        <v>20</v>
      </c>
      <c r="J873" s="782">
        <v>44614.0</v>
      </c>
      <c r="K873" s="772" t="s">
        <v>3828</v>
      </c>
      <c r="L873" s="781"/>
      <c r="M873" s="781"/>
      <c r="N873" s="781"/>
      <c r="O873" s="781"/>
      <c r="P873" s="781"/>
      <c r="Q873" s="781"/>
      <c r="R873" s="781"/>
      <c r="S873" s="781"/>
      <c r="T873" s="781"/>
      <c r="U873" s="781"/>
      <c r="V873" s="781"/>
      <c r="W873" s="781"/>
      <c r="X873" s="781"/>
      <c r="Y873" s="781"/>
      <c r="Z873" s="781"/>
      <c r="AA873" s="781"/>
      <c r="AB873" s="781"/>
      <c r="AC873" s="781"/>
      <c r="AD873" s="781"/>
      <c r="AE873" s="781"/>
      <c r="AF873" s="781"/>
      <c r="AG873" s="781"/>
      <c r="AH873" s="781"/>
      <c r="AI873" s="781"/>
      <c r="AJ873" s="781"/>
      <c r="AK873" s="781"/>
      <c r="AL873" s="781"/>
      <c r="AM873" s="781"/>
      <c r="AN873" s="781"/>
      <c r="AO873" s="781"/>
      <c r="AP873" s="781"/>
      <c r="AQ873" s="781"/>
      <c r="AR873" s="781"/>
      <c r="AS873" s="781"/>
      <c r="AT873" s="781"/>
      <c r="AU873" s="781"/>
    </row>
    <row r="874" ht="15.75" customHeight="1">
      <c r="A874" s="782">
        <v>44663.0</v>
      </c>
      <c r="B874" s="783" t="s">
        <v>6544</v>
      </c>
      <c r="C874" s="737" t="s">
        <v>2547</v>
      </c>
      <c r="D874" s="772" t="s">
        <v>6346</v>
      </c>
      <c r="E874" s="784">
        <v>33000.0</v>
      </c>
      <c r="F874" s="737" t="s">
        <v>6545</v>
      </c>
      <c r="G874" s="772" t="s">
        <v>18</v>
      </c>
      <c r="H874" s="772" t="s">
        <v>176</v>
      </c>
      <c r="I874" s="772" t="s">
        <v>197</v>
      </c>
      <c r="J874" s="782">
        <v>44615.0</v>
      </c>
      <c r="K874" s="772" t="s">
        <v>3836</v>
      </c>
      <c r="L874" s="781"/>
      <c r="M874" s="781"/>
      <c r="N874" s="781"/>
      <c r="O874" s="781"/>
      <c r="P874" s="781"/>
      <c r="Q874" s="781"/>
      <c r="R874" s="781"/>
      <c r="S874" s="781"/>
      <c r="T874" s="781"/>
      <c r="U874" s="781"/>
      <c r="V874" s="781"/>
      <c r="W874" s="781"/>
      <c r="X874" s="781"/>
      <c r="Y874" s="781"/>
      <c r="Z874" s="781"/>
      <c r="AA874" s="781"/>
      <c r="AB874" s="781"/>
      <c r="AC874" s="781"/>
      <c r="AD874" s="781"/>
      <c r="AE874" s="781"/>
      <c r="AF874" s="781"/>
      <c r="AG874" s="781"/>
      <c r="AH874" s="781"/>
      <c r="AI874" s="781"/>
      <c r="AJ874" s="781"/>
      <c r="AK874" s="781"/>
      <c r="AL874" s="781"/>
      <c r="AM874" s="781"/>
      <c r="AN874" s="781"/>
      <c r="AO874" s="781"/>
      <c r="AP874" s="781"/>
      <c r="AQ874" s="781"/>
      <c r="AR874" s="781"/>
      <c r="AS874" s="781"/>
      <c r="AT874" s="781"/>
      <c r="AU874" s="781"/>
    </row>
    <row r="875" ht="15.75" customHeight="1">
      <c r="A875" s="782">
        <v>44663.0</v>
      </c>
      <c r="B875" s="783" t="s">
        <v>6546</v>
      </c>
      <c r="C875" s="737" t="s">
        <v>3820</v>
      </c>
      <c r="D875" s="772" t="s">
        <v>6346</v>
      </c>
      <c r="E875" s="784">
        <v>129700.0</v>
      </c>
      <c r="F875" s="737" t="s">
        <v>5114</v>
      </c>
      <c r="G875" s="772" t="s">
        <v>105</v>
      </c>
      <c r="H875" s="772" t="s">
        <v>29</v>
      </c>
      <c r="I875" s="772" t="s">
        <v>4146</v>
      </c>
      <c r="J875" s="782">
        <v>44320.0</v>
      </c>
      <c r="K875" s="772" t="s">
        <v>3824</v>
      </c>
      <c r="L875" s="781"/>
      <c r="M875" s="781"/>
      <c r="N875" s="781"/>
      <c r="O875" s="781"/>
      <c r="P875" s="781"/>
      <c r="Q875" s="781"/>
      <c r="R875" s="781"/>
      <c r="S875" s="781"/>
      <c r="T875" s="781"/>
      <c r="U875" s="781"/>
      <c r="V875" s="781"/>
      <c r="W875" s="781"/>
      <c r="X875" s="781"/>
      <c r="Y875" s="781"/>
      <c r="Z875" s="781"/>
      <c r="AA875" s="781"/>
      <c r="AB875" s="781"/>
      <c r="AC875" s="781"/>
      <c r="AD875" s="781"/>
      <c r="AE875" s="781"/>
      <c r="AF875" s="781"/>
      <c r="AG875" s="781"/>
      <c r="AH875" s="781"/>
      <c r="AI875" s="781"/>
      <c r="AJ875" s="781"/>
      <c r="AK875" s="781"/>
      <c r="AL875" s="781"/>
      <c r="AM875" s="781"/>
      <c r="AN875" s="781"/>
      <c r="AO875" s="781"/>
      <c r="AP875" s="781"/>
      <c r="AQ875" s="781"/>
      <c r="AR875" s="781"/>
      <c r="AS875" s="781"/>
      <c r="AT875" s="781"/>
      <c r="AU875" s="781"/>
    </row>
    <row r="876" ht="15.75" customHeight="1">
      <c r="A876" s="782">
        <v>44663.0</v>
      </c>
      <c r="B876" s="783" t="s">
        <v>2982</v>
      </c>
      <c r="C876" s="737" t="s">
        <v>2547</v>
      </c>
      <c r="D876" s="772" t="s">
        <v>6346</v>
      </c>
      <c r="E876" s="784">
        <v>6000.0</v>
      </c>
      <c r="F876" s="737" t="s">
        <v>2981</v>
      </c>
      <c r="G876" s="772" t="s">
        <v>2550</v>
      </c>
      <c r="H876" s="772" t="s">
        <v>29</v>
      </c>
      <c r="I876" s="772" t="s">
        <v>2551</v>
      </c>
      <c r="J876" s="782">
        <v>43703.0</v>
      </c>
      <c r="K876" s="782" t="s">
        <v>4206</v>
      </c>
      <c r="L876" s="781"/>
      <c r="M876" s="781"/>
      <c r="N876" s="781"/>
      <c r="O876" s="781"/>
      <c r="P876" s="781"/>
      <c r="Q876" s="781"/>
      <c r="R876" s="781"/>
      <c r="S876" s="781"/>
      <c r="T876" s="781"/>
      <c r="U876" s="781"/>
      <c r="V876" s="781"/>
      <c r="W876" s="781"/>
      <c r="X876" s="781"/>
      <c r="Y876" s="781"/>
      <c r="Z876" s="781"/>
      <c r="AA876" s="781"/>
      <c r="AB876" s="781"/>
      <c r="AC876" s="781"/>
      <c r="AD876" s="781"/>
      <c r="AE876" s="781"/>
      <c r="AF876" s="781"/>
      <c r="AG876" s="781"/>
      <c r="AH876" s="781"/>
      <c r="AI876" s="781"/>
      <c r="AJ876" s="781"/>
      <c r="AK876" s="781"/>
      <c r="AL876" s="781"/>
      <c r="AM876" s="781"/>
      <c r="AN876" s="781"/>
      <c r="AO876" s="781"/>
      <c r="AP876" s="781"/>
      <c r="AQ876" s="781"/>
      <c r="AR876" s="781"/>
      <c r="AS876" s="781"/>
      <c r="AT876" s="781"/>
      <c r="AU876" s="781"/>
    </row>
    <row r="877" ht="15.75" customHeight="1">
      <c r="A877" s="782">
        <v>44665.0</v>
      </c>
      <c r="B877" s="783" t="s">
        <v>6547</v>
      </c>
      <c r="C877" s="737" t="s">
        <v>3820</v>
      </c>
      <c r="D877" s="772" t="s">
        <v>6345</v>
      </c>
      <c r="E877" s="784">
        <v>66169.95</v>
      </c>
      <c r="F877" s="772" t="s">
        <v>3871</v>
      </c>
      <c r="G877" s="772" t="s">
        <v>18</v>
      </c>
      <c r="H877" s="772" t="s">
        <v>19</v>
      </c>
      <c r="I877" s="782" t="s">
        <v>256</v>
      </c>
      <c r="J877" s="782">
        <v>44547.0</v>
      </c>
      <c r="K877" s="772" t="s">
        <v>3840</v>
      </c>
      <c r="L877" s="781"/>
      <c r="M877" s="781"/>
      <c r="N877" s="781"/>
      <c r="O877" s="781"/>
      <c r="P877" s="781"/>
      <c r="Q877" s="781"/>
      <c r="R877" s="781"/>
      <c r="S877" s="781"/>
      <c r="T877" s="781"/>
      <c r="U877" s="781"/>
      <c r="V877" s="781"/>
      <c r="W877" s="781"/>
      <c r="X877" s="781"/>
      <c r="Y877" s="781"/>
      <c r="Z877" s="781"/>
      <c r="AA877" s="781"/>
      <c r="AB877" s="781"/>
      <c r="AC877" s="781"/>
      <c r="AD877" s="781"/>
      <c r="AE877" s="781"/>
      <c r="AF877" s="781"/>
      <c r="AG877" s="781"/>
      <c r="AH877" s="781"/>
      <c r="AI877" s="781"/>
      <c r="AJ877" s="781"/>
      <c r="AK877" s="781"/>
      <c r="AL877" s="781"/>
      <c r="AM877" s="781"/>
      <c r="AN877" s="781"/>
      <c r="AO877" s="781"/>
      <c r="AP877" s="781"/>
      <c r="AQ877" s="781"/>
      <c r="AR877" s="781"/>
      <c r="AS877" s="781"/>
      <c r="AT877" s="781"/>
      <c r="AU877" s="781"/>
    </row>
    <row r="878" ht="15.75" customHeight="1">
      <c r="A878" s="782">
        <v>44669.0</v>
      </c>
      <c r="B878" s="783" t="s">
        <v>6548</v>
      </c>
      <c r="C878" s="737" t="s">
        <v>3820</v>
      </c>
      <c r="D878" s="772" t="s">
        <v>6345</v>
      </c>
      <c r="E878" s="784">
        <v>154271.19</v>
      </c>
      <c r="F878" s="772" t="s">
        <v>4705</v>
      </c>
      <c r="G878" s="772" t="s">
        <v>18</v>
      </c>
      <c r="H878" s="772" t="s">
        <v>29</v>
      </c>
      <c r="I878" s="782" t="s">
        <v>4087</v>
      </c>
      <c r="J878" s="782">
        <v>44389.0</v>
      </c>
      <c r="K878" s="772" t="s">
        <v>3824</v>
      </c>
      <c r="L878" s="781"/>
      <c r="M878" s="781"/>
      <c r="N878" s="781"/>
      <c r="O878" s="781"/>
      <c r="P878" s="781"/>
      <c r="Q878" s="781"/>
      <c r="R878" s="781"/>
      <c r="S878" s="781"/>
      <c r="T878" s="781"/>
      <c r="U878" s="781"/>
      <c r="V878" s="781"/>
      <c r="W878" s="781"/>
      <c r="X878" s="781"/>
      <c r="Y878" s="781"/>
      <c r="Z878" s="781"/>
      <c r="AA878" s="781"/>
      <c r="AB878" s="781"/>
      <c r="AC878" s="781"/>
      <c r="AD878" s="781"/>
      <c r="AE878" s="781"/>
      <c r="AF878" s="781"/>
      <c r="AG878" s="781"/>
      <c r="AH878" s="781"/>
      <c r="AI878" s="781"/>
      <c r="AJ878" s="781"/>
      <c r="AK878" s="781"/>
      <c r="AL878" s="781"/>
      <c r="AM878" s="781"/>
      <c r="AN878" s="781"/>
      <c r="AO878" s="781"/>
      <c r="AP878" s="781"/>
      <c r="AQ878" s="781"/>
      <c r="AR878" s="781"/>
      <c r="AS878" s="781"/>
      <c r="AT878" s="781"/>
      <c r="AU878" s="781"/>
    </row>
    <row r="879" ht="15.75" customHeight="1">
      <c r="A879" s="782">
        <v>44669.0</v>
      </c>
      <c r="B879" s="783" t="s">
        <v>6549</v>
      </c>
      <c r="C879" s="737" t="s">
        <v>3820</v>
      </c>
      <c r="D879" s="772" t="s">
        <v>6346</v>
      </c>
      <c r="E879" s="784">
        <v>20000.0</v>
      </c>
      <c r="F879" s="772" t="s">
        <v>4973</v>
      </c>
      <c r="G879" s="772" t="s">
        <v>18</v>
      </c>
      <c r="H879" s="772" t="s">
        <v>29</v>
      </c>
      <c r="I879" s="782" t="s">
        <v>3666</v>
      </c>
      <c r="J879" s="782">
        <v>44424.0</v>
      </c>
      <c r="K879" s="772" t="s">
        <v>3836</v>
      </c>
      <c r="L879" s="781"/>
      <c r="M879" s="781"/>
      <c r="N879" s="781"/>
      <c r="O879" s="781"/>
      <c r="P879" s="781"/>
      <c r="Q879" s="781"/>
      <c r="R879" s="781"/>
      <c r="S879" s="781"/>
      <c r="T879" s="781"/>
      <c r="U879" s="781"/>
      <c r="V879" s="781"/>
      <c r="W879" s="781"/>
      <c r="X879" s="781"/>
      <c r="Y879" s="781"/>
      <c r="Z879" s="781"/>
      <c r="AA879" s="781"/>
      <c r="AB879" s="781"/>
      <c r="AC879" s="781"/>
      <c r="AD879" s="781"/>
      <c r="AE879" s="781"/>
      <c r="AF879" s="781"/>
      <c r="AG879" s="781"/>
      <c r="AH879" s="781"/>
      <c r="AI879" s="781"/>
      <c r="AJ879" s="781"/>
      <c r="AK879" s="781"/>
      <c r="AL879" s="781"/>
      <c r="AM879" s="781"/>
      <c r="AN879" s="781"/>
      <c r="AO879" s="781"/>
      <c r="AP879" s="781"/>
      <c r="AQ879" s="781"/>
      <c r="AR879" s="781"/>
      <c r="AS879" s="781"/>
      <c r="AT879" s="781"/>
      <c r="AU879" s="781"/>
    </row>
    <row r="880" ht="15.75" customHeight="1">
      <c r="A880" s="782">
        <v>44669.0</v>
      </c>
      <c r="B880" s="783" t="s">
        <v>6368</v>
      </c>
      <c r="C880" s="737" t="s">
        <v>3820</v>
      </c>
      <c r="D880" s="772" t="s">
        <v>6346</v>
      </c>
      <c r="E880" s="784">
        <v>25000.0</v>
      </c>
      <c r="F880" s="772" t="s">
        <v>4388</v>
      </c>
      <c r="G880" s="772" t="s">
        <v>105</v>
      </c>
      <c r="H880" s="772" t="s">
        <v>29</v>
      </c>
      <c r="I880" s="782" t="s">
        <v>3887</v>
      </c>
      <c r="J880" s="782">
        <v>44263.0</v>
      </c>
      <c r="K880" s="772" t="s">
        <v>3828</v>
      </c>
      <c r="L880" s="781"/>
      <c r="M880" s="781"/>
      <c r="N880" s="781"/>
      <c r="O880" s="781"/>
      <c r="P880" s="781"/>
      <c r="Q880" s="781"/>
      <c r="R880" s="781"/>
      <c r="S880" s="781"/>
      <c r="T880" s="781"/>
      <c r="U880" s="781"/>
      <c r="V880" s="781"/>
      <c r="W880" s="781"/>
      <c r="X880" s="781"/>
      <c r="Y880" s="781"/>
      <c r="Z880" s="781"/>
      <c r="AA880" s="781"/>
      <c r="AB880" s="781"/>
      <c r="AC880" s="781"/>
      <c r="AD880" s="781"/>
      <c r="AE880" s="781"/>
      <c r="AF880" s="781"/>
      <c r="AG880" s="781"/>
      <c r="AH880" s="781"/>
      <c r="AI880" s="781"/>
      <c r="AJ880" s="781"/>
      <c r="AK880" s="781"/>
      <c r="AL880" s="781"/>
      <c r="AM880" s="781"/>
      <c r="AN880" s="781"/>
      <c r="AO880" s="781"/>
      <c r="AP880" s="781"/>
      <c r="AQ880" s="781"/>
      <c r="AR880" s="781"/>
      <c r="AS880" s="781"/>
      <c r="AT880" s="781"/>
      <c r="AU880" s="781"/>
    </row>
    <row r="881" ht="15.75" customHeight="1">
      <c r="A881" s="782">
        <v>44669.0</v>
      </c>
      <c r="B881" s="783" t="s">
        <v>6529</v>
      </c>
      <c r="C881" s="737" t="s">
        <v>3820</v>
      </c>
      <c r="D881" s="772" t="s">
        <v>6346</v>
      </c>
      <c r="E881" s="784">
        <v>10000.0</v>
      </c>
      <c r="F881" s="737" t="s">
        <v>6530</v>
      </c>
      <c r="G881" s="772" t="s">
        <v>18</v>
      </c>
      <c r="H881" s="772" t="s">
        <v>19</v>
      </c>
      <c r="I881" s="772" t="s">
        <v>20</v>
      </c>
      <c r="J881" s="782">
        <v>44656.0</v>
      </c>
      <c r="K881" s="772" t="s">
        <v>3828</v>
      </c>
      <c r="L881" s="781"/>
      <c r="M881" s="781"/>
      <c r="N881" s="781"/>
      <c r="O881" s="781"/>
      <c r="P881" s="781"/>
      <c r="Q881" s="781"/>
      <c r="R881" s="781"/>
      <c r="S881" s="781"/>
      <c r="T881" s="781"/>
      <c r="U881" s="781"/>
      <c r="V881" s="781"/>
      <c r="W881" s="781"/>
      <c r="X881" s="781"/>
      <c r="Y881" s="781"/>
      <c r="Z881" s="781"/>
      <c r="AA881" s="781"/>
      <c r="AB881" s="781"/>
      <c r="AC881" s="781"/>
      <c r="AD881" s="781"/>
      <c r="AE881" s="781"/>
      <c r="AF881" s="781"/>
      <c r="AG881" s="781"/>
      <c r="AH881" s="781"/>
      <c r="AI881" s="781"/>
      <c r="AJ881" s="781"/>
      <c r="AK881" s="781"/>
      <c r="AL881" s="781"/>
      <c r="AM881" s="781"/>
      <c r="AN881" s="781"/>
      <c r="AO881" s="781"/>
      <c r="AP881" s="781"/>
      <c r="AQ881" s="781"/>
      <c r="AR881" s="781"/>
      <c r="AS881" s="781"/>
      <c r="AT881" s="781"/>
      <c r="AU881" s="781"/>
    </row>
    <row r="882" ht="15.75" customHeight="1">
      <c r="A882" s="782">
        <v>44669.0</v>
      </c>
      <c r="B882" s="783">
        <v>7542389.0</v>
      </c>
      <c r="C882" s="737" t="s">
        <v>3820</v>
      </c>
      <c r="D882" s="772" t="s">
        <v>6346</v>
      </c>
      <c r="E882" s="784">
        <v>1000.0</v>
      </c>
      <c r="F882" s="737" t="s">
        <v>4855</v>
      </c>
      <c r="G882" s="772" t="s">
        <v>105</v>
      </c>
      <c r="H882" s="772" t="s">
        <v>29</v>
      </c>
      <c r="I882" s="772" t="s">
        <v>3873</v>
      </c>
      <c r="J882" s="782">
        <v>44579.0</v>
      </c>
      <c r="K882" s="772" t="s">
        <v>4168</v>
      </c>
      <c r="L882" s="781"/>
      <c r="M882" s="781"/>
      <c r="N882" s="781"/>
      <c r="O882" s="781"/>
      <c r="P882" s="781"/>
      <c r="Q882" s="781"/>
      <c r="R882" s="781"/>
      <c r="S882" s="781"/>
      <c r="T882" s="781"/>
      <c r="U882" s="781"/>
      <c r="V882" s="781"/>
      <c r="W882" s="781"/>
      <c r="X882" s="781"/>
      <c r="Y882" s="781"/>
      <c r="Z882" s="781"/>
      <c r="AA882" s="781"/>
      <c r="AB882" s="781"/>
      <c r="AC882" s="781"/>
      <c r="AD882" s="781"/>
      <c r="AE882" s="781"/>
      <c r="AF882" s="781"/>
      <c r="AG882" s="781"/>
      <c r="AH882" s="781"/>
      <c r="AI882" s="781"/>
      <c r="AJ882" s="781"/>
      <c r="AK882" s="781"/>
      <c r="AL882" s="781"/>
      <c r="AM882" s="781"/>
      <c r="AN882" s="781"/>
      <c r="AO882" s="781"/>
      <c r="AP882" s="781"/>
      <c r="AQ882" s="781"/>
      <c r="AR882" s="781"/>
      <c r="AS882" s="781"/>
      <c r="AT882" s="781"/>
      <c r="AU882" s="781"/>
    </row>
    <row r="883" ht="15.75" customHeight="1">
      <c r="A883" s="782">
        <v>44669.0</v>
      </c>
      <c r="B883" s="783" t="s">
        <v>6384</v>
      </c>
      <c r="C883" s="737" t="s">
        <v>3820</v>
      </c>
      <c r="D883" s="772" t="s">
        <v>6346</v>
      </c>
      <c r="E883" s="784">
        <v>5000.0</v>
      </c>
      <c r="F883" s="737" t="s">
        <v>5098</v>
      </c>
      <c r="G883" s="772" t="s">
        <v>105</v>
      </c>
      <c r="H883" s="772" t="s">
        <v>29</v>
      </c>
      <c r="I883" s="772" t="s">
        <v>4486</v>
      </c>
      <c r="J883" s="782">
        <v>44180.0</v>
      </c>
      <c r="K883" s="772" t="s">
        <v>3828</v>
      </c>
      <c r="L883" s="781"/>
      <c r="M883" s="781"/>
      <c r="N883" s="781"/>
      <c r="O883" s="781"/>
      <c r="P883" s="781"/>
      <c r="Q883" s="781"/>
      <c r="R883" s="781"/>
      <c r="S883" s="781"/>
      <c r="T883" s="781"/>
      <c r="U883" s="781"/>
      <c r="V883" s="781"/>
      <c r="W883" s="781"/>
      <c r="X883" s="781"/>
      <c r="Y883" s="781"/>
      <c r="Z883" s="781"/>
      <c r="AA883" s="781"/>
      <c r="AB883" s="781"/>
      <c r="AC883" s="781"/>
      <c r="AD883" s="781"/>
      <c r="AE883" s="781"/>
      <c r="AF883" s="781"/>
      <c r="AG883" s="781"/>
      <c r="AH883" s="781"/>
      <c r="AI883" s="781"/>
      <c r="AJ883" s="781"/>
      <c r="AK883" s="781"/>
      <c r="AL883" s="781"/>
      <c r="AM883" s="781"/>
      <c r="AN883" s="781"/>
      <c r="AO883" s="781"/>
      <c r="AP883" s="781"/>
      <c r="AQ883" s="781"/>
      <c r="AR883" s="781"/>
      <c r="AS883" s="781"/>
      <c r="AT883" s="781"/>
      <c r="AU883" s="781"/>
    </row>
    <row r="884" ht="15.75" customHeight="1">
      <c r="A884" s="782">
        <v>44670.0</v>
      </c>
      <c r="B884" s="783" t="s">
        <v>3248</v>
      </c>
      <c r="C884" s="737" t="s">
        <v>2547</v>
      </c>
      <c r="D884" s="772" t="s">
        <v>6346</v>
      </c>
      <c r="E884" s="784">
        <v>62000.0</v>
      </c>
      <c r="F884" s="737" t="s">
        <v>6550</v>
      </c>
      <c r="G884" s="772" t="s">
        <v>2550</v>
      </c>
      <c r="H884" s="772" t="s">
        <v>29</v>
      </c>
      <c r="I884" s="772" t="s">
        <v>2551</v>
      </c>
      <c r="J884" s="782">
        <v>43811.0</v>
      </c>
      <c r="K884" s="772" t="s">
        <v>3836</v>
      </c>
      <c r="L884" s="781"/>
      <c r="M884" s="781"/>
      <c r="N884" s="781"/>
      <c r="O884" s="781"/>
      <c r="P884" s="781"/>
      <c r="Q884" s="781"/>
      <c r="R884" s="781"/>
      <c r="S884" s="781"/>
      <c r="T884" s="781"/>
      <c r="U884" s="781"/>
      <c r="V884" s="781"/>
      <c r="W884" s="781"/>
      <c r="X884" s="781"/>
      <c r="Y884" s="781"/>
      <c r="Z884" s="781"/>
      <c r="AA884" s="781"/>
      <c r="AB884" s="781"/>
      <c r="AC884" s="781"/>
      <c r="AD884" s="781"/>
      <c r="AE884" s="781"/>
      <c r="AF884" s="781"/>
      <c r="AG884" s="781"/>
      <c r="AH884" s="781"/>
      <c r="AI884" s="781"/>
      <c r="AJ884" s="781"/>
      <c r="AK884" s="781"/>
      <c r="AL884" s="781"/>
      <c r="AM884" s="781"/>
      <c r="AN884" s="781"/>
      <c r="AO884" s="781"/>
      <c r="AP884" s="781"/>
      <c r="AQ884" s="781"/>
      <c r="AR884" s="781"/>
      <c r="AS884" s="781"/>
      <c r="AT884" s="781"/>
      <c r="AU884" s="781"/>
    </row>
    <row r="885" ht="15.75" customHeight="1">
      <c r="A885" s="782">
        <v>44671.0</v>
      </c>
      <c r="B885" s="783" t="s">
        <v>6551</v>
      </c>
      <c r="C885" s="737" t="s">
        <v>3820</v>
      </c>
      <c r="D885" s="772" t="s">
        <v>1481</v>
      </c>
      <c r="E885" s="784">
        <v>581895.17</v>
      </c>
      <c r="F885" s="737" t="s">
        <v>3839</v>
      </c>
      <c r="G885" s="772" t="s">
        <v>18</v>
      </c>
      <c r="H885" s="772" t="s">
        <v>19</v>
      </c>
      <c r="I885" s="772" t="s">
        <v>5266</v>
      </c>
      <c r="J885" s="782">
        <v>44084.0</v>
      </c>
      <c r="K885" s="772" t="s">
        <v>3840</v>
      </c>
      <c r="L885" s="781"/>
      <c r="M885" s="781"/>
      <c r="N885" s="781"/>
      <c r="O885" s="781"/>
      <c r="P885" s="781"/>
      <c r="Q885" s="781"/>
      <c r="R885" s="781"/>
      <c r="S885" s="781"/>
      <c r="T885" s="781"/>
      <c r="U885" s="781"/>
      <c r="V885" s="781"/>
      <c r="W885" s="781"/>
      <c r="X885" s="781"/>
      <c r="Y885" s="781"/>
      <c r="Z885" s="781"/>
      <c r="AA885" s="781"/>
      <c r="AB885" s="781"/>
      <c r="AC885" s="781"/>
      <c r="AD885" s="781"/>
      <c r="AE885" s="781"/>
      <c r="AF885" s="781"/>
      <c r="AG885" s="781"/>
      <c r="AH885" s="781"/>
      <c r="AI885" s="781"/>
      <c r="AJ885" s="781"/>
      <c r="AK885" s="781"/>
      <c r="AL885" s="781"/>
      <c r="AM885" s="781"/>
      <c r="AN885" s="781"/>
      <c r="AO885" s="781"/>
      <c r="AP885" s="781"/>
      <c r="AQ885" s="781"/>
      <c r="AR885" s="781"/>
      <c r="AS885" s="781"/>
      <c r="AT885" s="781"/>
      <c r="AU885" s="781"/>
    </row>
    <row r="886" ht="15.75" customHeight="1">
      <c r="A886" s="782">
        <v>44671.0</v>
      </c>
      <c r="B886" s="783" t="s">
        <v>6552</v>
      </c>
      <c r="C886" s="737" t="s">
        <v>3820</v>
      </c>
      <c r="D886" s="772" t="s">
        <v>6346</v>
      </c>
      <c r="E886" s="784">
        <v>10000.0</v>
      </c>
      <c r="F886" s="737" t="s">
        <v>4750</v>
      </c>
      <c r="G886" s="772" t="s">
        <v>18</v>
      </c>
      <c r="H886" s="772" t="s">
        <v>19</v>
      </c>
      <c r="I886" s="772" t="s">
        <v>122</v>
      </c>
      <c r="J886" s="782">
        <v>44645.0</v>
      </c>
      <c r="K886" s="772" t="s">
        <v>3834</v>
      </c>
      <c r="L886" s="781"/>
      <c r="M886" s="781"/>
      <c r="N886" s="781"/>
      <c r="O886" s="781"/>
      <c r="P886" s="781"/>
      <c r="Q886" s="781"/>
      <c r="R886" s="781"/>
      <c r="S886" s="781"/>
      <c r="T886" s="781"/>
      <c r="U886" s="781"/>
      <c r="V886" s="781"/>
      <c r="W886" s="781"/>
      <c r="X886" s="781"/>
      <c r="Y886" s="781"/>
      <c r="Z886" s="781"/>
      <c r="AA886" s="781"/>
      <c r="AB886" s="781"/>
      <c r="AC886" s="781"/>
      <c r="AD886" s="781"/>
      <c r="AE886" s="781"/>
      <c r="AF886" s="781"/>
      <c r="AG886" s="781"/>
      <c r="AH886" s="781"/>
      <c r="AI886" s="781"/>
      <c r="AJ886" s="781"/>
      <c r="AK886" s="781"/>
      <c r="AL886" s="781"/>
      <c r="AM886" s="781"/>
      <c r="AN886" s="781"/>
      <c r="AO886" s="781"/>
      <c r="AP886" s="781"/>
      <c r="AQ886" s="781"/>
      <c r="AR886" s="781"/>
      <c r="AS886" s="781"/>
      <c r="AT886" s="781"/>
      <c r="AU886" s="781"/>
    </row>
    <row r="887" ht="15.75" customHeight="1">
      <c r="A887" s="782">
        <v>44671.0</v>
      </c>
      <c r="B887" s="783" t="s">
        <v>3441</v>
      </c>
      <c r="C887" s="737" t="s">
        <v>2547</v>
      </c>
      <c r="D887" s="772" t="s">
        <v>6346</v>
      </c>
      <c r="E887" s="784">
        <v>15000.0</v>
      </c>
      <c r="F887" s="737" t="s">
        <v>6553</v>
      </c>
      <c r="G887" s="772" t="s">
        <v>18</v>
      </c>
      <c r="H887" s="772" t="s">
        <v>176</v>
      </c>
      <c r="I887" s="772" t="s">
        <v>197</v>
      </c>
      <c r="J887" s="782">
        <v>44319.0</v>
      </c>
      <c r="K887" s="772" t="s">
        <v>3828</v>
      </c>
      <c r="L887" s="781"/>
      <c r="M887" s="781"/>
      <c r="N887" s="781"/>
      <c r="O887" s="781"/>
      <c r="P887" s="781"/>
      <c r="Q887" s="781"/>
      <c r="R887" s="781"/>
      <c r="S887" s="781"/>
      <c r="T887" s="781"/>
      <c r="U887" s="781"/>
      <c r="V887" s="781"/>
      <c r="W887" s="781"/>
      <c r="X887" s="781"/>
      <c r="Y887" s="781"/>
      <c r="Z887" s="781"/>
      <c r="AA887" s="781"/>
      <c r="AB887" s="781"/>
      <c r="AC887" s="781"/>
      <c r="AD887" s="781"/>
      <c r="AE887" s="781"/>
      <c r="AF887" s="781"/>
      <c r="AG887" s="781"/>
      <c r="AH887" s="781"/>
      <c r="AI887" s="781"/>
      <c r="AJ887" s="781"/>
      <c r="AK887" s="781"/>
      <c r="AL887" s="781"/>
      <c r="AM887" s="781"/>
      <c r="AN887" s="781"/>
      <c r="AO887" s="781"/>
      <c r="AP887" s="781"/>
      <c r="AQ887" s="781"/>
      <c r="AR887" s="781"/>
      <c r="AS887" s="781"/>
      <c r="AT887" s="781"/>
      <c r="AU887" s="781"/>
    </row>
    <row r="888" ht="15.75" customHeight="1">
      <c r="A888" s="782">
        <v>44671.0</v>
      </c>
      <c r="B888" s="783" t="s">
        <v>2798</v>
      </c>
      <c r="C888" s="737" t="s">
        <v>2547</v>
      </c>
      <c r="D888" s="772" t="s">
        <v>6346</v>
      </c>
      <c r="E888" s="784">
        <v>911.9</v>
      </c>
      <c r="F888" s="737" t="s">
        <v>649</v>
      </c>
      <c r="G888" s="772" t="s">
        <v>18</v>
      </c>
      <c r="H888" s="772" t="s">
        <v>176</v>
      </c>
      <c r="I888" s="772" t="s">
        <v>177</v>
      </c>
      <c r="J888" s="782">
        <v>44280.0</v>
      </c>
      <c r="K888" s="772" t="s">
        <v>3828</v>
      </c>
      <c r="L888" s="781"/>
      <c r="M888" s="781"/>
      <c r="N888" s="781"/>
      <c r="O888" s="781"/>
      <c r="P888" s="781"/>
      <c r="Q888" s="781"/>
      <c r="R888" s="781"/>
      <c r="S888" s="781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81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</row>
    <row r="889" ht="15.75" customHeight="1">
      <c r="A889" s="782">
        <v>44673.0</v>
      </c>
      <c r="B889" s="783" t="s">
        <v>6519</v>
      </c>
      <c r="C889" s="737" t="s">
        <v>3820</v>
      </c>
      <c r="D889" s="772" t="s">
        <v>6346</v>
      </c>
      <c r="E889" s="784">
        <v>146000.0</v>
      </c>
      <c r="F889" s="737" t="s">
        <v>4505</v>
      </c>
      <c r="G889" s="772" t="s">
        <v>18</v>
      </c>
      <c r="H889" s="772" t="s">
        <v>19</v>
      </c>
      <c r="I889" s="772" t="s">
        <v>20</v>
      </c>
      <c r="J889" s="782">
        <v>44615.0</v>
      </c>
      <c r="K889" s="772" t="s">
        <v>3828</v>
      </c>
      <c r="L889" s="781"/>
      <c r="M889" s="781"/>
      <c r="N889" s="781"/>
      <c r="O889" s="781"/>
      <c r="P889" s="781"/>
      <c r="Q889" s="781"/>
      <c r="R889" s="781"/>
      <c r="S889" s="781"/>
      <c r="T889" s="781"/>
      <c r="U889" s="781"/>
      <c r="V889" s="781"/>
      <c r="W889" s="781"/>
      <c r="X889" s="781"/>
      <c r="Y889" s="781"/>
      <c r="Z889" s="781"/>
      <c r="AA889" s="781"/>
      <c r="AB889" s="781"/>
      <c r="AC889" s="781"/>
      <c r="AD889" s="781"/>
      <c r="AE889" s="781"/>
      <c r="AF889" s="781"/>
      <c r="AG889" s="781"/>
      <c r="AH889" s="781"/>
      <c r="AI889" s="781"/>
      <c r="AJ889" s="781"/>
      <c r="AK889" s="781"/>
      <c r="AL889" s="781"/>
      <c r="AM889" s="781"/>
      <c r="AN889" s="781"/>
      <c r="AO889" s="781"/>
      <c r="AP889" s="781"/>
      <c r="AQ889" s="781"/>
      <c r="AR889" s="781"/>
      <c r="AS889" s="781"/>
      <c r="AT889" s="781"/>
      <c r="AU889" s="781"/>
    </row>
    <row r="890" ht="15.75" customHeight="1">
      <c r="A890" s="782">
        <v>44673.0</v>
      </c>
      <c r="B890" s="783" t="s">
        <v>6554</v>
      </c>
      <c r="C890" s="737" t="s">
        <v>3820</v>
      </c>
      <c r="D890" s="772" t="s">
        <v>6345</v>
      </c>
      <c r="E890" s="784">
        <v>114850.92</v>
      </c>
      <c r="F890" s="737" t="s">
        <v>4424</v>
      </c>
      <c r="G890" s="772" t="s">
        <v>18</v>
      </c>
      <c r="H890" s="772" t="s">
        <v>19</v>
      </c>
      <c r="I890" s="772" t="s">
        <v>256</v>
      </c>
      <c r="J890" s="782">
        <v>44462.0</v>
      </c>
      <c r="K890" s="772" t="s">
        <v>3828</v>
      </c>
      <c r="L890" s="781"/>
      <c r="M890" s="781"/>
      <c r="N890" s="781"/>
      <c r="O890" s="781"/>
      <c r="P890" s="781"/>
      <c r="Q890" s="781"/>
      <c r="R890" s="781"/>
      <c r="S890" s="781"/>
      <c r="T890" s="781"/>
      <c r="U890" s="781"/>
      <c r="V890" s="781"/>
      <c r="W890" s="781"/>
      <c r="X890" s="781"/>
      <c r="Y890" s="781"/>
      <c r="Z890" s="781"/>
      <c r="AA890" s="781"/>
      <c r="AB890" s="781"/>
      <c r="AC890" s="781"/>
      <c r="AD890" s="781"/>
      <c r="AE890" s="781"/>
      <c r="AF890" s="781"/>
      <c r="AG890" s="781"/>
      <c r="AH890" s="781"/>
      <c r="AI890" s="781"/>
      <c r="AJ890" s="781"/>
      <c r="AK890" s="781"/>
      <c r="AL890" s="781"/>
      <c r="AM890" s="781"/>
      <c r="AN890" s="781"/>
      <c r="AO890" s="781"/>
      <c r="AP890" s="781"/>
      <c r="AQ890" s="781"/>
      <c r="AR890" s="781"/>
      <c r="AS890" s="781"/>
      <c r="AT890" s="781"/>
      <c r="AU890" s="781"/>
    </row>
    <row r="891" ht="15.75" customHeight="1">
      <c r="A891" s="782">
        <v>44673.0</v>
      </c>
      <c r="B891" s="783" t="s">
        <v>6555</v>
      </c>
      <c r="C891" s="737" t="s">
        <v>3820</v>
      </c>
      <c r="D891" s="772" t="s">
        <v>6346</v>
      </c>
      <c r="E891" s="784">
        <v>100000.0</v>
      </c>
      <c r="F891" s="737" t="s">
        <v>6556</v>
      </c>
      <c r="G891" s="772" t="s">
        <v>18</v>
      </c>
      <c r="H891" s="772" t="s">
        <v>19</v>
      </c>
      <c r="I891" s="782" t="s">
        <v>6334</v>
      </c>
      <c r="J891" s="782">
        <v>44454.0</v>
      </c>
      <c r="K891" s="772" t="s">
        <v>3828</v>
      </c>
      <c r="L891" s="781"/>
      <c r="M891" s="781"/>
      <c r="N891" s="781"/>
      <c r="O891" s="781"/>
      <c r="P891" s="781"/>
      <c r="Q891" s="781"/>
      <c r="R891" s="781"/>
      <c r="S891" s="781"/>
      <c r="T891" s="781"/>
      <c r="U891" s="781"/>
      <c r="V891" s="781"/>
      <c r="W891" s="781"/>
      <c r="X891" s="781"/>
      <c r="Y891" s="781"/>
      <c r="Z891" s="781"/>
      <c r="AA891" s="781"/>
      <c r="AB891" s="781"/>
      <c r="AC891" s="781"/>
      <c r="AD891" s="781"/>
      <c r="AE891" s="781"/>
      <c r="AF891" s="781"/>
      <c r="AG891" s="781"/>
      <c r="AH891" s="781"/>
      <c r="AI891" s="781"/>
      <c r="AJ891" s="781"/>
      <c r="AK891" s="781"/>
      <c r="AL891" s="781"/>
      <c r="AM891" s="781"/>
      <c r="AN891" s="781"/>
      <c r="AO891" s="781"/>
      <c r="AP891" s="781"/>
      <c r="AQ891" s="781"/>
      <c r="AR891" s="781"/>
      <c r="AS891" s="781"/>
      <c r="AT891" s="781"/>
      <c r="AU891" s="781"/>
    </row>
    <row r="892" ht="15.75" customHeight="1">
      <c r="A892" s="782">
        <v>44673.0</v>
      </c>
      <c r="B892" s="783" t="s">
        <v>2568</v>
      </c>
      <c r="C892" s="737" t="s">
        <v>2547</v>
      </c>
      <c r="D892" s="772" t="s">
        <v>6346</v>
      </c>
      <c r="E892" s="784">
        <v>100000.0</v>
      </c>
      <c r="F892" s="737" t="s">
        <v>6557</v>
      </c>
      <c r="G892" s="772" t="s">
        <v>18</v>
      </c>
      <c r="H892" s="772" t="s">
        <v>176</v>
      </c>
      <c r="I892" s="772" t="s">
        <v>197</v>
      </c>
      <c r="J892" s="782">
        <v>44321.0</v>
      </c>
      <c r="K892" s="772" t="s">
        <v>3836</v>
      </c>
      <c r="L892" s="781"/>
      <c r="M892" s="781"/>
      <c r="N892" s="781"/>
      <c r="O892" s="781"/>
      <c r="P892" s="781"/>
      <c r="Q892" s="781"/>
      <c r="R892" s="781"/>
      <c r="S892" s="781"/>
      <c r="T892" s="781"/>
      <c r="U892" s="781"/>
      <c r="V892" s="781"/>
      <c r="W892" s="781"/>
      <c r="X892" s="781"/>
      <c r="Y892" s="781"/>
      <c r="Z892" s="781"/>
      <c r="AA892" s="781"/>
      <c r="AB892" s="781"/>
      <c r="AC892" s="781"/>
      <c r="AD892" s="781"/>
      <c r="AE892" s="781"/>
      <c r="AF892" s="781"/>
      <c r="AG892" s="781"/>
      <c r="AH892" s="781"/>
      <c r="AI892" s="781"/>
      <c r="AJ892" s="781"/>
      <c r="AK892" s="781"/>
      <c r="AL892" s="781"/>
      <c r="AM892" s="781"/>
      <c r="AN892" s="781"/>
      <c r="AO892" s="781"/>
      <c r="AP892" s="781"/>
      <c r="AQ892" s="781"/>
      <c r="AR892" s="781"/>
      <c r="AS892" s="781"/>
      <c r="AT892" s="781"/>
      <c r="AU892" s="781"/>
    </row>
    <row r="893" ht="15.75" customHeight="1">
      <c r="A893" s="782">
        <v>44676.0</v>
      </c>
      <c r="B893" s="783" t="s">
        <v>3107</v>
      </c>
      <c r="C893" s="737" t="s">
        <v>2547</v>
      </c>
      <c r="D893" s="772" t="s">
        <v>6346</v>
      </c>
      <c r="E893" s="784">
        <v>20000.0</v>
      </c>
      <c r="F893" s="737" t="s">
        <v>3106</v>
      </c>
      <c r="G893" s="772" t="s">
        <v>18</v>
      </c>
      <c r="H893" s="772" t="s">
        <v>176</v>
      </c>
      <c r="I893" s="772" t="s">
        <v>197</v>
      </c>
      <c r="J893" s="782">
        <v>44333.0</v>
      </c>
      <c r="K893" s="772" t="s">
        <v>3836</v>
      </c>
      <c r="L893" s="781"/>
      <c r="M893" s="781"/>
      <c r="N893" s="781"/>
      <c r="O893" s="781"/>
      <c r="P893" s="781"/>
      <c r="Q893" s="781"/>
      <c r="R893" s="781"/>
      <c r="S893" s="781"/>
      <c r="T893" s="781"/>
      <c r="U893" s="781"/>
      <c r="V893" s="781"/>
      <c r="W893" s="781"/>
      <c r="X893" s="781"/>
      <c r="Y893" s="781"/>
      <c r="Z893" s="781"/>
      <c r="AA893" s="781"/>
      <c r="AB893" s="781"/>
      <c r="AC893" s="781"/>
      <c r="AD893" s="781"/>
      <c r="AE893" s="781"/>
      <c r="AF893" s="781"/>
      <c r="AG893" s="781"/>
      <c r="AH893" s="781"/>
      <c r="AI893" s="781"/>
      <c r="AJ893" s="781"/>
      <c r="AK893" s="781"/>
      <c r="AL893" s="781"/>
      <c r="AM893" s="781"/>
      <c r="AN893" s="781"/>
      <c r="AO893" s="781"/>
      <c r="AP893" s="781"/>
      <c r="AQ893" s="781"/>
      <c r="AR893" s="781"/>
      <c r="AS893" s="781"/>
      <c r="AT893" s="781"/>
      <c r="AU893" s="781"/>
    </row>
    <row r="894" ht="15.75" customHeight="1">
      <c r="A894" s="795">
        <v>44676.0</v>
      </c>
      <c r="B894" s="827" t="s">
        <v>2806</v>
      </c>
      <c r="C894" s="797" t="s">
        <v>2547</v>
      </c>
      <c r="D894" s="772" t="s">
        <v>6345</v>
      </c>
      <c r="E894" s="798" t="s">
        <v>6558</v>
      </c>
      <c r="F894" s="772" t="s">
        <v>2805</v>
      </c>
      <c r="G894" s="782" t="s">
        <v>18</v>
      </c>
      <c r="H894" s="782" t="s">
        <v>176</v>
      </c>
      <c r="I894" s="782" t="s">
        <v>177</v>
      </c>
      <c r="J894" s="782">
        <v>44263.0</v>
      </c>
      <c r="K894" s="782" t="s">
        <v>3840</v>
      </c>
      <c r="L894" s="781"/>
      <c r="M894" s="781"/>
      <c r="N894" s="781"/>
      <c r="O894" s="781"/>
      <c r="P894" s="781"/>
      <c r="Q894" s="781"/>
      <c r="R894" s="781"/>
      <c r="S894" s="781"/>
      <c r="T894" s="781"/>
      <c r="U894" s="781"/>
      <c r="V894" s="781"/>
      <c r="W894" s="781"/>
      <c r="X894" s="781"/>
      <c r="Y894" s="781"/>
      <c r="Z894" s="781"/>
      <c r="AA894" s="781"/>
      <c r="AB894" s="781"/>
      <c r="AC894" s="781"/>
      <c r="AD894" s="781"/>
      <c r="AE894" s="781"/>
      <c r="AF894" s="781"/>
      <c r="AG894" s="781"/>
      <c r="AH894" s="781"/>
      <c r="AI894" s="781"/>
      <c r="AJ894" s="781"/>
      <c r="AK894" s="781"/>
      <c r="AL894" s="781"/>
      <c r="AM894" s="781"/>
      <c r="AN894" s="781"/>
      <c r="AO894" s="781"/>
      <c r="AP894" s="781"/>
      <c r="AQ894" s="781"/>
      <c r="AR894" s="781"/>
      <c r="AS894" s="781"/>
      <c r="AT894" s="781"/>
      <c r="AU894" s="781"/>
    </row>
    <row r="895" ht="15.75" customHeight="1">
      <c r="A895" s="782">
        <v>44677.0</v>
      </c>
      <c r="B895" s="783" t="s">
        <v>3121</v>
      </c>
      <c r="C895" s="737" t="s">
        <v>2547</v>
      </c>
      <c r="D895" s="772" t="s">
        <v>6346</v>
      </c>
      <c r="E895" s="784">
        <v>62000.0</v>
      </c>
      <c r="F895" s="772" t="s">
        <v>3120</v>
      </c>
      <c r="G895" s="772" t="s">
        <v>2659</v>
      </c>
      <c r="H895" s="772" t="s">
        <v>29</v>
      </c>
      <c r="I895" s="782" t="s">
        <v>2659</v>
      </c>
      <c r="J895" s="782">
        <v>43439.0</v>
      </c>
      <c r="K895" s="772" t="s">
        <v>3840</v>
      </c>
      <c r="L895" s="781"/>
      <c r="M895" s="781"/>
      <c r="N895" s="781"/>
      <c r="O895" s="781"/>
      <c r="P895" s="781"/>
      <c r="Q895" s="781"/>
      <c r="R895" s="781"/>
      <c r="S895" s="781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81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</row>
    <row r="896" ht="15.75" customHeight="1">
      <c r="A896" s="782">
        <v>44677.0</v>
      </c>
      <c r="B896" s="783" t="s">
        <v>3656</v>
      </c>
      <c r="C896" s="737" t="s">
        <v>3632</v>
      </c>
      <c r="D896" s="772" t="s">
        <v>6346</v>
      </c>
      <c r="E896" s="784">
        <v>3000.0</v>
      </c>
      <c r="F896" s="737" t="s">
        <v>3655</v>
      </c>
      <c r="G896" s="772" t="s">
        <v>18</v>
      </c>
      <c r="H896" s="772" t="s">
        <v>18</v>
      </c>
      <c r="I896" s="782" t="s">
        <v>6253</v>
      </c>
      <c r="J896" s="782">
        <v>44062.0</v>
      </c>
      <c r="K896" s="772" t="s">
        <v>3828</v>
      </c>
      <c r="L896" s="781"/>
      <c r="M896" s="781"/>
      <c r="N896" s="781"/>
      <c r="O896" s="781"/>
      <c r="P896" s="781"/>
      <c r="Q896" s="781"/>
      <c r="R896" s="781"/>
      <c r="S896" s="781"/>
      <c r="T896" s="781"/>
      <c r="U896" s="781"/>
      <c r="V896" s="781"/>
      <c r="W896" s="781"/>
      <c r="X896" s="781"/>
      <c r="Y896" s="781"/>
      <c r="Z896" s="781"/>
      <c r="AA896" s="781"/>
      <c r="AB896" s="781"/>
      <c r="AC896" s="781"/>
      <c r="AD896" s="781"/>
      <c r="AE896" s="781"/>
      <c r="AF896" s="781"/>
      <c r="AG896" s="781"/>
      <c r="AH896" s="781"/>
      <c r="AI896" s="781"/>
      <c r="AJ896" s="781"/>
      <c r="AK896" s="781"/>
      <c r="AL896" s="781"/>
      <c r="AM896" s="781"/>
      <c r="AN896" s="781"/>
      <c r="AO896" s="781"/>
      <c r="AP896" s="781"/>
      <c r="AQ896" s="781"/>
      <c r="AR896" s="781"/>
      <c r="AS896" s="781"/>
      <c r="AT896" s="781"/>
      <c r="AU896" s="781"/>
    </row>
    <row r="897" ht="15.75" customHeight="1">
      <c r="A897" s="782">
        <v>44677.0</v>
      </c>
      <c r="B897" s="794" t="s">
        <v>6559</v>
      </c>
      <c r="C897" s="856" t="s">
        <v>3820</v>
      </c>
      <c r="D897" s="857" t="s">
        <v>1481</v>
      </c>
      <c r="E897" s="858">
        <v>118629.88</v>
      </c>
      <c r="F897" s="856" t="s">
        <v>4385</v>
      </c>
      <c r="G897" s="857" t="s">
        <v>18</v>
      </c>
      <c r="H897" s="857" t="s">
        <v>29</v>
      </c>
      <c r="I897" s="857" t="s">
        <v>3708</v>
      </c>
      <c r="J897" s="859">
        <v>44405.0</v>
      </c>
      <c r="K897" s="857" t="s">
        <v>3840</v>
      </c>
      <c r="L897" s="781"/>
      <c r="M897" s="781"/>
      <c r="N897" s="781"/>
      <c r="O897" s="781"/>
      <c r="P897" s="781"/>
      <c r="Q897" s="781"/>
      <c r="R897" s="781"/>
      <c r="S897" s="781"/>
      <c r="T897" s="781"/>
      <c r="U897" s="781"/>
      <c r="V897" s="781"/>
      <c r="W897" s="781"/>
      <c r="X897" s="781"/>
      <c r="Y897" s="781"/>
      <c r="Z897" s="781"/>
      <c r="AA897" s="781"/>
      <c r="AB897" s="781"/>
      <c r="AC897" s="781"/>
      <c r="AD897" s="781"/>
      <c r="AE897" s="781"/>
      <c r="AF897" s="781"/>
      <c r="AG897" s="781"/>
      <c r="AH897" s="781"/>
      <c r="AI897" s="781"/>
      <c r="AJ897" s="781"/>
      <c r="AK897" s="781"/>
      <c r="AL897" s="781"/>
      <c r="AM897" s="781"/>
      <c r="AN897" s="781"/>
      <c r="AO897" s="781"/>
      <c r="AP897" s="781"/>
      <c r="AQ897" s="781"/>
      <c r="AR897" s="781"/>
      <c r="AS897" s="781"/>
      <c r="AT897" s="781"/>
      <c r="AU897" s="781"/>
    </row>
    <row r="898" ht="15.75" customHeight="1">
      <c r="A898" s="782">
        <v>44677.0</v>
      </c>
      <c r="B898" s="783" t="s">
        <v>3012</v>
      </c>
      <c r="C898" s="737" t="s">
        <v>2547</v>
      </c>
      <c r="D898" s="772" t="s">
        <v>6346</v>
      </c>
      <c r="E898" s="784">
        <v>31000.0</v>
      </c>
      <c r="F898" s="737" t="s">
        <v>1182</v>
      </c>
      <c r="G898" s="772" t="s">
        <v>18</v>
      </c>
      <c r="H898" s="772" t="s">
        <v>176</v>
      </c>
      <c r="I898" s="772" t="s">
        <v>177</v>
      </c>
      <c r="J898" s="782">
        <v>44319.0</v>
      </c>
      <c r="K898" s="772" t="s">
        <v>3828</v>
      </c>
      <c r="L898" s="781"/>
      <c r="M898" s="781"/>
      <c r="N898" s="781"/>
      <c r="O898" s="781"/>
      <c r="P898" s="781"/>
      <c r="Q898" s="781"/>
      <c r="R898" s="781"/>
      <c r="S898" s="781"/>
      <c r="T898" s="781"/>
      <c r="U898" s="781"/>
      <c r="V898" s="781"/>
      <c r="W898" s="781"/>
      <c r="X898" s="781"/>
      <c r="Y898" s="781"/>
      <c r="Z898" s="781"/>
      <c r="AA898" s="781"/>
      <c r="AB898" s="781"/>
      <c r="AC898" s="781"/>
      <c r="AD898" s="781"/>
      <c r="AE898" s="781"/>
      <c r="AF898" s="781"/>
      <c r="AG898" s="781"/>
      <c r="AH898" s="781"/>
      <c r="AI898" s="781"/>
      <c r="AJ898" s="781"/>
      <c r="AK898" s="781"/>
      <c r="AL898" s="781"/>
      <c r="AM898" s="781"/>
      <c r="AN898" s="781"/>
      <c r="AO898" s="781"/>
      <c r="AP898" s="781"/>
      <c r="AQ898" s="781"/>
      <c r="AR898" s="781"/>
      <c r="AS898" s="781"/>
      <c r="AT898" s="781"/>
      <c r="AU898" s="781"/>
    </row>
    <row r="899" ht="15.75" customHeight="1">
      <c r="A899" s="782">
        <v>44679.0</v>
      </c>
      <c r="B899" s="783" t="s">
        <v>3226</v>
      </c>
      <c r="C899" s="737" t="s">
        <v>2547</v>
      </c>
      <c r="D899" s="772" t="s">
        <v>6346</v>
      </c>
      <c r="E899" s="784">
        <v>15000.0</v>
      </c>
      <c r="F899" s="737" t="s">
        <v>6560</v>
      </c>
      <c r="G899" s="772" t="s">
        <v>18</v>
      </c>
      <c r="H899" s="772" t="s">
        <v>176</v>
      </c>
      <c r="I899" s="772" t="s">
        <v>177</v>
      </c>
      <c r="J899" s="782">
        <v>44323.0</v>
      </c>
      <c r="K899" s="772" t="s">
        <v>3869</v>
      </c>
      <c r="L899" s="781"/>
      <c r="M899" s="781"/>
      <c r="N899" s="781"/>
      <c r="O899" s="781"/>
      <c r="P899" s="781"/>
      <c r="Q899" s="781"/>
      <c r="R899" s="781"/>
      <c r="S899" s="781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81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</row>
    <row r="900" ht="15.75" customHeight="1">
      <c r="A900" s="782">
        <v>44679.0</v>
      </c>
      <c r="B900" s="783" t="s">
        <v>3461</v>
      </c>
      <c r="C900" s="737" t="s">
        <v>2547</v>
      </c>
      <c r="D900" s="772" t="s">
        <v>6346</v>
      </c>
      <c r="E900" s="784">
        <v>75000.0</v>
      </c>
      <c r="F900" s="737" t="s">
        <v>6561</v>
      </c>
      <c r="G900" s="772" t="s">
        <v>18</v>
      </c>
      <c r="H900" s="772" t="s">
        <v>176</v>
      </c>
      <c r="I900" s="772" t="s">
        <v>2634</v>
      </c>
      <c r="J900" s="782">
        <v>44644.0</v>
      </c>
      <c r="K900" s="772" t="s">
        <v>3836</v>
      </c>
      <c r="L900" s="781"/>
      <c r="M900" s="781"/>
      <c r="N900" s="781"/>
      <c r="O900" s="781"/>
      <c r="P900" s="781"/>
      <c r="Q900" s="781"/>
      <c r="R900" s="781"/>
      <c r="S900" s="781"/>
      <c r="T900" s="781"/>
      <c r="U900" s="781"/>
      <c r="V900" s="781"/>
      <c r="W900" s="781"/>
      <c r="X900" s="781"/>
      <c r="Y900" s="781"/>
      <c r="Z900" s="781"/>
      <c r="AA900" s="781"/>
      <c r="AB900" s="781"/>
      <c r="AC900" s="781"/>
      <c r="AD900" s="781"/>
      <c r="AE900" s="781"/>
      <c r="AF900" s="781"/>
      <c r="AG900" s="781"/>
      <c r="AH900" s="781"/>
      <c r="AI900" s="781"/>
      <c r="AJ900" s="781"/>
      <c r="AK900" s="781"/>
      <c r="AL900" s="781"/>
      <c r="AM900" s="781"/>
      <c r="AN900" s="781"/>
      <c r="AO900" s="781"/>
      <c r="AP900" s="781"/>
      <c r="AQ900" s="781"/>
      <c r="AR900" s="781"/>
      <c r="AS900" s="781"/>
      <c r="AT900" s="781"/>
      <c r="AU900" s="781"/>
    </row>
    <row r="901" ht="15.75" customHeight="1">
      <c r="A901" s="782">
        <v>44680.0</v>
      </c>
      <c r="B901" s="783" t="s">
        <v>6562</v>
      </c>
      <c r="C901" s="737" t="s">
        <v>2547</v>
      </c>
      <c r="D901" s="772" t="s">
        <v>6346</v>
      </c>
      <c r="E901" s="784">
        <v>31000.0</v>
      </c>
      <c r="F901" s="737" t="s">
        <v>6563</v>
      </c>
      <c r="G901" s="772" t="s">
        <v>18</v>
      </c>
      <c r="H901" s="772" t="s">
        <v>176</v>
      </c>
      <c r="I901" s="772" t="s">
        <v>2634</v>
      </c>
      <c r="J901" s="782">
        <v>44568.0</v>
      </c>
      <c r="K901" s="772" t="s">
        <v>3834</v>
      </c>
      <c r="L901" s="781"/>
      <c r="M901" s="781"/>
      <c r="N901" s="781"/>
      <c r="O901" s="781"/>
      <c r="P901" s="781"/>
      <c r="Q901" s="781"/>
      <c r="R901" s="781"/>
      <c r="S901" s="781"/>
      <c r="T901" s="781"/>
      <c r="U901" s="781"/>
      <c r="V901" s="781"/>
      <c r="W901" s="781"/>
      <c r="X901" s="781"/>
      <c r="Y901" s="781"/>
      <c r="Z901" s="781"/>
      <c r="AA901" s="781"/>
      <c r="AB901" s="781"/>
      <c r="AC901" s="781"/>
      <c r="AD901" s="781"/>
      <c r="AE901" s="781"/>
      <c r="AF901" s="781"/>
      <c r="AG901" s="781"/>
      <c r="AH901" s="781"/>
      <c r="AI901" s="781"/>
      <c r="AJ901" s="781"/>
      <c r="AK901" s="781"/>
      <c r="AL901" s="781"/>
      <c r="AM901" s="781"/>
      <c r="AN901" s="781"/>
      <c r="AO901" s="781"/>
      <c r="AP901" s="781"/>
      <c r="AQ901" s="781"/>
      <c r="AR901" s="781"/>
      <c r="AS901" s="781"/>
      <c r="AT901" s="781"/>
      <c r="AU901" s="781"/>
    </row>
    <row r="902" ht="15.75" customHeight="1">
      <c r="A902" s="811">
        <v>44680.0</v>
      </c>
      <c r="B902" s="860" t="s">
        <v>6564</v>
      </c>
      <c r="C902" s="813" t="s">
        <v>3820</v>
      </c>
      <c r="D902" s="814" t="s">
        <v>6345</v>
      </c>
      <c r="E902" s="815">
        <v>288923.9</v>
      </c>
      <c r="F902" s="813" t="s">
        <v>6565</v>
      </c>
      <c r="G902" s="814" t="s">
        <v>18</v>
      </c>
      <c r="H902" s="814" t="s">
        <v>19</v>
      </c>
      <c r="I902" s="814" t="s">
        <v>4152</v>
      </c>
      <c r="J902" s="816">
        <v>44398.0</v>
      </c>
      <c r="K902" s="813" t="s">
        <v>3834</v>
      </c>
      <c r="L902" s="781"/>
      <c r="M902" s="781"/>
      <c r="N902" s="781"/>
      <c r="O902" s="781"/>
      <c r="P902" s="781"/>
      <c r="Q902" s="781"/>
      <c r="R902" s="781"/>
      <c r="S902" s="781"/>
      <c r="T902" s="781"/>
      <c r="U902" s="781"/>
      <c r="V902" s="781"/>
      <c r="W902" s="781"/>
      <c r="X902" s="781"/>
      <c r="Y902" s="781"/>
      <c r="Z902" s="781"/>
      <c r="AA902" s="781"/>
      <c r="AB902" s="781"/>
      <c r="AC902" s="781"/>
      <c r="AD902" s="781"/>
      <c r="AE902" s="781"/>
      <c r="AF902" s="781"/>
      <c r="AG902" s="781"/>
      <c r="AH902" s="781"/>
      <c r="AI902" s="781"/>
      <c r="AJ902" s="781"/>
      <c r="AK902" s="781"/>
      <c r="AL902" s="781"/>
      <c r="AM902" s="781"/>
      <c r="AN902" s="781"/>
      <c r="AO902" s="781"/>
      <c r="AP902" s="781"/>
      <c r="AQ902" s="781"/>
      <c r="AR902" s="781"/>
      <c r="AS902" s="781"/>
      <c r="AT902" s="781"/>
      <c r="AU902" s="781"/>
    </row>
    <row r="903" ht="15.75" customHeight="1">
      <c r="A903" s="782">
        <v>44682.0</v>
      </c>
      <c r="B903" s="737" t="s">
        <v>3033</v>
      </c>
      <c r="C903" s="737" t="s">
        <v>2547</v>
      </c>
      <c r="D903" s="772" t="s">
        <v>6345</v>
      </c>
      <c r="E903" s="784">
        <v>7399239.36</v>
      </c>
      <c r="F903" s="852" t="s">
        <v>3032</v>
      </c>
      <c r="G903" s="761" t="s">
        <v>2659</v>
      </c>
      <c r="H903" s="852" t="s">
        <v>29</v>
      </c>
      <c r="I903" s="761" t="s">
        <v>2659</v>
      </c>
      <c r="J903" s="808">
        <v>44021.0</v>
      </c>
      <c r="K903" s="810" t="s">
        <v>3828</v>
      </c>
      <c r="L903" s="781"/>
      <c r="M903" s="781"/>
      <c r="N903" s="781"/>
      <c r="O903" s="781"/>
      <c r="P903" s="781"/>
      <c r="Q903" s="781"/>
      <c r="R903" s="781"/>
      <c r="S903" s="781"/>
      <c r="T903" s="781"/>
      <c r="U903" s="781"/>
      <c r="V903" s="781"/>
      <c r="W903" s="781"/>
      <c r="X903" s="781"/>
      <c r="Y903" s="781"/>
      <c r="Z903" s="781"/>
      <c r="AA903" s="781"/>
      <c r="AB903" s="781"/>
      <c r="AC903" s="781"/>
      <c r="AD903" s="781"/>
      <c r="AE903" s="781"/>
      <c r="AF903" s="781"/>
      <c r="AG903" s="781"/>
      <c r="AH903" s="781"/>
      <c r="AI903" s="781"/>
      <c r="AJ903" s="781"/>
      <c r="AK903" s="781"/>
      <c r="AL903" s="781"/>
      <c r="AM903" s="781"/>
      <c r="AN903" s="781"/>
      <c r="AO903" s="781"/>
      <c r="AP903" s="781"/>
      <c r="AQ903" s="781"/>
      <c r="AR903" s="781"/>
      <c r="AS903" s="781"/>
      <c r="AT903" s="781"/>
      <c r="AU903" s="781"/>
    </row>
    <row r="904" ht="15.75" customHeight="1">
      <c r="A904" s="782">
        <v>44682.0</v>
      </c>
      <c r="B904" s="737" t="s">
        <v>3035</v>
      </c>
      <c r="C904" s="737" t="s">
        <v>2547</v>
      </c>
      <c r="D904" s="772" t="s">
        <v>6345</v>
      </c>
      <c r="E904" s="784">
        <v>4668228.61</v>
      </c>
      <c r="F904" s="852" t="s">
        <v>3032</v>
      </c>
      <c r="G904" s="761" t="s">
        <v>2659</v>
      </c>
      <c r="H904" s="852" t="s">
        <v>29</v>
      </c>
      <c r="I904" s="761" t="s">
        <v>2659</v>
      </c>
      <c r="J904" s="808">
        <v>44029.0</v>
      </c>
      <c r="K904" s="810" t="s">
        <v>3840</v>
      </c>
      <c r="L904" s="781"/>
      <c r="M904" s="781"/>
      <c r="N904" s="781"/>
      <c r="O904" s="781"/>
      <c r="P904" s="781"/>
      <c r="Q904" s="781"/>
      <c r="R904" s="781"/>
      <c r="S904" s="781"/>
      <c r="T904" s="781"/>
      <c r="U904" s="781"/>
      <c r="V904" s="781"/>
      <c r="W904" s="781"/>
      <c r="X904" s="781"/>
      <c r="Y904" s="781"/>
      <c r="Z904" s="781"/>
      <c r="AA904" s="781"/>
      <c r="AB904" s="781"/>
      <c r="AC904" s="781"/>
      <c r="AD904" s="781"/>
      <c r="AE904" s="781"/>
      <c r="AF904" s="781"/>
      <c r="AG904" s="781"/>
      <c r="AH904" s="781"/>
      <c r="AI904" s="781"/>
      <c r="AJ904" s="781"/>
      <c r="AK904" s="781"/>
      <c r="AL904" s="781"/>
      <c r="AM904" s="781"/>
      <c r="AN904" s="781"/>
      <c r="AO904" s="781"/>
      <c r="AP904" s="781"/>
      <c r="AQ904" s="781"/>
      <c r="AR904" s="781"/>
      <c r="AS904" s="781"/>
      <c r="AT904" s="781"/>
      <c r="AU904" s="781"/>
    </row>
    <row r="905" ht="15.75" customHeight="1">
      <c r="A905" s="782">
        <v>44683.0</v>
      </c>
      <c r="B905" s="783" t="s">
        <v>6442</v>
      </c>
      <c r="C905" s="737" t="s">
        <v>3820</v>
      </c>
      <c r="D905" s="772" t="s">
        <v>6345</v>
      </c>
      <c r="E905" s="784">
        <v>160249.53</v>
      </c>
      <c r="F905" s="737" t="s">
        <v>3953</v>
      </c>
      <c r="G905" s="772" t="s">
        <v>105</v>
      </c>
      <c r="H905" s="772" t="s">
        <v>29</v>
      </c>
      <c r="I905" s="772" t="s">
        <v>3660</v>
      </c>
      <c r="J905" s="782">
        <v>44362.0</v>
      </c>
      <c r="K905" s="772" t="s">
        <v>3836</v>
      </c>
      <c r="L905" s="781"/>
      <c r="M905" s="781"/>
      <c r="N905" s="781"/>
      <c r="O905" s="781"/>
      <c r="P905" s="781"/>
      <c r="Q905" s="781"/>
      <c r="R905" s="781"/>
      <c r="S905" s="781"/>
      <c r="T905" s="781"/>
      <c r="U905" s="781"/>
      <c r="V905" s="781"/>
      <c r="W905" s="781"/>
      <c r="X905" s="781"/>
      <c r="Y905" s="781"/>
      <c r="Z905" s="781"/>
      <c r="AA905" s="781"/>
      <c r="AB905" s="781"/>
      <c r="AC905" s="781"/>
      <c r="AD905" s="781"/>
      <c r="AE905" s="781"/>
      <c r="AF905" s="781"/>
      <c r="AG905" s="781"/>
      <c r="AH905" s="781"/>
      <c r="AI905" s="781"/>
      <c r="AJ905" s="781"/>
      <c r="AK905" s="781"/>
      <c r="AL905" s="781"/>
      <c r="AM905" s="781"/>
      <c r="AN905" s="781"/>
      <c r="AO905" s="781"/>
      <c r="AP905" s="781"/>
      <c r="AQ905" s="781"/>
      <c r="AR905" s="781"/>
      <c r="AS905" s="781"/>
      <c r="AT905" s="781"/>
      <c r="AU905" s="781"/>
    </row>
    <row r="906" ht="15.75" customHeight="1">
      <c r="A906" s="782">
        <v>44683.0</v>
      </c>
      <c r="B906" s="783" t="s">
        <v>6566</v>
      </c>
      <c r="C906" s="737" t="s">
        <v>3820</v>
      </c>
      <c r="D906" s="772" t="s">
        <v>6345</v>
      </c>
      <c r="E906" s="784">
        <v>128785.37</v>
      </c>
      <c r="F906" s="737" t="s">
        <v>6567</v>
      </c>
      <c r="G906" s="772" t="s">
        <v>18</v>
      </c>
      <c r="H906" s="772" t="s">
        <v>19</v>
      </c>
      <c r="I906" s="772" t="s">
        <v>256</v>
      </c>
      <c r="J906" s="782">
        <v>44355.0</v>
      </c>
      <c r="K906" s="810" t="s">
        <v>3834</v>
      </c>
      <c r="L906" s="781"/>
      <c r="M906" s="781"/>
      <c r="N906" s="781"/>
      <c r="O906" s="781"/>
      <c r="P906" s="781"/>
      <c r="Q906" s="781"/>
      <c r="R906" s="781"/>
      <c r="S906" s="781"/>
      <c r="T906" s="781"/>
      <c r="U906" s="781"/>
      <c r="V906" s="781"/>
      <c r="W906" s="781"/>
      <c r="X906" s="781"/>
      <c r="Y906" s="781"/>
      <c r="Z906" s="781"/>
      <c r="AA906" s="781"/>
      <c r="AB906" s="781"/>
      <c r="AC906" s="781"/>
      <c r="AD906" s="781"/>
      <c r="AE906" s="781"/>
      <c r="AF906" s="781"/>
      <c r="AG906" s="781"/>
      <c r="AH906" s="781"/>
      <c r="AI906" s="781"/>
      <c r="AJ906" s="781"/>
      <c r="AK906" s="781"/>
      <c r="AL906" s="781"/>
      <c r="AM906" s="781"/>
      <c r="AN906" s="781"/>
      <c r="AO906" s="781"/>
      <c r="AP906" s="781"/>
      <c r="AQ906" s="781"/>
      <c r="AR906" s="781"/>
      <c r="AS906" s="781"/>
      <c r="AT906" s="781"/>
      <c r="AU906" s="781"/>
    </row>
    <row r="907" ht="15.75" customHeight="1">
      <c r="A907" s="782">
        <v>44683.0</v>
      </c>
      <c r="B907" s="783" t="s">
        <v>6568</v>
      </c>
      <c r="C907" s="737" t="s">
        <v>3820</v>
      </c>
      <c r="D907" s="772" t="s">
        <v>6345</v>
      </c>
      <c r="E907" s="784">
        <v>158853.29</v>
      </c>
      <c r="F907" s="737" t="s">
        <v>5336</v>
      </c>
      <c r="G907" s="761" t="s">
        <v>18</v>
      </c>
      <c r="H907" s="852" t="s">
        <v>19</v>
      </c>
      <c r="I907" s="761" t="s">
        <v>256</v>
      </c>
      <c r="J907" s="808">
        <v>44229.0</v>
      </c>
      <c r="K907" s="810" t="s">
        <v>3824</v>
      </c>
      <c r="L907" s="781"/>
      <c r="M907" s="781"/>
      <c r="N907" s="781"/>
      <c r="O907" s="781"/>
      <c r="P907" s="781"/>
      <c r="Q907" s="781"/>
      <c r="R907" s="781"/>
      <c r="S907" s="781"/>
      <c r="T907" s="781"/>
      <c r="U907" s="781"/>
      <c r="V907" s="781"/>
      <c r="W907" s="781"/>
      <c r="X907" s="781"/>
      <c r="Y907" s="781"/>
      <c r="Z907" s="781"/>
      <c r="AA907" s="781"/>
      <c r="AB907" s="781"/>
      <c r="AC907" s="781"/>
      <c r="AD907" s="781"/>
      <c r="AE907" s="781"/>
      <c r="AF907" s="781"/>
      <c r="AG907" s="781"/>
      <c r="AH907" s="781"/>
      <c r="AI907" s="781"/>
      <c r="AJ907" s="781"/>
      <c r="AK907" s="781"/>
      <c r="AL907" s="781"/>
      <c r="AM907" s="781"/>
      <c r="AN907" s="781"/>
      <c r="AO907" s="781"/>
      <c r="AP907" s="781"/>
      <c r="AQ907" s="781"/>
      <c r="AR907" s="781"/>
      <c r="AS907" s="781"/>
      <c r="AT907" s="781"/>
      <c r="AU907" s="781"/>
    </row>
    <row r="908" ht="15.75" customHeight="1">
      <c r="A908" s="782">
        <v>44683.0</v>
      </c>
      <c r="B908" s="783" t="s">
        <v>6543</v>
      </c>
      <c r="C908" s="737" t="s">
        <v>3820</v>
      </c>
      <c r="D908" s="772" t="s">
        <v>6346</v>
      </c>
      <c r="E908" s="784">
        <v>11329.01</v>
      </c>
      <c r="F908" s="737" t="s">
        <v>1819</v>
      </c>
      <c r="G908" s="761" t="s">
        <v>18</v>
      </c>
      <c r="H908" s="852" t="s">
        <v>19</v>
      </c>
      <c r="I908" s="761" t="s">
        <v>20</v>
      </c>
      <c r="J908" s="808">
        <v>44614.0</v>
      </c>
      <c r="K908" s="810" t="s">
        <v>3828</v>
      </c>
      <c r="L908" s="781"/>
      <c r="M908" s="781"/>
      <c r="N908" s="781"/>
      <c r="O908" s="781"/>
      <c r="P908" s="781"/>
      <c r="Q908" s="781"/>
      <c r="R908" s="781"/>
      <c r="S908" s="781"/>
      <c r="T908" s="781"/>
      <c r="U908" s="781"/>
      <c r="V908" s="781"/>
      <c r="W908" s="781"/>
      <c r="X908" s="781"/>
      <c r="Y908" s="781"/>
      <c r="Z908" s="781"/>
      <c r="AA908" s="781"/>
      <c r="AB908" s="781"/>
      <c r="AC908" s="781"/>
      <c r="AD908" s="781"/>
      <c r="AE908" s="781"/>
      <c r="AF908" s="781"/>
      <c r="AG908" s="781"/>
      <c r="AH908" s="781"/>
      <c r="AI908" s="781"/>
      <c r="AJ908" s="781"/>
      <c r="AK908" s="781"/>
      <c r="AL908" s="781"/>
      <c r="AM908" s="781"/>
      <c r="AN908" s="781"/>
      <c r="AO908" s="781"/>
      <c r="AP908" s="781"/>
      <c r="AQ908" s="781"/>
      <c r="AR908" s="781"/>
      <c r="AS908" s="781"/>
      <c r="AT908" s="781"/>
      <c r="AU908" s="781"/>
    </row>
    <row r="909" ht="15.75" customHeight="1">
      <c r="A909" s="782">
        <v>44683.0</v>
      </c>
      <c r="B909" s="783">
        <v>350690.0</v>
      </c>
      <c r="C909" s="737" t="s">
        <v>2547</v>
      </c>
      <c r="D909" s="772" t="s">
        <v>6346</v>
      </c>
      <c r="E909" s="784">
        <v>100000.0</v>
      </c>
      <c r="F909" s="737" t="s">
        <v>2747</v>
      </c>
      <c r="G909" s="761" t="s">
        <v>18</v>
      </c>
      <c r="H909" s="852" t="s">
        <v>176</v>
      </c>
      <c r="I909" s="761" t="s">
        <v>197</v>
      </c>
      <c r="J909" s="808">
        <v>44438.0</v>
      </c>
      <c r="K909" s="810" t="s">
        <v>3828</v>
      </c>
      <c r="L909" s="781"/>
      <c r="M909" s="781"/>
      <c r="N909" s="781"/>
      <c r="O909" s="781"/>
      <c r="P909" s="781"/>
      <c r="Q909" s="781"/>
      <c r="R909" s="781"/>
      <c r="S909" s="781"/>
      <c r="T909" s="781"/>
      <c r="U909" s="781"/>
      <c r="V909" s="781"/>
      <c r="W909" s="781"/>
      <c r="X909" s="781"/>
      <c r="Y909" s="781"/>
      <c r="Z909" s="781"/>
      <c r="AA909" s="781"/>
      <c r="AB909" s="781"/>
      <c r="AC909" s="781"/>
      <c r="AD909" s="781"/>
      <c r="AE909" s="781"/>
      <c r="AF909" s="781"/>
      <c r="AG909" s="781"/>
      <c r="AH909" s="781"/>
      <c r="AI909" s="781"/>
      <c r="AJ909" s="781"/>
      <c r="AK909" s="781"/>
      <c r="AL909" s="781"/>
      <c r="AM909" s="781"/>
      <c r="AN909" s="781"/>
      <c r="AO909" s="781"/>
      <c r="AP909" s="781"/>
      <c r="AQ909" s="781"/>
      <c r="AR909" s="781"/>
      <c r="AS909" s="781"/>
      <c r="AT909" s="781"/>
      <c r="AU909" s="781"/>
    </row>
    <row r="910" ht="15.75" customHeight="1">
      <c r="A910" s="782">
        <v>44683.0</v>
      </c>
      <c r="B910" s="783" t="s">
        <v>2847</v>
      </c>
      <c r="C910" s="737" t="s">
        <v>2547</v>
      </c>
      <c r="D910" s="772" t="s">
        <v>6346</v>
      </c>
      <c r="E910" s="784">
        <v>40000.0</v>
      </c>
      <c r="F910" s="737" t="s">
        <v>6533</v>
      </c>
      <c r="G910" s="761" t="s">
        <v>18</v>
      </c>
      <c r="H910" s="852" t="s">
        <v>176</v>
      </c>
      <c r="I910" s="761" t="s">
        <v>177</v>
      </c>
      <c r="J910" s="808">
        <v>44321.0</v>
      </c>
      <c r="K910" s="810" t="s">
        <v>3828</v>
      </c>
      <c r="L910" s="781"/>
      <c r="M910" s="781"/>
      <c r="N910" s="781"/>
      <c r="O910" s="781"/>
      <c r="P910" s="781"/>
      <c r="Q910" s="781"/>
      <c r="R910" s="781"/>
      <c r="S910" s="781"/>
      <c r="T910" s="781"/>
      <c r="U910" s="781"/>
      <c r="V910" s="781"/>
      <c r="W910" s="781"/>
      <c r="X910" s="781"/>
      <c r="Y910" s="781"/>
      <c r="Z910" s="781"/>
      <c r="AA910" s="781"/>
      <c r="AB910" s="781"/>
      <c r="AC910" s="781"/>
      <c r="AD910" s="781"/>
      <c r="AE910" s="781"/>
      <c r="AF910" s="781"/>
      <c r="AG910" s="781"/>
      <c r="AH910" s="781"/>
      <c r="AI910" s="781"/>
      <c r="AJ910" s="781"/>
      <c r="AK910" s="781"/>
      <c r="AL910" s="781"/>
      <c r="AM910" s="781"/>
      <c r="AN910" s="781"/>
      <c r="AO910" s="781"/>
      <c r="AP910" s="781"/>
      <c r="AQ910" s="781"/>
      <c r="AR910" s="781"/>
      <c r="AS910" s="781"/>
      <c r="AT910" s="781"/>
      <c r="AU910" s="781"/>
    </row>
    <row r="911" ht="15.75" customHeight="1">
      <c r="A911" s="782">
        <v>44683.0</v>
      </c>
      <c r="B911" s="783" t="s">
        <v>6515</v>
      </c>
      <c r="C911" s="737" t="s">
        <v>2547</v>
      </c>
      <c r="D911" s="772" t="s">
        <v>6346</v>
      </c>
      <c r="E911" s="784">
        <v>25000.0</v>
      </c>
      <c r="F911" s="737" t="s">
        <v>6535</v>
      </c>
      <c r="G911" s="761" t="s">
        <v>18</v>
      </c>
      <c r="H911" s="852" t="s">
        <v>176</v>
      </c>
      <c r="I911" s="761" t="s">
        <v>177</v>
      </c>
      <c r="J911" s="808">
        <v>44263.0</v>
      </c>
      <c r="K911" s="810" t="s">
        <v>3836</v>
      </c>
      <c r="L911" s="781"/>
      <c r="M911" s="781"/>
      <c r="N911" s="781"/>
      <c r="O911" s="781"/>
      <c r="P911" s="781"/>
      <c r="Q911" s="781"/>
      <c r="R911" s="781"/>
      <c r="S911" s="781"/>
      <c r="T911" s="781"/>
      <c r="U911" s="781"/>
      <c r="V911" s="781"/>
      <c r="W911" s="781"/>
      <c r="X911" s="781"/>
      <c r="Y911" s="781"/>
      <c r="Z911" s="781"/>
      <c r="AA911" s="781"/>
      <c r="AB911" s="781"/>
      <c r="AC911" s="781"/>
      <c r="AD911" s="781"/>
      <c r="AE911" s="781"/>
      <c r="AF911" s="781"/>
      <c r="AG911" s="781"/>
      <c r="AH911" s="781"/>
      <c r="AI911" s="781"/>
      <c r="AJ911" s="781"/>
      <c r="AK911" s="781"/>
      <c r="AL911" s="781"/>
      <c r="AM911" s="781"/>
      <c r="AN911" s="781"/>
      <c r="AO911" s="781"/>
      <c r="AP911" s="781"/>
      <c r="AQ911" s="781"/>
      <c r="AR911" s="781"/>
      <c r="AS911" s="781"/>
      <c r="AT911" s="781"/>
      <c r="AU911" s="781"/>
    </row>
    <row r="912" ht="15.75" customHeight="1">
      <c r="A912" s="782">
        <v>44683.0</v>
      </c>
      <c r="B912" s="783" t="s">
        <v>3044</v>
      </c>
      <c r="C912" s="737" t="s">
        <v>2547</v>
      </c>
      <c r="D912" s="772" t="s">
        <v>6346</v>
      </c>
      <c r="E912" s="784">
        <v>14000.0</v>
      </c>
      <c r="F912" s="737" t="s">
        <v>3040</v>
      </c>
      <c r="G912" s="761" t="s">
        <v>2550</v>
      </c>
      <c r="H912" s="852" t="s">
        <v>29</v>
      </c>
      <c r="I912" s="761" t="s">
        <v>2551</v>
      </c>
      <c r="J912" s="808">
        <v>43605.0</v>
      </c>
      <c r="K912" s="810" t="s">
        <v>3840</v>
      </c>
      <c r="L912" s="781"/>
      <c r="M912" s="781"/>
      <c r="N912" s="781"/>
      <c r="O912" s="781"/>
      <c r="P912" s="781"/>
      <c r="Q912" s="781"/>
      <c r="R912" s="781"/>
      <c r="S912" s="781"/>
      <c r="T912" s="781"/>
      <c r="U912" s="781"/>
      <c r="V912" s="781"/>
      <c r="W912" s="781"/>
      <c r="X912" s="781"/>
      <c r="Y912" s="781"/>
      <c r="Z912" s="781"/>
      <c r="AA912" s="781"/>
      <c r="AB912" s="781"/>
      <c r="AC912" s="781"/>
      <c r="AD912" s="781"/>
      <c r="AE912" s="781"/>
      <c r="AF912" s="781"/>
      <c r="AG912" s="781"/>
      <c r="AH912" s="781"/>
      <c r="AI912" s="781"/>
      <c r="AJ912" s="781"/>
      <c r="AK912" s="781"/>
      <c r="AL912" s="781"/>
      <c r="AM912" s="781"/>
      <c r="AN912" s="781"/>
      <c r="AO912" s="781"/>
      <c r="AP912" s="781"/>
      <c r="AQ912" s="781"/>
      <c r="AR912" s="781"/>
      <c r="AS912" s="781"/>
      <c r="AT912" s="781"/>
      <c r="AU912" s="781"/>
    </row>
    <row r="913" ht="15.75" customHeight="1">
      <c r="A913" s="782">
        <v>44684.0</v>
      </c>
      <c r="B913" s="783" t="s">
        <v>6569</v>
      </c>
      <c r="C913" s="737" t="s">
        <v>3820</v>
      </c>
      <c r="D913" s="772" t="s">
        <v>6345</v>
      </c>
      <c r="E913" s="784">
        <v>398221.67</v>
      </c>
      <c r="F913" s="737" t="s">
        <v>4400</v>
      </c>
      <c r="G913" s="761" t="s">
        <v>18</v>
      </c>
      <c r="H913" s="852" t="s">
        <v>19</v>
      </c>
      <c r="I913" s="761" t="s">
        <v>4152</v>
      </c>
      <c r="J913" s="808">
        <v>44454.0</v>
      </c>
      <c r="K913" s="810" t="s">
        <v>3834</v>
      </c>
      <c r="L913" s="781"/>
      <c r="M913" s="781"/>
      <c r="N913" s="781"/>
      <c r="O913" s="781"/>
      <c r="P913" s="781"/>
      <c r="Q913" s="781"/>
      <c r="R913" s="781"/>
      <c r="S913" s="781"/>
      <c r="T913" s="781"/>
      <c r="U913" s="781"/>
      <c r="V913" s="781"/>
      <c r="W913" s="781"/>
      <c r="X913" s="781"/>
      <c r="Y913" s="781"/>
      <c r="Z913" s="781"/>
      <c r="AA913" s="781"/>
      <c r="AB913" s="781"/>
      <c r="AC913" s="781"/>
      <c r="AD913" s="781"/>
      <c r="AE913" s="781"/>
      <c r="AF913" s="781"/>
      <c r="AG913" s="781"/>
      <c r="AH913" s="781"/>
      <c r="AI913" s="781"/>
      <c r="AJ913" s="781"/>
      <c r="AK913" s="781"/>
      <c r="AL913" s="781"/>
      <c r="AM913" s="781"/>
      <c r="AN913" s="781"/>
      <c r="AO913" s="781"/>
      <c r="AP913" s="781"/>
      <c r="AQ913" s="781"/>
      <c r="AR913" s="781"/>
      <c r="AS913" s="781"/>
      <c r="AT913" s="781"/>
      <c r="AU913" s="781"/>
    </row>
    <row r="914" ht="15.75" customHeight="1">
      <c r="A914" s="782">
        <v>44685.0</v>
      </c>
      <c r="B914" s="852">
        <v>4740849.0</v>
      </c>
      <c r="C914" s="737" t="s">
        <v>3820</v>
      </c>
      <c r="D914" s="772" t="s">
        <v>1481</v>
      </c>
      <c r="E914" s="784">
        <v>83984.54000000001</v>
      </c>
      <c r="F914" s="737" t="s">
        <v>5114</v>
      </c>
      <c r="G914" s="761" t="s">
        <v>105</v>
      </c>
      <c r="H914" s="852" t="s">
        <v>29</v>
      </c>
      <c r="I914" s="761" t="s">
        <v>4146</v>
      </c>
      <c r="J914" s="808">
        <v>44320.0</v>
      </c>
      <c r="K914" s="810" t="s">
        <v>3824</v>
      </c>
      <c r="L914" s="781"/>
      <c r="M914" s="781"/>
      <c r="N914" s="781"/>
      <c r="O914" s="781"/>
      <c r="P914" s="781"/>
      <c r="Q914" s="781"/>
      <c r="R914" s="781"/>
      <c r="S914" s="781"/>
      <c r="T914" s="781"/>
      <c r="U914" s="781"/>
      <c r="V914" s="781"/>
      <c r="W914" s="781"/>
      <c r="X914" s="781"/>
      <c r="Y914" s="781"/>
      <c r="Z914" s="781"/>
      <c r="AA914" s="781"/>
      <c r="AB914" s="781"/>
      <c r="AC914" s="781"/>
      <c r="AD914" s="781"/>
      <c r="AE914" s="781"/>
      <c r="AF914" s="781"/>
      <c r="AG914" s="781"/>
      <c r="AH914" s="781"/>
      <c r="AI914" s="781"/>
      <c r="AJ914" s="781"/>
      <c r="AK914" s="781"/>
      <c r="AL914" s="781"/>
      <c r="AM914" s="781"/>
      <c r="AN914" s="781"/>
      <c r="AO914" s="781"/>
      <c r="AP914" s="781"/>
      <c r="AQ914" s="781"/>
      <c r="AR914" s="781"/>
      <c r="AS914" s="781"/>
      <c r="AT914" s="781"/>
      <c r="AU914" s="781"/>
    </row>
    <row r="915" ht="15.75" customHeight="1">
      <c r="A915" s="782">
        <v>44685.0</v>
      </c>
      <c r="B915" s="852" t="s">
        <v>6570</v>
      </c>
      <c r="C915" s="737" t="s">
        <v>3820</v>
      </c>
      <c r="D915" s="772" t="s">
        <v>6346</v>
      </c>
      <c r="E915" s="784">
        <v>60000.0</v>
      </c>
      <c r="F915" s="737" t="s">
        <v>6571</v>
      </c>
      <c r="G915" s="761" t="s">
        <v>18</v>
      </c>
      <c r="H915" s="852" t="s">
        <v>29</v>
      </c>
      <c r="I915" s="761" t="s">
        <v>2803</v>
      </c>
      <c r="J915" s="808">
        <v>44294.0</v>
      </c>
      <c r="K915" s="810" t="s">
        <v>4508</v>
      </c>
      <c r="L915" s="781"/>
      <c r="M915" s="781"/>
      <c r="N915" s="781"/>
      <c r="O915" s="781"/>
      <c r="P915" s="781"/>
      <c r="Q915" s="781"/>
      <c r="R915" s="781"/>
      <c r="S915" s="781"/>
      <c r="T915" s="781"/>
      <c r="U915" s="781"/>
      <c r="V915" s="781"/>
      <c r="W915" s="781"/>
      <c r="X915" s="781"/>
      <c r="Y915" s="781"/>
      <c r="Z915" s="781"/>
      <c r="AA915" s="781"/>
      <c r="AB915" s="781"/>
      <c r="AC915" s="781"/>
      <c r="AD915" s="781"/>
      <c r="AE915" s="781"/>
      <c r="AF915" s="781"/>
      <c r="AG915" s="781"/>
      <c r="AH915" s="781"/>
      <c r="AI915" s="781"/>
      <c r="AJ915" s="781"/>
      <c r="AK915" s="781"/>
      <c r="AL915" s="781"/>
      <c r="AM915" s="781"/>
      <c r="AN915" s="781"/>
      <c r="AO915" s="781"/>
      <c r="AP915" s="781"/>
      <c r="AQ915" s="781"/>
      <c r="AR915" s="781"/>
      <c r="AS915" s="781"/>
      <c r="AT915" s="781"/>
      <c r="AU915" s="781"/>
    </row>
    <row r="916" ht="15.75" customHeight="1">
      <c r="A916" s="782">
        <v>44685.0</v>
      </c>
      <c r="B916" s="852">
        <v>6121090.0</v>
      </c>
      <c r="C916" s="737" t="s">
        <v>3820</v>
      </c>
      <c r="D916" s="772" t="s">
        <v>6345</v>
      </c>
      <c r="E916" s="784">
        <v>46583.9</v>
      </c>
      <c r="F916" s="737" t="s">
        <v>4286</v>
      </c>
      <c r="G916" s="761" t="s">
        <v>18</v>
      </c>
      <c r="H916" s="852" t="s">
        <v>19</v>
      </c>
      <c r="I916" s="761" t="s">
        <v>256</v>
      </c>
      <c r="J916" s="808">
        <v>44421.0</v>
      </c>
      <c r="K916" s="810" t="s">
        <v>3824</v>
      </c>
      <c r="L916" s="781"/>
      <c r="M916" s="781"/>
      <c r="N916" s="781"/>
      <c r="O916" s="781"/>
      <c r="P916" s="781"/>
      <c r="Q916" s="781"/>
      <c r="R916" s="781"/>
      <c r="S916" s="781"/>
      <c r="T916" s="781"/>
      <c r="U916" s="781"/>
      <c r="V916" s="781"/>
      <c r="W916" s="781"/>
      <c r="X916" s="781"/>
      <c r="Y916" s="781"/>
      <c r="Z916" s="781"/>
      <c r="AA916" s="781"/>
      <c r="AB916" s="781"/>
      <c r="AC916" s="781"/>
      <c r="AD916" s="781"/>
      <c r="AE916" s="781"/>
      <c r="AF916" s="781"/>
      <c r="AG916" s="781"/>
      <c r="AH916" s="781"/>
      <c r="AI916" s="781"/>
      <c r="AJ916" s="781"/>
      <c r="AK916" s="781"/>
      <c r="AL916" s="781"/>
      <c r="AM916" s="781"/>
      <c r="AN916" s="781"/>
      <c r="AO916" s="781"/>
      <c r="AP916" s="781"/>
      <c r="AQ916" s="781"/>
      <c r="AR916" s="781"/>
      <c r="AS916" s="781"/>
      <c r="AT916" s="781"/>
      <c r="AU916" s="781"/>
    </row>
    <row r="917" ht="15.75" customHeight="1">
      <c r="A917" s="782">
        <v>44686.0</v>
      </c>
      <c r="B917" s="852">
        <v>3600186.0</v>
      </c>
      <c r="C917" s="737" t="s">
        <v>3820</v>
      </c>
      <c r="D917" s="772" t="s">
        <v>6345</v>
      </c>
      <c r="E917" s="784">
        <v>1122976.82</v>
      </c>
      <c r="F917" s="737" t="s">
        <v>5295</v>
      </c>
      <c r="G917" s="761" t="s">
        <v>18</v>
      </c>
      <c r="H917" s="852" t="s">
        <v>19</v>
      </c>
      <c r="I917" s="761" t="s">
        <v>4152</v>
      </c>
      <c r="J917" s="808">
        <v>44454.0</v>
      </c>
      <c r="K917" s="810" t="s">
        <v>3834</v>
      </c>
      <c r="L917" s="781"/>
      <c r="M917" s="781"/>
      <c r="N917" s="781"/>
      <c r="O917" s="781"/>
      <c r="P917" s="781"/>
      <c r="Q917" s="781"/>
      <c r="R917" s="781"/>
      <c r="S917" s="781"/>
      <c r="T917" s="781"/>
      <c r="U917" s="781"/>
      <c r="V917" s="781"/>
      <c r="W917" s="781"/>
      <c r="X917" s="781"/>
      <c r="Y917" s="781"/>
      <c r="Z917" s="781"/>
      <c r="AA917" s="781"/>
      <c r="AB917" s="781"/>
      <c r="AC917" s="781"/>
      <c r="AD917" s="781"/>
      <c r="AE917" s="781"/>
      <c r="AF917" s="781"/>
      <c r="AG917" s="781"/>
      <c r="AH917" s="781"/>
      <c r="AI917" s="781"/>
      <c r="AJ917" s="781"/>
      <c r="AK917" s="781"/>
      <c r="AL917" s="781"/>
      <c r="AM917" s="781"/>
      <c r="AN917" s="781"/>
      <c r="AO917" s="781"/>
      <c r="AP917" s="781"/>
      <c r="AQ917" s="781"/>
      <c r="AR917" s="781"/>
      <c r="AS917" s="781"/>
      <c r="AT917" s="781"/>
      <c r="AU917" s="781"/>
    </row>
    <row r="918" ht="15.75" customHeight="1">
      <c r="A918" s="782">
        <v>44686.0</v>
      </c>
      <c r="B918" s="852" t="s">
        <v>6572</v>
      </c>
      <c r="C918" s="737" t="s">
        <v>3820</v>
      </c>
      <c r="D918" s="772" t="s">
        <v>6346</v>
      </c>
      <c r="E918" s="784">
        <v>50000.87</v>
      </c>
      <c r="F918" s="737" t="s">
        <v>1669</v>
      </c>
      <c r="G918" s="761" t="s">
        <v>18</v>
      </c>
      <c r="H918" s="852" t="s">
        <v>19</v>
      </c>
      <c r="I918" s="761" t="s">
        <v>256</v>
      </c>
      <c r="J918" s="808">
        <v>44379.0</v>
      </c>
      <c r="K918" s="810" t="s">
        <v>3824</v>
      </c>
      <c r="L918" s="781"/>
      <c r="M918" s="781"/>
      <c r="N918" s="781"/>
      <c r="O918" s="781"/>
      <c r="P918" s="781"/>
      <c r="Q918" s="781"/>
      <c r="R918" s="781"/>
      <c r="S918" s="781"/>
      <c r="T918" s="781"/>
      <c r="U918" s="781"/>
      <c r="V918" s="781"/>
      <c r="W918" s="781"/>
      <c r="X918" s="781"/>
      <c r="Y918" s="781"/>
      <c r="Z918" s="781"/>
      <c r="AA918" s="781"/>
      <c r="AB918" s="781"/>
      <c r="AC918" s="781"/>
      <c r="AD918" s="781"/>
      <c r="AE918" s="781"/>
      <c r="AF918" s="781"/>
      <c r="AG918" s="781"/>
      <c r="AH918" s="781"/>
      <c r="AI918" s="781"/>
      <c r="AJ918" s="781"/>
      <c r="AK918" s="781"/>
      <c r="AL918" s="781"/>
      <c r="AM918" s="781"/>
      <c r="AN918" s="781"/>
      <c r="AO918" s="781"/>
      <c r="AP918" s="781"/>
      <c r="AQ918" s="781"/>
      <c r="AR918" s="781"/>
      <c r="AS918" s="781"/>
      <c r="AT918" s="781"/>
      <c r="AU918" s="781"/>
    </row>
    <row r="919" ht="15.75" customHeight="1">
      <c r="A919" s="782">
        <v>44686.0</v>
      </c>
      <c r="B919" s="852">
        <v>4920156.0</v>
      </c>
      <c r="C919" s="737" t="s">
        <v>3820</v>
      </c>
      <c r="D919" s="772" t="s">
        <v>6346</v>
      </c>
      <c r="E919" s="784">
        <v>10000.0</v>
      </c>
      <c r="F919" s="737" t="s">
        <v>4388</v>
      </c>
      <c r="G919" s="761" t="s">
        <v>105</v>
      </c>
      <c r="H919" s="852" t="s">
        <v>29</v>
      </c>
      <c r="I919" s="761" t="s">
        <v>3887</v>
      </c>
      <c r="J919" s="808">
        <v>44263.0</v>
      </c>
      <c r="K919" s="810" t="s">
        <v>3828</v>
      </c>
      <c r="L919" s="781"/>
      <c r="M919" s="781"/>
      <c r="N919" s="781"/>
      <c r="O919" s="781"/>
      <c r="P919" s="781"/>
      <c r="Q919" s="781"/>
      <c r="R919" s="781"/>
      <c r="S919" s="781"/>
      <c r="T919" s="781"/>
      <c r="U919" s="781"/>
      <c r="V919" s="781"/>
      <c r="W919" s="781"/>
      <c r="X919" s="781"/>
      <c r="Y919" s="781"/>
      <c r="Z919" s="781"/>
      <c r="AA919" s="781"/>
      <c r="AB919" s="781"/>
      <c r="AC919" s="781"/>
      <c r="AD919" s="781"/>
      <c r="AE919" s="781"/>
      <c r="AF919" s="781"/>
      <c r="AG919" s="781"/>
      <c r="AH919" s="781"/>
      <c r="AI919" s="781"/>
      <c r="AJ919" s="781"/>
      <c r="AK919" s="781"/>
      <c r="AL919" s="781"/>
      <c r="AM919" s="781"/>
      <c r="AN919" s="781"/>
      <c r="AO919" s="781"/>
      <c r="AP919" s="781"/>
      <c r="AQ919" s="781"/>
      <c r="AR919" s="781"/>
      <c r="AS919" s="781"/>
      <c r="AT919" s="781"/>
      <c r="AU919" s="781"/>
    </row>
    <row r="920" ht="15.75" customHeight="1">
      <c r="A920" s="782">
        <v>44687.0</v>
      </c>
      <c r="B920" s="737" t="s">
        <v>2854</v>
      </c>
      <c r="C920" s="737" t="s">
        <v>2547</v>
      </c>
      <c r="D920" s="772" t="s">
        <v>6346</v>
      </c>
      <c r="E920" s="784">
        <v>10000.0</v>
      </c>
      <c r="F920" s="852" t="s">
        <v>831</v>
      </c>
      <c r="G920" s="761" t="s">
        <v>18</v>
      </c>
      <c r="H920" s="852" t="s">
        <v>176</v>
      </c>
      <c r="I920" s="761" t="s">
        <v>197</v>
      </c>
      <c r="J920" s="808">
        <v>44328.0</v>
      </c>
      <c r="K920" s="810" t="s">
        <v>3824</v>
      </c>
      <c r="L920" s="781"/>
      <c r="M920" s="781"/>
      <c r="N920" s="781"/>
      <c r="O920" s="781"/>
      <c r="P920" s="781"/>
      <c r="Q920" s="781"/>
      <c r="R920" s="781"/>
      <c r="S920" s="781"/>
      <c r="T920" s="781"/>
      <c r="U920" s="781"/>
      <c r="V920" s="781"/>
      <c r="W920" s="781"/>
      <c r="X920" s="781"/>
      <c r="Y920" s="781"/>
      <c r="Z920" s="781"/>
      <c r="AA920" s="781"/>
      <c r="AB920" s="781"/>
      <c r="AC920" s="781"/>
      <c r="AD920" s="781"/>
      <c r="AE920" s="781"/>
      <c r="AF920" s="781"/>
      <c r="AG920" s="781"/>
      <c r="AH920" s="781"/>
      <c r="AI920" s="781"/>
      <c r="AJ920" s="781"/>
      <c r="AK920" s="781"/>
      <c r="AL920" s="781"/>
      <c r="AM920" s="781"/>
      <c r="AN920" s="781"/>
      <c r="AO920" s="781"/>
      <c r="AP920" s="781"/>
      <c r="AQ920" s="781"/>
      <c r="AR920" s="781"/>
      <c r="AS920" s="781"/>
      <c r="AT920" s="781"/>
      <c r="AU920" s="781"/>
    </row>
    <row r="921" ht="15.75" customHeight="1">
      <c r="A921" s="782">
        <v>44687.0</v>
      </c>
      <c r="B921" s="737" t="s">
        <v>3226</v>
      </c>
      <c r="C921" s="737" t="s">
        <v>2547</v>
      </c>
      <c r="D921" s="772" t="s">
        <v>6346</v>
      </c>
      <c r="E921" s="784">
        <v>100000.0</v>
      </c>
      <c r="F921" s="852" t="s">
        <v>3225</v>
      </c>
      <c r="G921" s="761" t="s">
        <v>18</v>
      </c>
      <c r="H921" s="852" t="s">
        <v>176</v>
      </c>
      <c r="I921" s="761" t="s">
        <v>177</v>
      </c>
      <c r="J921" s="808">
        <v>44323.0</v>
      </c>
      <c r="K921" s="810" t="s">
        <v>3869</v>
      </c>
      <c r="L921" s="781"/>
      <c r="M921" s="781"/>
      <c r="N921" s="781"/>
      <c r="O921" s="781"/>
      <c r="P921" s="781"/>
      <c r="Q921" s="781"/>
      <c r="R921" s="781"/>
      <c r="S921" s="781"/>
      <c r="T921" s="781"/>
      <c r="U921" s="781"/>
      <c r="V921" s="781"/>
      <c r="W921" s="781"/>
      <c r="X921" s="781"/>
      <c r="Y921" s="781"/>
      <c r="Z921" s="781"/>
      <c r="AA921" s="781"/>
      <c r="AB921" s="781"/>
      <c r="AC921" s="781"/>
      <c r="AD921" s="781"/>
      <c r="AE921" s="781"/>
      <c r="AF921" s="781"/>
      <c r="AG921" s="781"/>
      <c r="AH921" s="781"/>
      <c r="AI921" s="781"/>
      <c r="AJ921" s="781"/>
      <c r="AK921" s="781"/>
      <c r="AL921" s="781"/>
      <c r="AM921" s="781"/>
      <c r="AN921" s="781"/>
      <c r="AO921" s="781"/>
      <c r="AP921" s="781"/>
      <c r="AQ921" s="781"/>
      <c r="AR921" s="781"/>
      <c r="AS921" s="781"/>
      <c r="AT921" s="781"/>
      <c r="AU921" s="781"/>
    </row>
    <row r="922" ht="15.75" customHeight="1">
      <c r="A922" s="782">
        <v>44687.0</v>
      </c>
      <c r="B922" s="852">
        <v>4862815.0</v>
      </c>
      <c r="C922" s="737" t="s">
        <v>3820</v>
      </c>
      <c r="D922" s="772" t="s">
        <v>6346</v>
      </c>
      <c r="E922" s="784">
        <v>70000.0</v>
      </c>
      <c r="F922" s="737" t="s">
        <v>6573</v>
      </c>
      <c r="G922" s="761" t="s">
        <v>18</v>
      </c>
      <c r="H922" s="852" t="s">
        <v>19</v>
      </c>
      <c r="I922" s="761" t="s">
        <v>256</v>
      </c>
      <c r="J922" s="808">
        <v>44251.0</v>
      </c>
      <c r="K922" s="810" t="s">
        <v>3840</v>
      </c>
      <c r="L922" s="781"/>
      <c r="M922" s="781"/>
      <c r="N922" s="781"/>
      <c r="O922" s="781"/>
      <c r="P922" s="781"/>
      <c r="Q922" s="781"/>
      <c r="R922" s="781"/>
      <c r="S922" s="781"/>
      <c r="T922" s="781"/>
      <c r="U922" s="781"/>
      <c r="V922" s="781"/>
      <c r="W922" s="781"/>
      <c r="X922" s="781"/>
      <c r="Y922" s="781"/>
      <c r="Z922" s="781"/>
      <c r="AA922" s="781"/>
      <c r="AB922" s="781"/>
      <c r="AC922" s="781"/>
      <c r="AD922" s="781"/>
      <c r="AE922" s="781"/>
      <c r="AF922" s="781"/>
      <c r="AG922" s="781"/>
      <c r="AH922" s="781"/>
      <c r="AI922" s="781"/>
      <c r="AJ922" s="781"/>
      <c r="AK922" s="781"/>
      <c r="AL922" s="781"/>
      <c r="AM922" s="781"/>
      <c r="AN922" s="781"/>
      <c r="AO922" s="781"/>
      <c r="AP922" s="781"/>
      <c r="AQ922" s="781"/>
      <c r="AR922" s="781"/>
      <c r="AS922" s="781"/>
      <c r="AT922" s="781"/>
      <c r="AU922" s="781"/>
    </row>
    <row r="923" ht="15.75" customHeight="1">
      <c r="A923" s="782">
        <v>44691.0</v>
      </c>
      <c r="B923" s="852">
        <v>4345500.0</v>
      </c>
      <c r="C923" s="737" t="s">
        <v>2547</v>
      </c>
      <c r="D923" s="772" t="s">
        <v>6346</v>
      </c>
      <c r="E923" s="784">
        <v>35000.0</v>
      </c>
      <c r="F923" s="737" t="s">
        <v>2981</v>
      </c>
      <c r="G923" s="761" t="s">
        <v>2550</v>
      </c>
      <c r="H923" s="852" t="s">
        <v>29</v>
      </c>
      <c r="I923" s="761" t="s">
        <v>2551</v>
      </c>
      <c r="J923" s="808">
        <v>43703.0</v>
      </c>
      <c r="K923" s="810" t="s">
        <v>4206</v>
      </c>
      <c r="L923" s="781"/>
      <c r="M923" s="781"/>
      <c r="N923" s="781"/>
      <c r="O923" s="781"/>
      <c r="P923" s="781"/>
      <c r="Q923" s="781"/>
      <c r="R923" s="781"/>
      <c r="S923" s="781"/>
      <c r="T923" s="781"/>
      <c r="U923" s="781"/>
      <c r="V923" s="781"/>
      <c r="W923" s="781"/>
      <c r="X923" s="781"/>
      <c r="Y923" s="781"/>
      <c r="Z923" s="781"/>
      <c r="AA923" s="781"/>
      <c r="AB923" s="781"/>
      <c r="AC923" s="781"/>
      <c r="AD923" s="781"/>
      <c r="AE923" s="781"/>
      <c r="AF923" s="781"/>
      <c r="AG923" s="781"/>
      <c r="AH923" s="781"/>
      <c r="AI923" s="781"/>
      <c r="AJ923" s="781"/>
      <c r="AK923" s="781"/>
      <c r="AL923" s="781"/>
      <c r="AM923" s="781"/>
      <c r="AN923" s="781"/>
      <c r="AO923" s="781"/>
      <c r="AP923" s="781"/>
      <c r="AQ923" s="781"/>
      <c r="AR923" s="781"/>
      <c r="AS923" s="781"/>
      <c r="AT923" s="781"/>
      <c r="AU923" s="781"/>
    </row>
    <row r="924" ht="15.75" customHeight="1">
      <c r="A924" s="782">
        <v>44691.0</v>
      </c>
      <c r="B924" s="737">
        <v>3952119.0</v>
      </c>
      <c r="C924" s="737" t="s">
        <v>3820</v>
      </c>
      <c r="D924" s="772" t="s">
        <v>6346</v>
      </c>
      <c r="E924" s="784">
        <v>7000.0</v>
      </c>
      <c r="F924" s="852" t="s">
        <v>184</v>
      </c>
      <c r="G924" s="761" t="s">
        <v>18</v>
      </c>
      <c r="H924" s="852" t="s">
        <v>29</v>
      </c>
      <c r="I924" s="761" t="s">
        <v>6336</v>
      </c>
      <c r="J924" s="808">
        <v>44335.0</v>
      </c>
      <c r="K924" s="810" t="s">
        <v>3869</v>
      </c>
      <c r="L924" s="781"/>
      <c r="M924" s="781"/>
      <c r="N924" s="781"/>
      <c r="O924" s="781"/>
      <c r="P924" s="781"/>
      <c r="Q924" s="781"/>
      <c r="R924" s="781"/>
      <c r="S924" s="781"/>
      <c r="T924" s="781"/>
      <c r="U924" s="781"/>
      <c r="V924" s="781"/>
      <c r="W924" s="781"/>
      <c r="X924" s="781"/>
      <c r="Y924" s="781"/>
      <c r="Z924" s="781"/>
      <c r="AA924" s="781"/>
      <c r="AB924" s="781"/>
      <c r="AC924" s="781"/>
      <c r="AD924" s="781"/>
      <c r="AE924" s="781"/>
      <c r="AF924" s="781"/>
      <c r="AG924" s="781"/>
      <c r="AH924" s="781"/>
      <c r="AI924" s="781"/>
      <c r="AJ924" s="781"/>
      <c r="AK924" s="781"/>
      <c r="AL924" s="781"/>
      <c r="AM924" s="781"/>
      <c r="AN924" s="781"/>
      <c r="AO924" s="781"/>
      <c r="AP924" s="781"/>
      <c r="AQ924" s="781"/>
      <c r="AR924" s="781"/>
      <c r="AS924" s="781"/>
      <c r="AT924" s="781"/>
      <c r="AU924" s="781"/>
    </row>
    <row r="925" ht="15.75" customHeight="1">
      <c r="A925" s="782">
        <v>44691.0</v>
      </c>
      <c r="B925" s="737">
        <v>5681841.0</v>
      </c>
      <c r="C925" s="737" t="s">
        <v>3820</v>
      </c>
      <c r="D925" s="772" t="s">
        <v>6346</v>
      </c>
      <c r="E925" s="784">
        <v>50000.0</v>
      </c>
      <c r="F925" s="852" t="s">
        <v>5260</v>
      </c>
      <c r="G925" s="761" t="s">
        <v>18</v>
      </c>
      <c r="H925" s="772" t="s">
        <v>19</v>
      </c>
      <c r="I925" s="772" t="s">
        <v>122</v>
      </c>
      <c r="J925" s="819">
        <v>44469.0</v>
      </c>
      <c r="K925" s="810" t="s">
        <v>3836</v>
      </c>
      <c r="L925" s="781"/>
      <c r="M925" s="781"/>
      <c r="N925" s="781"/>
      <c r="O925" s="781"/>
      <c r="P925" s="781"/>
      <c r="Q925" s="781"/>
      <c r="R925" s="781"/>
      <c r="S925" s="781"/>
      <c r="T925" s="781"/>
      <c r="U925" s="781"/>
      <c r="V925" s="781"/>
      <c r="W925" s="781"/>
      <c r="X925" s="781"/>
      <c r="Y925" s="781"/>
      <c r="Z925" s="781"/>
      <c r="AA925" s="781"/>
      <c r="AB925" s="781"/>
      <c r="AC925" s="781"/>
      <c r="AD925" s="781"/>
      <c r="AE925" s="781"/>
      <c r="AF925" s="781"/>
      <c r="AG925" s="781"/>
      <c r="AH925" s="781"/>
      <c r="AI925" s="781"/>
      <c r="AJ925" s="781"/>
      <c r="AK925" s="781"/>
      <c r="AL925" s="781"/>
      <c r="AM925" s="781"/>
      <c r="AN925" s="781"/>
      <c r="AO925" s="781"/>
      <c r="AP925" s="781"/>
      <c r="AQ925" s="781"/>
      <c r="AR925" s="781"/>
      <c r="AS925" s="781"/>
      <c r="AT925" s="781"/>
      <c r="AU925" s="781"/>
    </row>
    <row r="926" ht="15.75" customHeight="1">
      <c r="A926" s="782">
        <v>44691.0</v>
      </c>
      <c r="B926" s="737">
        <v>322629.0</v>
      </c>
      <c r="C926" s="737" t="s">
        <v>2547</v>
      </c>
      <c r="D926" s="772" t="s">
        <v>6346</v>
      </c>
      <c r="E926" s="784">
        <v>520000.0</v>
      </c>
      <c r="F926" s="852" t="s">
        <v>343</v>
      </c>
      <c r="G926" s="761" t="s">
        <v>18</v>
      </c>
      <c r="H926" s="772" t="s">
        <v>176</v>
      </c>
      <c r="I926" s="772" t="s">
        <v>177</v>
      </c>
      <c r="J926" s="819">
        <v>44267.0</v>
      </c>
      <c r="K926" s="810" t="s">
        <v>3828</v>
      </c>
      <c r="L926" s="781"/>
      <c r="M926" s="781"/>
      <c r="N926" s="781"/>
      <c r="O926" s="781"/>
      <c r="P926" s="781"/>
      <c r="Q926" s="781"/>
      <c r="R926" s="781"/>
      <c r="S926" s="781"/>
      <c r="T926" s="781"/>
      <c r="U926" s="781"/>
      <c r="V926" s="781"/>
      <c r="W926" s="781"/>
      <c r="X926" s="781"/>
      <c r="Y926" s="781"/>
      <c r="Z926" s="781"/>
      <c r="AA926" s="781"/>
      <c r="AB926" s="781"/>
      <c r="AC926" s="781"/>
      <c r="AD926" s="781"/>
      <c r="AE926" s="781"/>
      <c r="AF926" s="781"/>
      <c r="AG926" s="781"/>
      <c r="AH926" s="781"/>
      <c r="AI926" s="781"/>
      <c r="AJ926" s="781"/>
      <c r="AK926" s="781"/>
      <c r="AL926" s="781"/>
      <c r="AM926" s="781"/>
      <c r="AN926" s="781"/>
      <c r="AO926" s="781"/>
      <c r="AP926" s="781"/>
      <c r="AQ926" s="781"/>
      <c r="AR926" s="781"/>
      <c r="AS926" s="781"/>
      <c r="AT926" s="781"/>
      <c r="AU926" s="781"/>
    </row>
    <row r="927" ht="15.75" customHeight="1">
      <c r="A927" s="782">
        <v>44691.0</v>
      </c>
      <c r="B927" s="737" t="s">
        <v>2798</v>
      </c>
      <c r="C927" s="737" t="s">
        <v>2547</v>
      </c>
      <c r="D927" s="772" t="s">
        <v>6346</v>
      </c>
      <c r="E927" s="784">
        <v>30995.22</v>
      </c>
      <c r="F927" s="852" t="s">
        <v>649</v>
      </c>
      <c r="G927" s="761" t="s">
        <v>18</v>
      </c>
      <c r="H927" s="852" t="s">
        <v>176</v>
      </c>
      <c r="I927" s="761" t="s">
        <v>177</v>
      </c>
      <c r="J927" s="808">
        <v>44280.0</v>
      </c>
      <c r="K927" s="810" t="s">
        <v>3828</v>
      </c>
      <c r="L927" s="781"/>
      <c r="M927" s="781"/>
      <c r="N927" s="781"/>
      <c r="O927" s="781"/>
      <c r="P927" s="781"/>
      <c r="Q927" s="781"/>
      <c r="R927" s="781"/>
      <c r="S927" s="781"/>
      <c r="T927" s="781"/>
      <c r="U927" s="781"/>
      <c r="V927" s="781"/>
      <c r="W927" s="781"/>
      <c r="X927" s="781"/>
      <c r="Y927" s="781"/>
      <c r="Z927" s="781"/>
      <c r="AA927" s="781"/>
      <c r="AB927" s="781"/>
      <c r="AC927" s="781"/>
      <c r="AD927" s="781"/>
      <c r="AE927" s="781"/>
      <c r="AF927" s="781"/>
      <c r="AG927" s="781"/>
      <c r="AH927" s="781"/>
      <c r="AI927" s="781"/>
      <c r="AJ927" s="781"/>
      <c r="AK927" s="781"/>
      <c r="AL927" s="781"/>
      <c r="AM927" s="781"/>
      <c r="AN927" s="781"/>
      <c r="AO927" s="781"/>
      <c r="AP927" s="781"/>
      <c r="AQ927" s="781"/>
      <c r="AR927" s="781"/>
      <c r="AS927" s="781"/>
      <c r="AT927" s="781"/>
      <c r="AU927" s="781"/>
    </row>
    <row r="928" ht="15.75" customHeight="1">
      <c r="A928" s="782">
        <v>44692.0</v>
      </c>
      <c r="B928" s="737">
        <v>461432.0</v>
      </c>
      <c r="C928" s="737" t="s">
        <v>2547</v>
      </c>
      <c r="D928" s="772" t="s">
        <v>6346</v>
      </c>
      <c r="E928" s="784">
        <v>89300.0</v>
      </c>
      <c r="F928" s="852" t="s">
        <v>3598</v>
      </c>
      <c r="G928" s="761" t="s">
        <v>18</v>
      </c>
      <c r="H928" s="772" t="s">
        <v>176</v>
      </c>
      <c r="I928" s="772" t="s">
        <v>197</v>
      </c>
      <c r="J928" s="819">
        <v>44319.0</v>
      </c>
      <c r="K928" s="810" t="s">
        <v>3840</v>
      </c>
      <c r="L928" s="781"/>
      <c r="M928" s="781"/>
      <c r="N928" s="781"/>
      <c r="O928" s="781"/>
      <c r="P928" s="781"/>
      <c r="Q928" s="781"/>
      <c r="R928" s="781"/>
      <c r="S928" s="781"/>
      <c r="T928" s="781"/>
      <c r="U928" s="781"/>
      <c r="V928" s="781"/>
      <c r="W928" s="781"/>
      <c r="X928" s="781"/>
      <c r="Y928" s="781"/>
      <c r="Z928" s="781"/>
      <c r="AA928" s="781"/>
      <c r="AB928" s="781"/>
      <c r="AC928" s="781"/>
      <c r="AD928" s="781"/>
      <c r="AE928" s="781"/>
      <c r="AF928" s="781"/>
      <c r="AG928" s="781"/>
      <c r="AH928" s="781"/>
      <c r="AI928" s="781"/>
      <c r="AJ928" s="781"/>
      <c r="AK928" s="781"/>
      <c r="AL928" s="781"/>
      <c r="AM928" s="781"/>
      <c r="AN928" s="781"/>
      <c r="AO928" s="781"/>
      <c r="AP928" s="781"/>
      <c r="AQ928" s="781"/>
      <c r="AR928" s="781"/>
      <c r="AS928" s="781"/>
      <c r="AT928" s="781"/>
      <c r="AU928" s="781"/>
    </row>
    <row r="929" ht="15.75" customHeight="1">
      <c r="A929" s="782">
        <v>44692.0</v>
      </c>
      <c r="B929" s="783" t="s">
        <v>6511</v>
      </c>
      <c r="C929" s="737" t="s">
        <v>3820</v>
      </c>
      <c r="D929" s="772" t="s">
        <v>6346</v>
      </c>
      <c r="E929" s="784">
        <v>30000.0</v>
      </c>
      <c r="F929" s="772" t="s">
        <v>1552</v>
      </c>
      <c r="G929" s="801" t="s">
        <v>18</v>
      </c>
      <c r="H929" s="772" t="s">
        <v>29</v>
      </c>
      <c r="I929" s="782" t="s">
        <v>5047</v>
      </c>
      <c r="J929" s="782">
        <v>44594.0</v>
      </c>
      <c r="K929" s="772" t="s">
        <v>3834</v>
      </c>
      <c r="L929" s="781"/>
      <c r="M929" s="781"/>
      <c r="N929" s="781"/>
      <c r="O929" s="781"/>
      <c r="P929" s="781"/>
      <c r="Q929" s="781"/>
      <c r="R929" s="781"/>
      <c r="S929" s="781"/>
      <c r="T929" s="781"/>
      <c r="U929" s="781"/>
      <c r="V929" s="781"/>
      <c r="W929" s="781"/>
      <c r="X929" s="781"/>
      <c r="Y929" s="781"/>
      <c r="Z929" s="781"/>
      <c r="AA929" s="781"/>
      <c r="AB929" s="781"/>
      <c r="AC929" s="781"/>
      <c r="AD929" s="781"/>
      <c r="AE929" s="781"/>
      <c r="AF929" s="781"/>
      <c r="AG929" s="781"/>
      <c r="AH929" s="781"/>
      <c r="AI929" s="781"/>
      <c r="AJ929" s="781"/>
      <c r="AK929" s="781"/>
      <c r="AL929" s="781"/>
      <c r="AM929" s="781"/>
      <c r="AN929" s="781"/>
      <c r="AO929" s="781"/>
      <c r="AP929" s="781"/>
      <c r="AQ929" s="781"/>
      <c r="AR929" s="781"/>
      <c r="AS929" s="781"/>
      <c r="AT929" s="781"/>
      <c r="AU929" s="781"/>
    </row>
    <row r="930" ht="15.75" customHeight="1">
      <c r="A930" s="782">
        <v>44693.0</v>
      </c>
      <c r="B930" s="737">
        <v>2214585.0</v>
      </c>
      <c r="C930" s="737" t="s">
        <v>3820</v>
      </c>
      <c r="D930" s="772" t="s">
        <v>6346</v>
      </c>
      <c r="E930" s="784">
        <v>296037.19</v>
      </c>
      <c r="F930" s="852" t="s">
        <v>4983</v>
      </c>
      <c r="G930" s="761" t="s">
        <v>105</v>
      </c>
      <c r="H930" s="772" t="s">
        <v>29</v>
      </c>
      <c r="I930" s="772" t="s">
        <v>3993</v>
      </c>
      <c r="J930" s="819">
        <v>44085.0</v>
      </c>
      <c r="K930" s="810" t="s">
        <v>3824</v>
      </c>
      <c r="L930" s="781"/>
      <c r="M930" s="781"/>
      <c r="N930" s="781"/>
      <c r="O930" s="781"/>
      <c r="P930" s="781"/>
      <c r="Q930" s="781"/>
      <c r="R930" s="781"/>
      <c r="S930" s="781"/>
      <c r="T930" s="781"/>
      <c r="U930" s="781"/>
      <c r="V930" s="781"/>
      <c r="W930" s="781"/>
      <c r="X930" s="781"/>
      <c r="Y930" s="781"/>
      <c r="Z930" s="781"/>
      <c r="AA930" s="781"/>
      <c r="AB930" s="781"/>
      <c r="AC930" s="781"/>
      <c r="AD930" s="781"/>
      <c r="AE930" s="781"/>
      <c r="AF930" s="781"/>
      <c r="AG930" s="781"/>
      <c r="AH930" s="781"/>
      <c r="AI930" s="781"/>
      <c r="AJ930" s="781"/>
      <c r="AK930" s="781"/>
      <c r="AL930" s="781"/>
      <c r="AM930" s="781"/>
      <c r="AN930" s="781"/>
      <c r="AO930" s="781"/>
      <c r="AP930" s="781"/>
      <c r="AQ930" s="781"/>
      <c r="AR930" s="781"/>
      <c r="AS930" s="781"/>
      <c r="AT930" s="781"/>
      <c r="AU930" s="781"/>
    </row>
    <row r="931" ht="15.75" customHeight="1">
      <c r="A931" s="782">
        <v>44693.0</v>
      </c>
      <c r="B931" s="737">
        <v>4886679.0</v>
      </c>
      <c r="C931" s="737" t="s">
        <v>3820</v>
      </c>
      <c r="D931" s="772" t="s">
        <v>6346</v>
      </c>
      <c r="E931" s="784">
        <v>187153.1</v>
      </c>
      <c r="F931" s="852" t="s">
        <v>4988</v>
      </c>
      <c r="G931" s="761" t="s">
        <v>105</v>
      </c>
      <c r="H931" s="772" t="s">
        <v>29</v>
      </c>
      <c r="I931" s="772" t="s">
        <v>3660</v>
      </c>
      <c r="J931" s="772">
        <v>0.0</v>
      </c>
      <c r="K931" s="810" t="s">
        <v>3869</v>
      </c>
      <c r="L931" s="781"/>
      <c r="M931" s="781"/>
      <c r="N931" s="781"/>
      <c r="O931" s="781"/>
      <c r="P931" s="781"/>
      <c r="Q931" s="781"/>
      <c r="R931" s="781"/>
      <c r="S931" s="781"/>
      <c r="T931" s="781"/>
      <c r="U931" s="781"/>
      <c r="V931" s="781"/>
      <c r="W931" s="781"/>
      <c r="X931" s="781"/>
      <c r="Y931" s="781"/>
      <c r="Z931" s="781"/>
      <c r="AA931" s="781"/>
      <c r="AB931" s="781"/>
      <c r="AC931" s="781"/>
      <c r="AD931" s="781"/>
      <c r="AE931" s="781"/>
      <c r="AF931" s="781"/>
      <c r="AG931" s="781"/>
      <c r="AH931" s="781"/>
      <c r="AI931" s="781"/>
      <c r="AJ931" s="781"/>
      <c r="AK931" s="781"/>
      <c r="AL931" s="781"/>
      <c r="AM931" s="781"/>
      <c r="AN931" s="781"/>
      <c r="AO931" s="781"/>
      <c r="AP931" s="781"/>
      <c r="AQ931" s="781"/>
      <c r="AR931" s="781"/>
      <c r="AS931" s="781"/>
      <c r="AT931" s="781"/>
      <c r="AU931" s="781"/>
    </row>
    <row r="932" ht="15.75" customHeight="1">
      <c r="A932" s="782">
        <v>44693.0</v>
      </c>
      <c r="B932" s="737">
        <v>4084071.0</v>
      </c>
      <c r="C932" s="737" t="s">
        <v>3820</v>
      </c>
      <c r="D932" s="772" t="s">
        <v>6346</v>
      </c>
      <c r="E932" s="784">
        <v>15000.0</v>
      </c>
      <c r="F932" s="852" t="s">
        <v>3832</v>
      </c>
      <c r="G932" s="761" t="s">
        <v>18</v>
      </c>
      <c r="H932" s="852" t="s">
        <v>29</v>
      </c>
      <c r="I932" s="761" t="s">
        <v>3833</v>
      </c>
      <c r="J932" s="808">
        <v>44326.0</v>
      </c>
      <c r="K932" s="810" t="s">
        <v>3828</v>
      </c>
      <c r="L932" s="781"/>
      <c r="M932" s="781"/>
      <c r="N932" s="781"/>
      <c r="O932" s="781"/>
      <c r="P932" s="781"/>
      <c r="Q932" s="781"/>
      <c r="R932" s="781"/>
      <c r="S932" s="781"/>
      <c r="T932" s="781"/>
      <c r="U932" s="781"/>
      <c r="V932" s="781"/>
      <c r="W932" s="781"/>
      <c r="X932" s="781"/>
      <c r="Y932" s="781"/>
      <c r="Z932" s="781"/>
      <c r="AA932" s="781"/>
      <c r="AB932" s="781"/>
      <c r="AC932" s="781"/>
      <c r="AD932" s="781"/>
      <c r="AE932" s="781"/>
      <c r="AF932" s="781"/>
      <c r="AG932" s="781"/>
      <c r="AH932" s="781"/>
      <c r="AI932" s="781"/>
      <c r="AJ932" s="781"/>
      <c r="AK932" s="781"/>
      <c r="AL932" s="781"/>
      <c r="AM932" s="781"/>
      <c r="AN932" s="781"/>
      <c r="AO932" s="781"/>
      <c r="AP932" s="781"/>
      <c r="AQ932" s="781"/>
      <c r="AR932" s="781"/>
      <c r="AS932" s="781"/>
      <c r="AT932" s="781"/>
      <c r="AU932" s="781"/>
    </row>
    <row r="933" ht="15.75" customHeight="1">
      <c r="A933" s="782">
        <v>44693.0</v>
      </c>
      <c r="B933" s="796" t="s">
        <v>3059</v>
      </c>
      <c r="C933" s="797" t="s">
        <v>2547</v>
      </c>
      <c r="D933" s="772" t="s">
        <v>6346</v>
      </c>
      <c r="E933" s="798">
        <v>10000.0</v>
      </c>
      <c r="F933" s="772" t="s">
        <v>3058</v>
      </c>
      <c r="G933" s="782" t="s">
        <v>18</v>
      </c>
      <c r="H933" s="782" t="s">
        <v>176</v>
      </c>
      <c r="I933" s="782" t="s">
        <v>2634</v>
      </c>
      <c r="J933" s="782">
        <v>44266.0</v>
      </c>
      <c r="K933" s="782" t="s">
        <v>3836</v>
      </c>
      <c r="L933" s="781"/>
      <c r="M933" s="781"/>
      <c r="N933" s="781"/>
      <c r="O933" s="781"/>
      <c r="P933" s="781"/>
      <c r="Q933" s="781"/>
      <c r="R933" s="781"/>
      <c r="S933" s="781"/>
      <c r="T933" s="781"/>
      <c r="U933" s="781"/>
      <c r="V933" s="781"/>
      <c r="W933" s="781"/>
      <c r="X933" s="781"/>
      <c r="Y933" s="781"/>
      <c r="Z933" s="781"/>
      <c r="AA933" s="781"/>
      <c r="AB933" s="781"/>
      <c r="AC933" s="781"/>
      <c r="AD933" s="781"/>
      <c r="AE933" s="781"/>
      <c r="AF933" s="781"/>
      <c r="AG933" s="781"/>
      <c r="AH933" s="781"/>
      <c r="AI933" s="781"/>
      <c r="AJ933" s="781"/>
      <c r="AK933" s="781"/>
      <c r="AL933" s="781"/>
      <c r="AM933" s="781"/>
      <c r="AN933" s="781"/>
      <c r="AO933" s="781"/>
      <c r="AP933" s="781"/>
      <c r="AQ933" s="781"/>
      <c r="AR933" s="781"/>
      <c r="AS933" s="781"/>
      <c r="AT933" s="781"/>
      <c r="AU933" s="781"/>
    </row>
    <row r="934" ht="15.75" customHeight="1">
      <c r="A934" s="782">
        <v>44694.0</v>
      </c>
      <c r="B934" s="737">
        <v>4401235.0</v>
      </c>
      <c r="C934" s="737" t="s">
        <v>3820</v>
      </c>
      <c r="D934" s="772" t="s">
        <v>6346</v>
      </c>
      <c r="E934" s="784">
        <v>59000.0</v>
      </c>
      <c r="F934" s="852" t="s">
        <v>6574</v>
      </c>
      <c r="G934" s="814" t="s">
        <v>18</v>
      </c>
      <c r="H934" s="814" t="s">
        <v>29</v>
      </c>
      <c r="I934" s="814" t="s">
        <v>4160</v>
      </c>
      <c r="J934" s="808">
        <v>44089.0</v>
      </c>
      <c r="K934" s="810" t="s">
        <v>3834</v>
      </c>
      <c r="L934" s="781"/>
      <c r="M934" s="781"/>
      <c r="N934" s="781"/>
      <c r="O934" s="781"/>
      <c r="P934" s="781"/>
      <c r="Q934" s="781"/>
      <c r="R934" s="781"/>
      <c r="S934" s="781"/>
      <c r="T934" s="781"/>
      <c r="U934" s="781"/>
      <c r="V934" s="781"/>
      <c r="W934" s="781"/>
      <c r="X934" s="781"/>
      <c r="Y934" s="781"/>
      <c r="Z934" s="781"/>
      <c r="AA934" s="781"/>
      <c r="AB934" s="781"/>
      <c r="AC934" s="781"/>
      <c r="AD934" s="781"/>
      <c r="AE934" s="781"/>
      <c r="AF934" s="781"/>
      <c r="AG934" s="781"/>
      <c r="AH934" s="781"/>
      <c r="AI934" s="781"/>
      <c r="AJ934" s="781"/>
      <c r="AK934" s="781"/>
      <c r="AL934" s="781"/>
      <c r="AM934" s="781"/>
      <c r="AN934" s="781"/>
      <c r="AO934" s="781"/>
      <c r="AP934" s="781"/>
      <c r="AQ934" s="781"/>
      <c r="AR934" s="781"/>
      <c r="AS934" s="781"/>
      <c r="AT934" s="781"/>
      <c r="AU934" s="781"/>
    </row>
    <row r="935" ht="15.75" customHeight="1">
      <c r="A935" s="782">
        <v>44694.0</v>
      </c>
      <c r="B935" s="737">
        <v>7438369.0</v>
      </c>
      <c r="C935" s="737" t="s">
        <v>3820</v>
      </c>
      <c r="D935" s="772" t="s">
        <v>6345</v>
      </c>
      <c r="E935" s="784">
        <v>28617.08</v>
      </c>
      <c r="F935" s="852" t="s">
        <v>4855</v>
      </c>
      <c r="G935" s="761" t="s">
        <v>105</v>
      </c>
      <c r="H935" s="852" t="s">
        <v>29</v>
      </c>
      <c r="I935" s="761" t="s">
        <v>3873</v>
      </c>
      <c r="J935" s="808">
        <v>44551.0</v>
      </c>
      <c r="K935" s="810" t="s">
        <v>3840</v>
      </c>
      <c r="L935" s="781"/>
      <c r="M935" s="781"/>
      <c r="N935" s="781"/>
      <c r="O935" s="781"/>
      <c r="P935" s="781"/>
      <c r="Q935" s="781"/>
      <c r="R935" s="781"/>
      <c r="S935" s="781"/>
      <c r="T935" s="781"/>
      <c r="U935" s="781"/>
      <c r="V935" s="781"/>
      <c r="W935" s="781"/>
      <c r="X935" s="781"/>
      <c r="Y935" s="781"/>
      <c r="Z935" s="781"/>
      <c r="AA935" s="781"/>
      <c r="AB935" s="781"/>
      <c r="AC935" s="781"/>
      <c r="AD935" s="781"/>
      <c r="AE935" s="781"/>
      <c r="AF935" s="781"/>
      <c r="AG935" s="781"/>
      <c r="AH935" s="781"/>
      <c r="AI935" s="781"/>
      <c r="AJ935" s="781"/>
      <c r="AK935" s="781"/>
      <c r="AL935" s="781"/>
      <c r="AM935" s="781"/>
      <c r="AN935" s="781"/>
      <c r="AO935" s="781"/>
      <c r="AP935" s="781"/>
      <c r="AQ935" s="781"/>
      <c r="AR935" s="781"/>
      <c r="AS935" s="781"/>
      <c r="AT935" s="781"/>
      <c r="AU935" s="781"/>
    </row>
    <row r="936" ht="15.75" customHeight="1">
      <c r="A936" s="782">
        <v>44694.0</v>
      </c>
      <c r="B936" s="737">
        <v>7542389.0</v>
      </c>
      <c r="C936" s="737" t="s">
        <v>3820</v>
      </c>
      <c r="D936" s="772" t="s">
        <v>6345</v>
      </c>
      <c r="E936" s="784">
        <v>131457.67</v>
      </c>
      <c r="F936" s="852" t="s">
        <v>4855</v>
      </c>
      <c r="G936" s="761" t="s">
        <v>105</v>
      </c>
      <c r="H936" s="852" t="s">
        <v>29</v>
      </c>
      <c r="I936" s="761" t="s">
        <v>3873</v>
      </c>
      <c r="J936" s="808">
        <v>44579.0</v>
      </c>
      <c r="K936" s="810" t="s">
        <v>3834</v>
      </c>
      <c r="L936" s="781"/>
      <c r="M936" s="781"/>
      <c r="N936" s="781"/>
      <c r="O936" s="781"/>
      <c r="P936" s="781"/>
      <c r="Q936" s="781"/>
      <c r="R936" s="781"/>
      <c r="S936" s="781"/>
      <c r="T936" s="781"/>
      <c r="U936" s="781"/>
      <c r="V936" s="781"/>
      <c r="W936" s="781"/>
      <c r="X936" s="781"/>
      <c r="Y936" s="781"/>
      <c r="Z936" s="781"/>
      <c r="AA936" s="781"/>
      <c r="AB936" s="781"/>
      <c r="AC936" s="781"/>
      <c r="AD936" s="781"/>
      <c r="AE936" s="781"/>
      <c r="AF936" s="781"/>
      <c r="AG936" s="781"/>
      <c r="AH936" s="781"/>
      <c r="AI936" s="781"/>
      <c r="AJ936" s="781"/>
      <c r="AK936" s="781"/>
      <c r="AL936" s="781"/>
      <c r="AM936" s="781"/>
      <c r="AN936" s="781"/>
      <c r="AO936" s="781"/>
      <c r="AP936" s="781"/>
      <c r="AQ936" s="781"/>
      <c r="AR936" s="781"/>
      <c r="AS936" s="781"/>
      <c r="AT936" s="781"/>
      <c r="AU936" s="781"/>
    </row>
    <row r="937" ht="15.75" customHeight="1">
      <c r="A937" s="782">
        <v>44694.0</v>
      </c>
      <c r="B937" s="737">
        <v>461432.0</v>
      </c>
      <c r="C937" s="737" t="s">
        <v>2547</v>
      </c>
      <c r="D937" s="772" t="s">
        <v>6346</v>
      </c>
      <c r="E937" s="784">
        <v>1000.0</v>
      </c>
      <c r="F937" s="852" t="s">
        <v>3598</v>
      </c>
      <c r="G937" s="761" t="s">
        <v>18</v>
      </c>
      <c r="H937" s="772" t="s">
        <v>176</v>
      </c>
      <c r="I937" s="772" t="s">
        <v>197</v>
      </c>
      <c r="J937" s="819">
        <v>44319.0</v>
      </c>
      <c r="K937" s="810" t="s">
        <v>3840</v>
      </c>
      <c r="L937" s="781"/>
      <c r="M937" s="781"/>
      <c r="N937" s="781"/>
      <c r="O937" s="781"/>
      <c r="P937" s="781"/>
      <c r="Q937" s="781"/>
      <c r="R937" s="781"/>
      <c r="S937" s="781"/>
      <c r="T937" s="781"/>
      <c r="U937" s="781"/>
      <c r="V937" s="781"/>
      <c r="W937" s="781"/>
      <c r="X937" s="781"/>
      <c r="Y937" s="781"/>
      <c r="Z937" s="781"/>
      <c r="AA937" s="781"/>
      <c r="AB937" s="781"/>
      <c r="AC937" s="781"/>
      <c r="AD937" s="781"/>
      <c r="AE937" s="781"/>
      <c r="AF937" s="781"/>
      <c r="AG937" s="781"/>
      <c r="AH937" s="781"/>
      <c r="AI937" s="781"/>
      <c r="AJ937" s="781"/>
      <c r="AK937" s="781"/>
      <c r="AL937" s="781"/>
      <c r="AM937" s="781"/>
      <c r="AN937" s="781"/>
      <c r="AO937" s="781"/>
      <c r="AP937" s="781"/>
      <c r="AQ937" s="781"/>
      <c r="AR937" s="781"/>
      <c r="AS937" s="781"/>
      <c r="AT937" s="781"/>
      <c r="AU937" s="781"/>
    </row>
    <row r="938" ht="15.75" customHeight="1">
      <c r="A938" s="782">
        <v>44694.0</v>
      </c>
      <c r="B938" s="852" t="s">
        <v>6515</v>
      </c>
      <c r="C938" s="737" t="s">
        <v>2547</v>
      </c>
      <c r="D938" s="772" t="s">
        <v>6346</v>
      </c>
      <c r="E938" s="784">
        <v>20000.0</v>
      </c>
      <c r="F938" s="737" t="s">
        <v>6535</v>
      </c>
      <c r="G938" s="761" t="s">
        <v>18</v>
      </c>
      <c r="H938" s="852" t="s">
        <v>176</v>
      </c>
      <c r="I938" s="761" t="s">
        <v>177</v>
      </c>
      <c r="J938" s="808">
        <v>44263.0</v>
      </c>
      <c r="K938" s="810" t="s">
        <v>3836</v>
      </c>
      <c r="L938" s="781"/>
      <c r="M938" s="781"/>
      <c r="N938" s="781"/>
      <c r="O938" s="781"/>
      <c r="P938" s="781"/>
      <c r="Q938" s="781"/>
      <c r="R938" s="781"/>
      <c r="S938" s="781"/>
      <c r="T938" s="781"/>
      <c r="U938" s="781"/>
      <c r="V938" s="781"/>
      <c r="W938" s="781"/>
      <c r="X938" s="781"/>
      <c r="Y938" s="781"/>
      <c r="Z938" s="781"/>
      <c r="AA938" s="781"/>
      <c r="AB938" s="781"/>
      <c r="AC938" s="781"/>
      <c r="AD938" s="781"/>
      <c r="AE938" s="781"/>
      <c r="AF938" s="781"/>
      <c r="AG938" s="781"/>
      <c r="AH938" s="781"/>
      <c r="AI938" s="781"/>
      <c r="AJ938" s="781"/>
      <c r="AK938" s="781"/>
      <c r="AL938" s="781"/>
      <c r="AM938" s="781"/>
      <c r="AN938" s="781"/>
      <c r="AO938" s="781"/>
      <c r="AP938" s="781"/>
      <c r="AQ938" s="781"/>
      <c r="AR938" s="781"/>
      <c r="AS938" s="781"/>
      <c r="AT938" s="781"/>
      <c r="AU938" s="781"/>
    </row>
    <row r="939" ht="15.75" customHeight="1">
      <c r="A939" s="782">
        <v>44698.0</v>
      </c>
      <c r="B939" s="737">
        <v>320910.0</v>
      </c>
      <c r="C939" s="737" t="s">
        <v>2547</v>
      </c>
      <c r="D939" s="772" t="s">
        <v>6346</v>
      </c>
      <c r="E939" s="784">
        <v>54000.0</v>
      </c>
      <c r="F939" s="852" t="s">
        <v>6575</v>
      </c>
      <c r="G939" s="761" t="s">
        <v>18</v>
      </c>
      <c r="H939" s="852" t="s">
        <v>176</v>
      </c>
      <c r="I939" s="761" t="s">
        <v>177</v>
      </c>
      <c r="J939" s="808">
        <v>44328.0</v>
      </c>
      <c r="K939" s="810" t="s">
        <v>3828</v>
      </c>
      <c r="L939" s="781"/>
      <c r="M939" s="781"/>
      <c r="N939" s="781"/>
      <c r="O939" s="781"/>
      <c r="P939" s="781"/>
      <c r="Q939" s="781"/>
      <c r="R939" s="781"/>
      <c r="S939" s="781"/>
      <c r="T939" s="781"/>
      <c r="U939" s="781"/>
      <c r="V939" s="781"/>
      <c r="W939" s="781"/>
      <c r="X939" s="781"/>
      <c r="Y939" s="781"/>
      <c r="Z939" s="781"/>
      <c r="AA939" s="781"/>
      <c r="AB939" s="781"/>
      <c r="AC939" s="781"/>
      <c r="AD939" s="781"/>
      <c r="AE939" s="781"/>
      <c r="AF939" s="781"/>
      <c r="AG939" s="781"/>
      <c r="AH939" s="781"/>
      <c r="AI939" s="781"/>
      <c r="AJ939" s="781"/>
      <c r="AK939" s="781"/>
      <c r="AL939" s="781"/>
      <c r="AM939" s="781"/>
      <c r="AN939" s="781"/>
      <c r="AO939" s="781"/>
      <c r="AP939" s="781"/>
      <c r="AQ939" s="781"/>
      <c r="AR939" s="781"/>
      <c r="AS939" s="781"/>
      <c r="AT939" s="781"/>
      <c r="AU939" s="781"/>
    </row>
    <row r="940" ht="15.75" customHeight="1">
      <c r="A940" s="811">
        <v>44701.0</v>
      </c>
      <c r="B940" s="812" t="s">
        <v>3325</v>
      </c>
      <c r="C940" s="813" t="s">
        <v>2547</v>
      </c>
      <c r="D940" s="814" t="s">
        <v>6345</v>
      </c>
      <c r="E940" s="815">
        <v>120119.71</v>
      </c>
      <c r="F940" s="814" t="s">
        <v>3324</v>
      </c>
      <c r="G940" s="814" t="s">
        <v>18</v>
      </c>
      <c r="H940" s="814" t="s">
        <v>176</v>
      </c>
      <c r="I940" s="814" t="s">
        <v>197</v>
      </c>
      <c r="J940" s="816">
        <v>44391.0</v>
      </c>
      <c r="K940" s="813" t="s">
        <v>3828</v>
      </c>
      <c r="L940" s="781"/>
      <c r="M940" s="781"/>
      <c r="N940" s="781"/>
      <c r="O940" s="781"/>
      <c r="P940" s="781"/>
      <c r="Q940" s="781"/>
      <c r="R940" s="781"/>
      <c r="S940" s="781"/>
      <c r="T940" s="781"/>
      <c r="U940" s="781"/>
      <c r="V940" s="781"/>
      <c r="W940" s="781"/>
      <c r="X940" s="781"/>
      <c r="Y940" s="781"/>
      <c r="Z940" s="781"/>
      <c r="AA940" s="781"/>
      <c r="AB940" s="781"/>
      <c r="AC940" s="781"/>
      <c r="AD940" s="781"/>
      <c r="AE940" s="781"/>
      <c r="AF940" s="781"/>
      <c r="AG940" s="781"/>
      <c r="AH940" s="781"/>
      <c r="AI940" s="781"/>
      <c r="AJ940" s="781"/>
      <c r="AK940" s="781"/>
      <c r="AL940" s="781"/>
      <c r="AM940" s="781"/>
      <c r="AN940" s="781"/>
      <c r="AO940" s="781"/>
      <c r="AP940" s="781"/>
      <c r="AQ940" s="781"/>
      <c r="AR940" s="781"/>
      <c r="AS940" s="781"/>
      <c r="AT940" s="781"/>
      <c r="AU940" s="781"/>
    </row>
    <row r="941" ht="15.75" customHeight="1">
      <c r="A941" s="782">
        <v>44704.0</v>
      </c>
      <c r="B941" s="737">
        <v>461432.0</v>
      </c>
      <c r="C941" s="737" t="s">
        <v>2547</v>
      </c>
      <c r="D941" s="772" t="s">
        <v>6346</v>
      </c>
      <c r="E941" s="784">
        <v>12200.0</v>
      </c>
      <c r="F941" s="852" t="s">
        <v>3598</v>
      </c>
      <c r="G941" s="761" t="s">
        <v>18</v>
      </c>
      <c r="H941" s="772" t="s">
        <v>176</v>
      </c>
      <c r="I941" s="772" t="s">
        <v>197</v>
      </c>
      <c r="J941" s="819">
        <v>44319.0</v>
      </c>
      <c r="K941" s="810" t="s">
        <v>3840</v>
      </c>
      <c r="L941" s="781"/>
      <c r="M941" s="781"/>
      <c r="N941" s="781"/>
      <c r="O941" s="781"/>
      <c r="P941" s="781"/>
      <c r="Q941" s="781"/>
      <c r="R941" s="781"/>
      <c r="S941" s="781"/>
      <c r="T941" s="781"/>
      <c r="U941" s="781"/>
      <c r="V941" s="781"/>
      <c r="W941" s="781"/>
      <c r="X941" s="781"/>
      <c r="Y941" s="781"/>
      <c r="Z941" s="781"/>
      <c r="AA941" s="781"/>
      <c r="AB941" s="781"/>
      <c r="AC941" s="781"/>
      <c r="AD941" s="781"/>
      <c r="AE941" s="781"/>
      <c r="AF941" s="781"/>
      <c r="AG941" s="781"/>
      <c r="AH941" s="781"/>
      <c r="AI941" s="781"/>
      <c r="AJ941" s="781"/>
      <c r="AK941" s="781"/>
      <c r="AL941" s="781"/>
      <c r="AM941" s="781"/>
      <c r="AN941" s="781"/>
      <c r="AO941" s="781"/>
      <c r="AP941" s="781"/>
      <c r="AQ941" s="781"/>
      <c r="AR941" s="781"/>
      <c r="AS941" s="781"/>
      <c r="AT941" s="781"/>
      <c r="AU941" s="781"/>
    </row>
    <row r="942" ht="15.75" customHeight="1">
      <c r="A942" s="782">
        <v>44704.0</v>
      </c>
      <c r="B942" s="737">
        <v>5593800.0</v>
      </c>
      <c r="C942" s="737" t="s">
        <v>3820</v>
      </c>
      <c r="D942" s="772" t="s">
        <v>6345</v>
      </c>
      <c r="E942" s="784">
        <v>97983.24</v>
      </c>
      <c r="F942" s="852" t="s">
        <v>6576</v>
      </c>
      <c r="G942" s="761" t="s">
        <v>18</v>
      </c>
      <c r="H942" s="852" t="s">
        <v>19</v>
      </c>
      <c r="I942" s="761" t="s">
        <v>256</v>
      </c>
      <c r="J942" s="808">
        <v>44344.0</v>
      </c>
      <c r="K942" s="737" t="s">
        <v>3824</v>
      </c>
      <c r="L942" s="781"/>
      <c r="M942" s="781"/>
      <c r="N942" s="781"/>
      <c r="O942" s="781"/>
      <c r="P942" s="781"/>
      <c r="Q942" s="781"/>
      <c r="R942" s="781"/>
      <c r="S942" s="781"/>
      <c r="T942" s="781"/>
      <c r="U942" s="781"/>
      <c r="V942" s="781"/>
      <c r="W942" s="781"/>
      <c r="X942" s="781"/>
      <c r="Y942" s="781"/>
      <c r="Z942" s="781"/>
      <c r="AA942" s="781"/>
      <c r="AB942" s="781"/>
      <c r="AC942" s="781"/>
      <c r="AD942" s="781"/>
      <c r="AE942" s="781"/>
      <c r="AF942" s="781"/>
      <c r="AG942" s="781"/>
      <c r="AH942" s="781"/>
      <c r="AI942" s="781"/>
      <c r="AJ942" s="781"/>
      <c r="AK942" s="781"/>
      <c r="AL942" s="781"/>
      <c r="AM942" s="781"/>
      <c r="AN942" s="781"/>
      <c r="AO942" s="781"/>
      <c r="AP942" s="781"/>
      <c r="AQ942" s="781"/>
      <c r="AR942" s="781"/>
      <c r="AS942" s="781"/>
      <c r="AT942" s="781"/>
      <c r="AU942" s="781"/>
    </row>
    <row r="943" ht="15.75" customHeight="1">
      <c r="A943" s="782">
        <v>44704.0</v>
      </c>
      <c r="B943" s="737">
        <v>6986262.0</v>
      </c>
      <c r="C943" s="737" t="s">
        <v>3820</v>
      </c>
      <c r="D943" s="772" t="s">
        <v>6346</v>
      </c>
      <c r="E943" s="784">
        <v>20000.0</v>
      </c>
      <c r="F943" s="852" t="s">
        <v>4312</v>
      </c>
      <c r="G943" s="761" t="s">
        <v>18</v>
      </c>
      <c r="H943" s="852" t="s">
        <v>19</v>
      </c>
      <c r="I943" s="761" t="s">
        <v>4152</v>
      </c>
      <c r="J943" s="808">
        <v>44503.0</v>
      </c>
      <c r="K943" s="737" t="s">
        <v>3869</v>
      </c>
      <c r="L943" s="781"/>
      <c r="M943" s="781"/>
      <c r="N943" s="781"/>
      <c r="O943" s="781"/>
      <c r="P943" s="781"/>
      <c r="Q943" s="781"/>
      <c r="R943" s="781"/>
      <c r="S943" s="781"/>
      <c r="T943" s="781"/>
      <c r="U943" s="781"/>
      <c r="V943" s="781"/>
      <c r="W943" s="781"/>
      <c r="X943" s="781"/>
      <c r="Y943" s="781"/>
      <c r="Z943" s="781"/>
      <c r="AA943" s="781"/>
      <c r="AB943" s="781"/>
      <c r="AC943" s="781"/>
      <c r="AD943" s="781"/>
      <c r="AE943" s="781"/>
      <c r="AF943" s="781"/>
      <c r="AG943" s="781"/>
      <c r="AH943" s="781"/>
      <c r="AI943" s="781"/>
      <c r="AJ943" s="781"/>
      <c r="AK943" s="781"/>
      <c r="AL943" s="781"/>
      <c r="AM943" s="781"/>
      <c r="AN943" s="781"/>
      <c r="AO943" s="781"/>
      <c r="AP943" s="781"/>
      <c r="AQ943" s="781"/>
      <c r="AR943" s="781"/>
      <c r="AS943" s="781"/>
      <c r="AT943" s="781"/>
      <c r="AU943" s="781"/>
    </row>
    <row r="944" ht="15.75" customHeight="1">
      <c r="A944" s="782">
        <v>44705.0</v>
      </c>
      <c r="B944" s="861" t="s">
        <v>6577</v>
      </c>
      <c r="C944" s="856" t="s">
        <v>3820</v>
      </c>
      <c r="D944" s="857" t="s">
        <v>6346</v>
      </c>
      <c r="E944" s="858">
        <v>150000.0</v>
      </c>
      <c r="F944" s="862" t="s">
        <v>4093</v>
      </c>
      <c r="G944" s="840" t="s">
        <v>18</v>
      </c>
      <c r="H944" s="862" t="s">
        <v>19</v>
      </c>
      <c r="I944" s="840" t="s">
        <v>6334</v>
      </c>
      <c r="J944" s="863">
        <v>44130.0</v>
      </c>
      <c r="K944" s="856" t="s">
        <v>3828</v>
      </c>
      <c r="L944" s="781"/>
      <c r="M944" s="781"/>
      <c r="N944" s="781"/>
      <c r="O944" s="781"/>
      <c r="P944" s="781"/>
      <c r="Q944" s="781"/>
      <c r="R944" s="781"/>
      <c r="S944" s="781"/>
      <c r="T944" s="781"/>
      <c r="U944" s="781"/>
      <c r="V944" s="781"/>
      <c r="W944" s="781"/>
      <c r="X944" s="781"/>
      <c r="Y944" s="781"/>
      <c r="Z944" s="781"/>
      <c r="AA944" s="781"/>
      <c r="AB944" s="781"/>
      <c r="AC944" s="781"/>
      <c r="AD944" s="781"/>
      <c r="AE944" s="781"/>
      <c r="AF944" s="781"/>
      <c r="AG944" s="781"/>
      <c r="AH944" s="781"/>
      <c r="AI944" s="781"/>
      <c r="AJ944" s="781"/>
      <c r="AK944" s="781"/>
      <c r="AL944" s="781"/>
      <c r="AM944" s="781"/>
      <c r="AN944" s="781"/>
      <c r="AO944" s="781"/>
      <c r="AP944" s="781"/>
      <c r="AQ944" s="781"/>
      <c r="AR944" s="781"/>
      <c r="AS944" s="781"/>
      <c r="AT944" s="781"/>
      <c r="AU944" s="781"/>
    </row>
    <row r="945" ht="15.75" customHeight="1">
      <c r="A945" s="782">
        <v>44707.0</v>
      </c>
      <c r="B945" s="856">
        <v>6866947.0</v>
      </c>
      <c r="C945" s="856" t="s">
        <v>3820</v>
      </c>
      <c r="D945" s="857" t="s">
        <v>6346</v>
      </c>
      <c r="E945" s="858">
        <v>5000.0</v>
      </c>
      <c r="F945" s="862" t="s">
        <v>4067</v>
      </c>
      <c r="G945" s="840" t="s">
        <v>18</v>
      </c>
      <c r="H945" s="862" t="s">
        <v>19</v>
      </c>
      <c r="I945" s="840" t="s">
        <v>256</v>
      </c>
      <c r="J945" s="863">
        <v>44497.0</v>
      </c>
      <c r="K945" s="856" t="s">
        <v>3836</v>
      </c>
      <c r="L945" s="781"/>
      <c r="M945" s="781"/>
      <c r="N945" s="781"/>
      <c r="O945" s="781"/>
      <c r="P945" s="781"/>
      <c r="Q945" s="781"/>
      <c r="R945" s="781"/>
      <c r="S945" s="781"/>
      <c r="T945" s="781"/>
      <c r="U945" s="781"/>
      <c r="V945" s="781"/>
      <c r="W945" s="781"/>
      <c r="X945" s="781"/>
      <c r="Y945" s="781"/>
      <c r="Z945" s="781"/>
      <c r="AA945" s="781"/>
      <c r="AB945" s="781"/>
      <c r="AC945" s="781"/>
      <c r="AD945" s="781"/>
      <c r="AE945" s="781"/>
      <c r="AF945" s="781"/>
      <c r="AG945" s="781"/>
      <c r="AH945" s="781"/>
      <c r="AI945" s="781"/>
      <c r="AJ945" s="781"/>
      <c r="AK945" s="781"/>
      <c r="AL945" s="781"/>
      <c r="AM945" s="781"/>
      <c r="AN945" s="781"/>
      <c r="AO945" s="781"/>
      <c r="AP945" s="781"/>
      <c r="AQ945" s="781"/>
      <c r="AR945" s="781"/>
      <c r="AS945" s="781"/>
      <c r="AT945" s="781"/>
      <c r="AU945" s="781"/>
    </row>
    <row r="946" ht="15.75" customHeight="1">
      <c r="A946" s="782">
        <v>44707.0</v>
      </c>
      <c r="B946" s="856">
        <v>385035.0</v>
      </c>
      <c r="C946" s="856" t="s">
        <v>2547</v>
      </c>
      <c r="D946" s="857" t="s">
        <v>6346</v>
      </c>
      <c r="E946" s="858">
        <v>53252.0</v>
      </c>
      <c r="F946" s="862" t="s">
        <v>6578</v>
      </c>
      <c r="G946" s="857" t="s">
        <v>2550</v>
      </c>
      <c r="H946" s="857" t="s">
        <v>29</v>
      </c>
      <c r="I946" s="857" t="s">
        <v>2551</v>
      </c>
      <c r="J946" s="864">
        <v>43811.0</v>
      </c>
      <c r="K946" s="865" t="s">
        <v>3836</v>
      </c>
      <c r="L946" s="781"/>
      <c r="M946" s="781"/>
      <c r="N946" s="781"/>
      <c r="O946" s="781"/>
      <c r="P946" s="781"/>
      <c r="Q946" s="781"/>
      <c r="R946" s="781"/>
      <c r="S946" s="781"/>
      <c r="T946" s="781"/>
      <c r="U946" s="781"/>
      <c r="V946" s="781"/>
      <c r="W946" s="781"/>
      <c r="X946" s="781"/>
      <c r="Y946" s="781"/>
      <c r="Z946" s="781"/>
      <c r="AA946" s="781"/>
      <c r="AB946" s="781"/>
      <c r="AC946" s="781"/>
      <c r="AD946" s="781"/>
      <c r="AE946" s="781"/>
      <c r="AF946" s="781"/>
      <c r="AG946" s="781"/>
      <c r="AH946" s="781"/>
      <c r="AI946" s="781"/>
      <c r="AJ946" s="781"/>
      <c r="AK946" s="781"/>
      <c r="AL946" s="781"/>
      <c r="AM946" s="781"/>
      <c r="AN946" s="781"/>
      <c r="AO946" s="781"/>
      <c r="AP946" s="781"/>
      <c r="AQ946" s="781"/>
      <c r="AR946" s="781"/>
      <c r="AS946" s="781"/>
      <c r="AT946" s="781"/>
      <c r="AU946" s="781"/>
    </row>
    <row r="947" ht="15.75" customHeight="1">
      <c r="A947" s="782">
        <v>44707.0</v>
      </c>
      <c r="B947" s="856">
        <v>798500.0</v>
      </c>
      <c r="C947" s="856" t="s">
        <v>2547</v>
      </c>
      <c r="D947" s="857" t="s">
        <v>6346</v>
      </c>
      <c r="E947" s="858">
        <v>15000.0</v>
      </c>
      <c r="F947" s="862" t="s">
        <v>6579</v>
      </c>
      <c r="G947" s="840" t="s">
        <v>18</v>
      </c>
      <c r="H947" s="857" t="s">
        <v>176</v>
      </c>
      <c r="I947" s="857" t="s">
        <v>2634</v>
      </c>
      <c r="J947" s="866">
        <v>44299.0</v>
      </c>
      <c r="K947" s="865" t="s">
        <v>3828</v>
      </c>
      <c r="L947" s="781"/>
      <c r="M947" s="781"/>
      <c r="N947" s="781"/>
      <c r="O947" s="781"/>
      <c r="P947" s="781"/>
      <c r="Q947" s="781"/>
      <c r="R947" s="781"/>
      <c r="S947" s="781"/>
      <c r="T947" s="781"/>
      <c r="U947" s="781"/>
      <c r="V947" s="781"/>
      <c r="W947" s="781"/>
      <c r="X947" s="781"/>
      <c r="Y947" s="781"/>
      <c r="Z947" s="781"/>
      <c r="AA947" s="781"/>
      <c r="AB947" s="781"/>
      <c r="AC947" s="781"/>
      <c r="AD947" s="781"/>
      <c r="AE947" s="781"/>
      <c r="AF947" s="781"/>
      <c r="AG947" s="781"/>
      <c r="AH947" s="781"/>
      <c r="AI947" s="781"/>
      <c r="AJ947" s="781"/>
      <c r="AK947" s="781"/>
      <c r="AL947" s="781"/>
      <c r="AM947" s="781"/>
      <c r="AN947" s="781"/>
      <c r="AO947" s="781"/>
      <c r="AP947" s="781"/>
      <c r="AQ947" s="781"/>
      <c r="AR947" s="781"/>
      <c r="AS947" s="781"/>
      <c r="AT947" s="781"/>
      <c r="AU947" s="781"/>
    </row>
    <row r="948" ht="15.75" customHeight="1">
      <c r="A948" s="782">
        <v>44713.0</v>
      </c>
      <c r="B948" s="856">
        <v>4681835.0</v>
      </c>
      <c r="C948" s="856" t="s">
        <v>3820</v>
      </c>
      <c r="D948" s="857" t="s">
        <v>6345</v>
      </c>
      <c r="E948" s="858">
        <v>93639.74</v>
      </c>
      <c r="F948" s="862" t="s">
        <v>4876</v>
      </c>
      <c r="G948" s="840" t="s">
        <v>105</v>
      </c>
      <c r="H948" s="857" t="s">
        <v>29</v>
      </c>
      <c r="I948" s="857" t="s">
        <v>3993</v>
      </c>
      <c r="J948" s="866">
        <v>44204.0</v>
      </c>
      <c r="K948" s="865" t="s">
        <v>3824</v>
      </c>
      <c r="L948" s="781"/>
      <c r="M948" s="781"/>
      <c r="N948" s="781"/>
      <c r="O948" s="781"/>
      <c r="P948" s="781"/>
      <c r="Q948" s="781"/>
      <c r="R948" s="781"/>
      <c r="S948" s="781"/>
      <c r="T948" s="781"/>
      <c r="U948" s="781"/>
      <c r="V948" s="781"/>
      <c r="W948" s="781"/>
      <c r="X948" s="781"/>
      <c r="Y948" s="781"/>
      <c r="Z948" s="781"/>
      <c r="AA948" s="781"/>
      <c r="AB948" s="781"/>
      <c r="AC948" s="781"/>
      <c r="AD948" s="781"/>
      <c r="AE948" s="781"/>
      <c r="AF948" s="781"/>
      <c r="AG948" s="781"/>
      <c r="AH948" s="781"/>
      <c r="AI948" s="781"/>
      <c r="AJ948" s="781"/>
      <c r="AK948" s="781"/>
      <c r="AL948" s="781"/>
      <c r="AM948" s="781"/>
      <c r="AN948" s="781"/>
      <c r="AO948" s="781"/>
      <c r="AP948" s="781"/>
      <c r="AQ948" s="781"/>
      <c r="AR948" s="781"/>
      <c r="AS948" s="781"/>
      <c r="AT948" s="781"/>
      <c r="AU948" s="781"/>
    </row>
    <row r="949" ht="15.75" customHeight="1">
      <c r="A949" s="811">
        <v>44713.0</v>
      </c>
      <c r="B949" s="867" t="s">
        <v>6415</v>
      </c>
      <c r="C949" s="868" t="s">
        <v>3820</v>
      </c>
      <c r="D949" s="869" t="s">
        <v>6346</v>
      </c>
      <c r="E949" s="870">
        <v>4000.0</v>
      </c>
      <c r="F949" s="869" t="s">
        <v>606</v>
      </c>
      <c r="G949" s="869" t="s">
        <v>18</v>
      </c>
      <c r="H949" s="869" t="s">
        <v>19</v>
      </c>
      <c r="I949" s="869" t="s">
        <v>256</v>
      </c>
      <c r="J949" s="871">
        <v>44407.0</v>
      </c>
      <c r="K949" s="868" t="s">
        <v>4029</v>
      </c>
      <c r="L949" s="781"/>
      <c r="M949" s="781"/>
      <c r="N949" s="781"/>
      <c r="O949" s="781"/>
      <c r="P949" s="781"/>
      <c r="Q949" s="781"/>
      <c r="R949" s="781"/>
      <c r="S949" s="781"/>
      <c r="T949" s="781"/>
      <c r="U949" s="781"/>
      <c r="V949" s="781"/>
      <c r="W949" s="781"/>
      <c r="X949" s="781"/>
      <c r="Y949" s="781"/>
      <c r="Z949" s="781"/>
      <c r="AA949" s="781"/>
      <c r="AB949" s="781"/>
      <c r="AC949" s="781"/>
      <c r="AD949" s="781"/>
      <c r="AE949" s="781"/>
      <c r="AF949" s="781"/>
      <c r="AG949" s="781"/>
      <c r="AH949" s="781"/>
      <c r="AI949" s="781"/>
      <c r="AJ949" s="781"/>
      <c r="AK949" s="781"/>
      <c r="AL949" s="781"/>
      <c r="AM949" s="781"/>
      <c r="AN949" s="781"/>
      <c r="AO949" s="781"/>
      <c r="AP949" s="781"/>
      <c r="AQ949" s="781"/>
      <c r="AR949" s="781"/>
      <c r="AS949" s="781"/>
      <c r="AT949" s="781"/>
      <c r="AU949" s="781"/>
    </row>
    <row r="950" ht="15.75" customHeight="1">
      <c r="A950" s="782">
        <v>44714.0</v>
      </c>
      <c r="B950" s="856">
        <v>2956150.0</v>
      </c>
      <c r="C950" s="856" t="s">
        <v>3632</v>
      </c>
      <c r="D950" s="857" t="s">
        <v>6346</v>
      </c>
      <c r="E950" s="858">
        <v>3000.0</v>
      </c>
      <c r="F950" s="862" t="s">
        <v>3655</v>
      </c>
      <c r="G950" s="840" t="s">
        <v>18</v>
      </c>
      <c r="H950" s="857" t="s">
        <v>29</v>
      </c>
      <c r="I950" s="857" t="s">
        <v>6253</v>
      </c>
      <c r="J950" s="866">
        <v>44062.0</v>
      </c>
      <c r="K950" s="865" t="s">
        <v>3828</v>
      </c>
      <c r="L950" s="781"/>
      <c r="M950" s="781"/>
      <c r="N950" s="781"/>
      <c r="O950" s="781"/>
      <c r="P950" s="781"/>
      <c r="Q950" s="781"/>
      <c r="R950" s="781"/>
      <c r="S950" s="781"/>
      <c r="T950" s="781"/>
      <c r="U950" s="781"/>
      <c r="V950" s="781"/>
      <c r="W950" s="781"/>
      <c r="X950" s="781"/>
      <c r="Y950" s="781"/>
      <c r="Z950" s="781"/>
      <c r="AA950" s="781"/>
      <c r="AB950" s="781"/>
      <c r="AC950" s="781"/>
      <c r="AD950" s="781"/>
      <c r="AE950" s="781"/>
      <c r="AF950" s="781"/>
      <c r="AG950" s="781"/>
      <c r="AH950" s="781"/>
      <c r="AI950" s="781"/>
      <c r="AJ950" s="781"/>
      <c r="AK950" s="781"/>
      <c r="AL950" s="781"/>
      <c r="AM950" s="781"/>
      <c r="AN950" s="781"/>
      <c r="AO950" s="781"/>
      <c r="AP950" s="781"/>
      <c r="AQ950" s="781"/>
      <c r="AR950" s="781"/>
      <c r="AS950" s="781"/>
      <c r="AT950" s="781"/>
      <c r="AU950" s="781"/>
    </row>
    <row r="951" ht="15.75" customHeight="1">
      <c r="A951" s="811">
        <v>44715.0</v>
      </c>
      <c r="B951" s="867">
        <v>3553004.0</v>
      </c>
      <c r="C951" s="868" t="s">
        <v>3820</v>
      </c>
      <c r="D951" s="869" t="s">
        <v>1481</v>
      </c>
      <c r="E951" s="870">
        <v>73682.14</v>
      </c>
      <c r="F951" s="869" t="s">
        <v>4205</v>
      </c>
      <c r="G951" s="869" t="s">
        <v>2550</v>
      </c>
      <c r="H951" s="869" t="s">
        <v>29</v>
      </c>
      <c r="I951" s="869" t="s">
        <v>2550</v>
      </c>
      <c r="J951" s="871">
        <v>43742.0</v>
      </c>
      <c r="K951" s="868" t="s">
        <v>4206</v>
      </c>
      <c r="L951" s="781"/>
      <c r="M951" s="781"/>
      <c r="N951" s="781"/>
      <c r="O951" s="781"/>
      <c r="P951" s="781"/>
      <c r="Q951" s="781"/>
      <c r="R951" s="781"/>
      <c r="S951" s="781"/>
      <c r="T951" s="781"/>
      <c r="U951" s="781"/>
      <c r="V951" s="781"/>
      <c r="W951" s="781"/>
      <c r="X951" s="781"/>
      <c r="Y951" s="781"/>
      <c r="Z951" s="781"/>
      <c r="AA951" s="781"/>
      <c r="AB951" s="781"/>
      <c r="AC951" s="781"/>
      <c r="AD951" s="781"/>
      <c r="AE951" s="781"/>
      <c r="AF951" s="781"/>
      <c r="AG951" s="781"/>
      <c r="AH951" s="781"/>
      <c r="AI951" s="781"/>
      <c r="AJ951" s="781"/>
      <c r="AK951" s="781"/>
      <c r="AL951" s="781"/>
      <c r="AM951" s="781"/>
      <c r="AN951" s="781"/>
      <c r="AO951" s="781"/>
      <c r="AP951" s="781"/>
      <c r="AQ951" s="781"/>
      <c r="AR951" s="781"/>
      <c r="AS951" s="781"/>
      <c r="AT951" s="781"/>
      <c r="AU951" s="781"/>
    </row>
    <row r="952" ht="15.75" customHeight="1">
      <c r="A952" s="811">
        <v>44718.0</v>
      </c>
      <c r="B952" s="867" t="s">
        <v>6580</v>
      </c>
      <c r="C952" s="868" t="s">
        <v>3820</v>
      </c>
      <c r="D952" s="869" t="s">
        <v>6345</v>
      </c>
      <c r="E952" s="870" t="s">
        <v>6581</v>
      </c>
      <c r="F952" s="869" t="s">
        <v>6582</v>
      </c>
      <c r="G952" s="869" t="s">
        <v>18</v>
      </c>
      <c r="H952" s="869" t="s">
        <v>19</v>
      </c>
      <c r="I952" s="869" t="s">
        <v>256</v>
      </c>
      <c r="J952" s="871">
        <v>44405.0</v>
      </c>
      <c r="K952" s="868" t="s">
        <v>3840</v>
      </c>
      <c r="L952" s="781"/>
      <c r="M952" s="781"/>
      <c r="N952" s="781"/>
      <c r="O952" s="781"/>
      <c r="P952" s="781"/>
      <c r="Q952" s="781"/>
      <c r="R952" s="781"/>
      <c r="S952" s="781"/>
      <c r="T952" s="781"/>
      <c r="U952" s="781"/>
      <c r="V952" s="781"/>
      <c r="W952" s="781"/>
      <c r="X952" s="781"/>
      <c r="Y952" s="781"/>
      <c r="Z952" s="781"/>
      <c r="AA952" s="781"/>
      <c r="AB952" s="781"/>
      <c r="AC952" s="781"/>
      <c r="AD952" s="781"/>
      <c r="AE952" s="781"/>
      <c r="AF952" s="781"/>
      <c r="AG952" s="781"/>
      <c r="AH952" s="781"/>
      <c r="AI952" s="781"/>
      <c r="AJ952" s="781"/>
      <c r="AK952" s="781"/>
      <c r="AL952" s="781"/>
      <c r="AM952" s="781"/>
      <c r="AN952" s="781"/>
      <c r="AO952" s="781"/>
      <c r="AP952" s="781"/>
      <c r="AQ952" s="781"/>
      <c r="AR952" s="781"/>
      <c r="AS952" s="781"/>
      <c r="AT952" s="781"/>
      <c r="AU952" s="781"/>
    </row>
    <row r="953" ht="15.75" customHeight="1">
      <c r="A953" s="811">
        <v>44718.0</v>
      </c>
      <c r="B953" s="867" t="s">
        <v>6433</v>
      </c>
      <c r="C953" s="868" t="s">
        <v>3820</v>
      </c>
      <c r="D953" s="869" t="s">
        <v>6346</v>
      </c>
      <c r="E953" s="870">
        <v>127458.23</v>
      </c>
      <c r="F953" s="869" t="s">
        <v>3832</v>
      </c>
      <c r="G953" s="869" t="s">
        <v>18</v>
      </c>
      <c r="H953" s="869" t="s">
        <v>29</v>
      </c>
      <c r="I953" s="869" t="s">
        <v>3833</v>
      </c>
      <c r="J953" s="871">
        <v>44326.0</v>
      </c>
      <c r="K953" s="868" t="s">
        <v>3834</v>
      </c>
      <c r="L953" s="781"/>
      <c r="M953" s="781"/>
      <c r="N953" s="781"/>
      <c r="O953" s="781"/>
      <c r="P953" s="781"/>
      <c r="Q953" s="781"/>
      <c r="R953" s="781"/>
      <c r="S953" s="781"/>
      <c r="T953" s="781"/>
      <c r="U953" s="781"/>
      <c r="V953" s="781"/>
      <c r="W953" s="781"/>
      <c r="X953" s="781"/>
      <c r="Y953" s="781"/>
      <c r="Z953" s="781"/>
      <c r="AA953" s="781"/>
      <c r="AB953" s="781"/>
      <c r="AC953" s="781"/>
      <c r="AD953" s="781"/>
      <c r="AE953" s="781"/>
      <c r="AF953" s="781"/>
      <c r="AG953" s="781"/>
      <c r="AH953" s="781"/>
      <c r="AI953" s="781"/>
      <c r="AJ953" s="781"/>
      <c r="AK953" s="781"/>
      <c r="AL953" s="781"/>
      <c r="AM953" s="781"/>
      <c r="AN953" s="781"/>
      <c r="AO953" s="781"/>
      <c r="AP953" s="781"/>
      <c r="AQ953" s="781"/>
      <c r="AR953" s="781"/>
      <c r="AS953" s="781"/>
      <c r="AT953" s="781"/>
      <c r="AU953" s="781"/>
    </row>
    <row r="954" ht="15.75" customHeight="1">
      <c r="A954" s="811">
        <v>44719.0</v>
      </c>
      <c r="B954" s="867" t="s">
        <v>6583</v>
      </c>
      <c r="C954" s="868" t="s">
        <v>3820</v>
      </c>
      <c r="D954" s="869" t="s">
        <v>1481</v>
      </c>
      <c r="E954" s="870">
        <v>185758.05</v>
      </c>
      <c r="F954" s="869" t="s">
        <v>4643</v>
      </c>
      <c r="G954" s="869" t="s">
        <v>105</v>
      </c>
      <c r="H954" s="869" t="s">
        <v>29</v>
      </c>
      <c r="I954" s="869" t="s">
        <v>4122</v>
      </c>
      <c r="J954" s="871">
        <v>44218.0</v>
      </c>
      <c r="K954" s="868" t="s">
        <v>3840</v>
      </c>
      <c r="L954" s="781"/>
      <c r="M954" s="781"/>
      <c r="N954" s="781"/>
      <c r="O954" s="781"/>
      <c r="P954" s="781"/>
      <c r="Q954" s="781"/>
      <c r="R954" s="781"/>
      <c r="S954" s="781"/>
      <c r="T954" s="781"/>
      <c r="U954" s="781"/>
      <c r="V954" s="781"/>
      <c r="W954" s="781"/>
      <c r="X954" s="781"/>
      <c r="Y954" s="781"/>
      <c r="Z954" s="781"/>
      <c r="AA954" s="781"/>
      <c r="AB954" s="781"/>
      <c r="AC954" s="781"/>
      <c r="AD954" s="781"/>
      <c r="AE954" s="781"/>
      <c r="AF954" s="781"/>
      <c r="AG954" s="781"/>
      <c r="AH954" s="781"/>
      <c r="AI954" s="781"/>
      <c r="AJ954" s="781"/>
      <c r="AK954" s="781"/>
      <c r="AL954" s="781"/>
      <c r="AM954" s="781"/>
      <c r="AN954" s="781"/>
      <c r="AO954" s="781"/>
      <c r="AP954" s="781"/>
      <c r="AQ954" s="781"/>
      <c r="AR954" s="781"/>
      <c r="AS954" s="781"/>
      <c r="AT954" s="781"/>
      <c r="AU954" s="781"/>
    </row>
    <row r="955" ht="15.75" customHeight="1">
      <c r="A955" s="811">
        <v>44719.0</v>
      </c>
      <c r="B955" s="867" t="s">
        <v>6584</v>
      </c>
      <c r="C955" s="868" t="s">
        <v>3820</v>
      </c>
      <c r="D955" s="869" t="s">
        <v>6346</v>
      </c>
      <c r="E955" s="870">
        <v>470001.08</v>
      </c>
      <c r="F955" s="869" t="s">
        <v>4074</v>
      </c>
      <c r="G955" s="869" t="s">
        <v>105</v>
      </c>
      <c r="H955" s="869" t="s">
        <v>29</v>
      </c>
      <c r="I955" s="869" t="s">
        <v>4075</v>
      </c>
      <c r="J955" s="871">
        <v>44103.0</v>
      </c>
      <c r="K955" s="868" t="s">
        <v>3836</v>
      </c>
      <c r="L955" s="781"/>
      <c r="M955" s="781"/>
      <c r="N955" s="781"/>
      <c r="O955" s="781"/>
      <c r="P955" s="781"/>
      <c r="Q955" s="781"/>
      <c r="R955" s="781"/>
      <c r="S955" s="781"/>
      <c r="T955" s="781"/>
      <c r="U955" s="781"/>
      <c r="V955" s="781"/>
      <c r="W955" s="781"/>
      <c r="X955" s="781"/>
      <c r="Y955" s="781"/>
      <c r="Z955" s="781"/>
      <c r="AA955" s="781"/>
      <c r="AB955" s="781"/>
      <c r="AC955" s="781"/>
      <c r="AD955" s="781"/>
      <c r="AE955" s="781"/>
      <c r="AF955" s="781"/>
      <c r="AG955" s="781"/>
      <c r="AH955" s="781"/>
      <c r="AI955" s="781"/>
      <c r="AJ955" s="781"/>
      <c r="AK955" s="781"/>
      <c r="AL955" s="781"/>
      <c r="AM955" s="781"/>
      <c r="AN955" s="781"/>
      <c r="AO955" s="781"/>
      <c r="AP955" s="781"/>
      <c r="AQ955" s="781"/>
      <c r="AR955" s="781"/>
      <c r="AS955" s="781"/>
      <c r="AT955" s="781"/>
      <c r="AU955" s="781"/>
    </row>
    <row r="956" ht="15.75" customHeight="1">
      <c r="A956" s="811">
        <v>44720.0</v>
      </c>
      <c r="B956" s="867" t="s">
        <v>6529</v>
      </c>
      <c r="C956" s="868" t="s">
        <v>3820</v>
      </c>
      <c r="D956" s="869" t="s">
        <v>6346</v>
      </c>
      <c r="E956" s="870">
        <v>30000.0</v>
      </c>
      <c r="F956" s="869" t="s">
        <v>6530</v>
      </c>
      <c r="G956" s="869" t="s">
        <v>18</v>
      </c>
      <c r="H956" s="869" t="s">
        <v>19</v>
      </c>
      <c r="I956" s="869" t="s">
        <v>20</v>
      </c>
      <c r="J956" s="871">
        <v>44645.0</v>
      </c>
      <c r="K956" s="868" t="s">
        <v>3828</v>
      </c>
      <c r="L956" s="781"/>
      <c r="M956" s="781"/>
      <c r="N956" s="781"/>
      <c r="O956" s="781"/>
      <c r="P956" s="781"/>
      <c r="Q956" s="781"/>
      <c r="R956" s="781"/>
      <c r="S956" s="781"/>
      <c r="T956" s="781"/>
      <c r="U956" s="781"/>
      <c r="V956" s="781"/>
      <c r="W956" s="781"/>
      <c r="X956" s="781"/>
      <c r="Y956" s="781"/>
      <c r="Z956" s="781"/>
      <c r="AA956" s="781"/>
      <c r="AB956" s="781"/>
      <c r="AC956" s="781"/>
      <c r="AD956" s="781"/>
      <c r="AE956" s="781"/>
      <c r="AF956" s="781"/>
      <c r="AG956" s="781"/>
      <c r="AH956" s="781"/>
      <c r="AI956" s="781"/>
      <c r="AJ956" s="781"/>
      <c r="AK956" s="781"/>
      <c r="AL956" s="781"/>
      <c r="AM956" s="781"/>
      <c r="AN956" s="781"/>
      <c r="AO956" s="781"/>
      <c r="AP956" s="781"/>
      <c r="AQ956" s="781"/>
      <c r="AR956" s="781"/>
      <c r="AS956" s="781"/>
      <c r="AT956" s="781"/>
      <c r="AU956" s="781"/>
    </row>
    <row r="957" ht="15.75" customHeight="1">
      <c r="A957" s="811">
        <v>44721.0</v>
      </c>
      <c r="B957" s="867" t="s">
        <v>6478</v>
      </c>
      <c r="C957" s="868" t="s">
        <v>3820</v>
      </c>
      <c r="D957" s="869" t="s">
        <v>6346</v>
      </c>
      <c r="E957" s="870">
        <v>20000.0</v>
      </c>
      <c r="F957" s="869" t="s">
        <v>4226</v>
      </c>
      <c r="G957" s="869" t="s">
        <v>18</v>
      </c>
      <c r="H957" s="869" t="s">
        <v>29</v>
      </c>
      <c r="I957" s="869" t="s">
        <v>2803</v>
      </c>
      <c r="J957" s="871">
        <v>44399.0</v>
      </c>
      <c r="K957" s="868" t="s">
        <v>3828</v>
      </c>
      <c r="L957" s="781"/>
      <c r="M957" s="781"/>
      <c r="N957" s="781"/>
      <c r="O957" s="781"/>
      <c r="P957" s="781"/>
      <c r="Q957" s="781"/>
      <c r="R957" s="781"/>
      <c r="S957" s="781"/>
      <c r="T957" s="781"/>
      <c r="U957" s="781"/>
      <c r="V957" s="781"/>
      <c r="W957" s="781"/>
      <c r="X957" s="781"/>
      <c r="Y957" s="781"/>
      <c r="Z957" s="781"/>
      <c r="AA957" s="781"/>
      <c r="AB957" s="781"/>
      <c r="AC957" s="781"/>
      <c r="AD957" s="781"/>
      <c r="AE957" s="781"/>
      <c r="AF957" s="781"/>
      <c r="AG957" s="781"/>
      <c r="AH957" s="781"/>
      <c r="AI957" s="781"/>
      <c r="AJ957" s="781"/>
      <c r="AK957" s="781"/>
      <c r="AL957" s="781"/>
      <c r="AM957" s="781"/>
      <c r="AN957" s="781"/>
      <c r="AO957" s="781"/>
      <c r="AP957" s="781"/>
      <c r="AQ957" s="781"/>
      <c r="AR957" s="781"/>
      <c r="AS957" s="781"/>
      <c r="AT957" s="781"/>
      <c r="AU957" s="781"/>
    </row>
    <row r="958" ht="15.75" customHeight="1">
      <c r="A958" s="811">
        <v>44726.0</v>
      </c>
      <c r="B958" s="867" t="s">
        <v>6511</v>
      </c>
      <c r="C958" s="868" t="s">
        <v>3820</v>
      </c>
      <c r="D958" s="869" t="s">
        <v>6346</v>
      </c>
      <c r="E958" s="870">
        <v>20000.0</v>
      </c>
      <c r="F958" s="869" t="s">
        <v>1552</v>
      </c>
      <c r="G958" s="869" t="s">
        <v>18</v>
      </c>
      <c r="H958" s="869" t="s">
        <v>29</v>
      </c>
      <c r="I958" s="869" t="s">
        <v>5047</v>
      </c>
      <c r="J958" s="871">
        <v>44594.0</v>
      </c>
      <c r="K958" s="868" t="s">
        <v>3834</v>
      </c>
      <c r="L958" s="781"/>
      <c r="M958" s="781"/>
      <c r="N958" s="781"/>
      <c r="O958" s="781"/>
      <c r="P958" s="781"/>
      <c r="Q958" s="781"/>
      <c r="R958" s="781"/>
      <c r="S958" s="781"/>
      <c r="T958" s="781"/>
      <c r="U958" s="781"/>
      <c r="V958" s="781"/>
      <c r="W958" s="781"/>
      <c r="X958" s="781"/>
      <c r="Y958" s="781"/>
      <c r="Z958" s="781"/>
      <c r="AA958" s="781"/>
      <c r="AB958" s="781"/>
      <c r="AC958" s="781"/>
      <c r="AD958" s="781"/>
      <c r="AE958" s="781"/>
      <c r="AF958" s="781"/>
      <c r="AG958" s="781"/>
      <c r="AH958" s="781"/>
      <c r="AI958" s="781"/>
      <c r="AJ958" s="781"/>
      <c r="AK958" s="781"/>
      <c r="AL958" s="781"/>
      <c r="AM958" s="781"/>
      <c r="AN958" s="781"/>
      <c r="AO958" s="781"/>
      <c r="AP958" s="781"/>
      <c r="AQ958" s="781"/>
      <c r="AR958" s="781"/>
      <c r="AS958" s="781"/>
      <c r="AT958" s="781"/>
      <c r="AU958" s="781"/>
    </row>
    <row r="959" ht="15.75" customHeight="1">
      <c r="A959" s="811">
        <v>44727.0</v>
      </c>
      <c r="B959" s="867" t="s">
        <v>6585</v>
      </c>
      <c r="C959" s="868" t="s">
        <v>3820</v>
      </c>
      <c r="D959" s="869" t="s">
        <v>6345</v>
      </c>
      <c r="E959" s="870">
        <v>9396.31</v>
      </c>
      <c r="F959" s="869" t="s">
        <v>4234</v>
      </c>
      <c r="G959" s="869" t="s">
        <v>18</v>
      </c>
      <c r="H959" s="869" t="s">
        <v>29</v>
      </c>
      <c r="I959" s="869" t="s">
        <v>4235</v>
      </c>
      <c r="J959" s="871">
        <v>44323.0</v>
      </c>
      <c r="K959" s="868" t="s">
        <v>3834</v>
      </c>
      <c r="L959" s="781"/>
      <c r="M959" s="781"/>
      <c r="N959" s="781"/>
      <c r="O959" s="781"/>
      <c r="P959" s="781"/>
      <c r="Q959" s="781"/>
      <c r="R959" s="781"/>
      <c r="S959" s="781"/>
      <c r="T959" s="781"/>
      <c r="U959" s="781"/>
      <c r="V959" s="781"/>
      <c r="W959" s="781"/>
      <c r="X959" s="781"/>
      <c r="Y959" s="781"/>
      <c r="Z959" s="781"/>
      <c r="AA959" s="781"/>
      <c r="AB959" s="781"/>
      <c r="AC959" s="781"/>
      <c r="AD959" s="781"/>
      <c r="AE959" s="781"/>
      <c r="AF959" s="781"/>
      <c r="AG959" s="781"/>
      <c r="AH959" s="781"/>
      <c r="AI959" s="781"/>
      <c r="AJ959" s="781"/>
      <c r="AK959" s="781"/>
      <c r="AL959" s="781"/>
      <c r="AM959" s="781"/>
      <c r="AN959" s="781"/>
      <c r="AO959" s="781"/>
      <c r="AP959" s="781"/>
      <c r="AQ959" s="781"/>
      <c r="AR959" s="781"/>
      <c r="AS959" s="781"/>
      <c r="AT959" s="781"/>
      <c r="AU959" s="781"/>
    </row>
    <row r="960" ht="15.75" customHeight="1">
      <c r="A960" s="811">
        <v>44727.0</v>
      </c>
      <c r="B960" s="867" t="s">
        <v>6586</v>
      </c>
      <c r="C960" s="868" t="s">
        <v>3820</v>
      </c>
      <c r="D960" s="869" t="s">
        <v>6346</v>
      </c>
      <c r="E960" s="870">
        <v>44000.0</v>
      </c>
      <c r="F960" s="869" t="s">
        <v>1292</v>
      </c>
      <c r="G960" s="869" t="s">
        <v>105</v>
      </c>
      <c r="H960" s="869" t="s">
        <v>29</v>
      </c>
      <c r="I960" s="869">
        <v>4551730.0</v>
      </c>
      <c r="J960" s="871">
        <v>44138.0</v>
      </c>
      <c r="K960" s="868" t="s">
        <v>3836</v>
      </c>
      <c r="L960" s="781"/>
      <c r="M960" s="781"/>
      <c r="N960" s="781"/>
      <c r="O960" s="781"/>
      <c r="P960" s="781"/>
      <c r="Q960" s="781"/>
      <c r="R960" s="781"/>
      <c r="S960" s="781"/>
      <c r="T960" s="781"/>
      <c r="U960" s="781"/>
      <c r="V960" s="781"/>
      <c r="W960" s="781"/>
      <c r="X960" s="781"/>
      <c r="Y960" s="781"/>
      <c r="Z960" s="781"/>
      <c r="AA960" s="781"/>
      <c r="AB960" s="781"/>
      <c r="AC960" s="781"/>
      <c r="AD960" s="781"/>
      <c r="AE960" s="781"/>
      <c r="AF960" s="781"/>
      <c r="AG960" s="781"/>
      <c r="AH960" s="781"/>
      <c r="AI960" s="781"/>
      <c r="AJ960" s="781"/>
      <c r="AK960" s="781"/>
      <c r="AL960" s="781"/>
      <c r="AM960" s="781"/>
      <c r="AN960" s="781"/>
      <c r="AO960" s="781"/>
      <c r="AP960" s="781"/>
      <c r="AQ960" s="781"/>
      <c r="AR960" s="781"/>
      <c r="AS960" s="781"/>
      <c r="AT960" s="781"/>
      <c r="AU960" s="781"/>
    </row>
    <row r="961" ht="15.75" customHeight="1">
      <c r="A961" s="811">
        <v>44732.0</v>
      </c>
      <c r="B961" s="867">
        <v>4068685.0</v>
      </c>
      <c r="C961" s="868" t="s">
        <v>3820</v>
      </c>
      <c r="D961" s="869" t="s">
        <v>6346</v>
      </c>
      <c r="E961" s="870">
        <v>250000.0</v>
      </c>
      <c r="F961" s="869" t="s">
        <v>4093</v>
      </c>
      <c r="G961" s="869" t="s">
        <v>18</v>
      </c>
      <c r="H961" s="869" t="s">
        <v>19</v>
      </c>
      <c r="I961" s="869" t="s">
        <v>6334</v>
      </c>
      <c r="J961" s="871">
        <v>44130.0</v>
      </c>
      <c r="K961" s="868" t="s">
        <v>3828</v>
      </c>
      <c r="L961" s="781"/>
      <c r="M961" s="781"/>
      <c r="N961" s="781"/>
      <c r="O961" s="781"/>
      <c r="P961" s="781"/>
      <c r="Q961" s="781"/>
      <c r="R961" s="781"/>
      <c r="S961" s="781"/>
      <c r="T961" s="781"/>
      <c r="U961" s="781"/>
      <c r="V961" s="781"/>
      <c r="W961" s="781"/>
      <c r="X961" s="781"/>
      <c r="Y961" s="781"/>
      <c r="Z961" s="781"/>
      <c r="AA961" s="781"/>
      <c r="AB961" s="781"/>
      <c r="AC961" s="781"/>
      <c r="AD961" s="781"/>
      <c r="AE961" s="781"/>
      <c r="AF961" s="781"/>
      <c r="AG961" s="781"/>
      <c r="AH961" s="781"/>
      <c r="AI961" s="781"/>
      <c r="AJ961" s="781"/>
      <c r="AK961" s="781"/>
      <c r="AL961" s="781"/>
      <c r="AM961" s="781"/>
      <c r="AN961" s="781"/>
      <c r="AO961" s="781"/>
      <c r="AP961" s="781"/>
      <c r="AQ961" s="781"/>
      <c r="AR961" s="781"/>
      <c r="AS961" s="781"/>
      <c r="AT961" s="781"/>
      <c r="AU961" s="781"/>
    </row>
    <row r="962" ht="15.75" customHeight="1">
      <c r="A962" s="811">
        <v>44734.0</v>
      </c>
      <c r="B962" s="867" t="s">
        <v>6584</v>
      </c>
      <c r="C962" s="868" t="s">
        <v>3820</v>
      </c>
      <c r="D962" s="869" t="s">
        <v>6346</v>
      </c>
      <c r="E962" s="870">
        <v>823824.0</v>
      </c>
      <c r="F962" s="869" t="s">
        <v>4074</v>
      </c>
      <c r="G962" s="869" t="s">
        <v>105</v>
      </c>
      <c r="H962" s="869" t="s">
        <v>29</v>
      </c>
      <c r="I962" s="869" t="s">
        <v>4075</v>
      </c>
      <c r="J962" s="871">
        <v>44103.0</v>
      </c>
      <c r="K962" s="868" t="s">
        <v>3836</v>
      </c>
      <c r="L962" s="781"/>
      <c r="M962" s="781"/>
      <c r="N962" s="781"/>
      <c r="O962" s="781"/>
      <c r="P962" s="781"/>
      <c r="Q962" s="781"/>
      <c r="R962" s="781"/>
      <c r="S962" s="781"/>
      <c r="T962" s="781"/>
      <c r="U962" s="781"/>
      <c r="V962" s="781"/>
      <c r="W962" s="781"/>
      <c r="X962" s="781"/>
      <c r="Y962" s="781"/>
      <c r="Z962" s="781"/>
      <c r="AA962" s="781"/>
      <c r="AB962" s="781"/>
      <c r="AC962" s="781"/>
      <c r="AD962" s="781"/>
      <c r="AE962" s="781"/>
      <c r="AF962" s="781"/>
      <c r="AG962" s="781"/>
      <c r="AH962" s="781"/>
      <c r="AI962" s="781"/>
      <c r="AJ962" s="781"/>
      <c r="AK962" s="781"/>
      <c r="AL962" s="781"/>
      <c r="AM962" s="781"/>
      <c r="AN962" s="781"/>
      <c r="AO962" s="781"/>
      <c r="AP962" s="781"/>
      <c r="AQ962" s="781"/>
      <c r="AR962" s="781"/>
      <c r="AS962" s="781"/>
      <c r="AT962" s="781"/>
      <c r="AU962" s="781"/>
    </row>
    <row r="963" ht="15.75" customHeight="1">
      <c r="A963" s="811">
        <v>44735.0</v>
      </c>
      <c r="B963" s="867" t="s">
        <v>2737</v>
      </c>
      <c r="C963" s="868" t="s">
        <v>2547</v>
      </c>
      <c r="D963" s="869" t="s">
        <v>6345</v>
      </c>
      <c r="E963" s="870">
        <v>64448.81</v>
      </c>
      <c r="F963" s="869" t="s">
        <v>2736</v>
      </c>
      <c r="G963" s="869" t="s">
        <v>2550</v>
      </c>
      <c r="H963" s="869" t="s">
        <v>29</v>
      </c>
      <c r="I963" s="869" t="s">
        <v>2551</v>
      </c>
      <c r="J963" s="871">
        <v>43707.0</v>
      </c>
      <c r="K963" s="868" t="s">
        <v>3840</v>
      </c>
      <c r="L963" s="781"/>
      <c r="M963" s="781"/>
      <c r="N963" s="781"/>
      <c r="O963" s="781"/>
      <c r="P963" s="781"/>
      <c r="Q963" s="781"/>
      <c r="R963" s="781"/>
      <c r="S963" s="781"/>
      <c r="T963" s="781"/>
      <c r="U963" s="781"/>
      <c r="V963" s="781"/>
      <c r="W963" s="781"/>
      <c r="X963" s="781"/>
      <c r="Y963" s="781"/>
      <c r="Z963" s="781"/>
      <c r="AA963" s="781"/>
      <c r="AB963" s="781"/>
      <c r="AC963" s="781"/>
      <c r="AD963" s="781"/>
      <c r="AE963" s="781"/>
      <c r="AF963" s="781"/>
      <c r="AG963" s="781"/>
      <c r="AH963" s="781"/>
      <c r="AI963" s="781"/>
      <c r="AJ963" s="781"/>
      <c r="AK963" s="781"/>
      <c r="AL963" s="781"/>
      <c r="AM963" s="781"/>
      <c r="AN963" s="781"/>
      <c r="AO963" s="781"/>
      <c r="AP963" s="781"/>
      <c r="AQ963" s="781"/>
      <c r="AR963" s="781"/>
      <c r="AS963" s="781"/>
      <c r="AT963" s="781"/>
      <c r="AU963" s="781"/>
    </row>
    <row r="964" ht="15.75" customHeight="1">
      <c r="A964" s="811">
        <v>44739.0</v>
      </c>
      <c r="B964" s="867" t="s">
        <v>6587</v>
      </c>
      <c r="C964" s="868" t="s">
        <v>3820</v>
      </c>
      <c r="D964" s="869" t="s">
        <v>6346</v>
      </c>
      <c r="E964" s="870">
        <v>10000.0</v>
      </c>
      <c r="F964" s="869" t="s">
        <v>6588</v>
      </c>
      <c r="G964" s="869" t="s">
        <v>18</v>
      </c>
      <c r="H964" s="869" t="s">
        <v>19</v>
      </c>
      <c r="I964" s="869" t="s">
        <v>20</v>
      </c>
      <c r="J964" s="871">
        <v>44715.0</v>
      </c>
      <c r="K964" s="868" t="s">
        <v>3836</v>
      </c>
      <c r="L964" s="781"/>
      <c r="M964" s="781"/>
      <c r="N964" s="781"/>
      <c r="O964" s="781"/>
      <c r="P964" s="781"/>
      <c r="Q964" s="781"/>
      <c r="R964" s="781"/>
      <c r="S964" s="781"/>
      <c r="T964" s="781"/>
      <c r="U964" s="781"/>
      <c r="V964" s="781"/>
      <c r="W964" s="781"/>
      <c r="X964" s="781"/>
      <c r="Y964" s="781"/>
      <c r="Z964" s="781"/>
      <c r="AA964" s="781"/>
      <c r="AB964" s="781"/>
      <c r="AC964" s="781"/>
      <c r="AD964" s="781"/>
      <c r="AE964" s="781"/>
      <c r="AF964" s="781"/>
      <c r="AG964" s="781"/>
      <c r="AH964" s="781"/>
      <c r="AI964" s="781"/>
      <c r="AJ964" s="781"/>
      <c r="AK964" s="781"/>
      <c r="AL964" s="781"/>
      <c r="AM964" s="781"/>
      <c r="AN964" s="781"/>
      <c r="AO964" s="781"/>
      <c r="AP964" s="781"/>
      <c r="AQ964" s="781"/>
      <c r="AR964" s="781"/>
      <c r="AS964" s="781"/>
      <c r="AT964" s="781"/>
      <c r="AU964" s="781"/>
    </row>
    <row r="965" ht="15.75" customHeight="1">
      <c r="A965" s="811">
        <v>44739.0</v>
      </c>
      <c r="B965" s="867" t="s">
        <v>6589</v>
      </c>
      <c r="C965" s="868" t="s">
        <v>3820</v>
      </c>
      <c r="D965" s="869" t="s">
        <v>6346</v>
      </c>
      <c r="E965" s="870">
        <v>323000.0</v>
      </c>
      <c r="F965" s="869" t="s">
        <v>4408</v>
      </c>
      <c r="G965" s="869" t="s">
        <v>18</v>
      </c>
      <c r="H965" s="869" t="s">
        <v>19</v>
      </c>
      <c r="I965" s="869" t="s">
        <v>20</v>
      </c>
      <c r="J965" s="871">
        <v>44694.0</v>
      </c>
      <c r="K965" s="868" t="s">
        <v>3834</v>
      </c>
      <c r="L965" s="781"/>
      <c r="M965" s="781"/>
      <c r="N965" s="781"/>
      <c r="O965" s="781"/>
      <c r="P965" s="781"/>
      <c r="Q965" s="781"/>
      <c r="R965" s="781"/>
      <c r="S965" s="781"/>
      <c r="T965" s="781"/>
      <c r="U965" s="781"/>
      <c r="V965" s="781"/>
      <c r="W965" s="781"/>
      <c r="X965" s="781"/>
      <c r="Y965" s="781"/>
      <c r="Z965" s="781"/>
      <c r="AA965" s="781"/>
      <c r="AB965" s="781"/>
      <c r="AC965" s="781"/>
      <c r="AD965" s="781"/>
      <c r="AE965" s="781"/>
      <c r="AF965" s="781"/>
      <c r="AG965" s="781"/>
      <c r="AH965" s="781"/>
      <c r="AI965" s="781"/>
      <c r="AJ965" s="781"/>
      <c r="AK965" s="781"/>
      <c r="AL965" s="781"/>
      <c r="AM965" s="781"/>
      <c r="AN965" s="781"/>
      <c r="AO965" s="781"/>
      <c r="AP965" s="781"/>
      <c r="AQ965" s="781"/>
      <c r="AR965" s="781"/>
      <c r="AS965" s="781"/>
      <c r="AT965" s="781"/>
      <c r="AU965" s="781"/>
    </row>
    <row r="966" ht="15.75" customHeight="1">
      <c r="A966" s="811">
        <v>44740.0</v>
      </c>
      <c r="B966" s="867" t="s">
        <v>6400</v>
      </c>
      <c r="C966" s="868" t="s">
        <v>3820</v>
      </c>
      <c r="D966" s="869" t="s">
        <v>1481</v>
      </c>
      <c r="E966" s="870">
        <v>3147.95</v>
      </c>
      <c r="F966" s="869" t="s">
        <v>1056</v>
      </c>
      <c r="G966" s="869" t="s">
        <v>105</v>
      </c>
      <c r="H966" s="869" t="s">
        <v>29</v>
      </c>
      <c r="I966" s="869" t="s">
        <v>4122</v>
      </c>
      <c r="J966" s="871">
        <v>44145.0</v>
      </c>
      <c r="K966" s="868" t="s">
        <v>3824</v>
      </c>
      <c r="L966" s="781"/>
      <c r="M966" s="781"/>
      <c r="N966" s="781"/>
      <c r="O966" s="781"/>
      <c r="P966" s="781"/>
      <c r="Q966" s="781"/>
      <c r="R966" s="781"/>
      <c r="S966" s="781"/>
      <c r="T966" s="781"/>
      <c r="U966" s="781"/>
      <c r="V966" s="781"/>
      <c r="W966" s="781"/>
      <c r="X966" s="781"/>
      <c r="Y966" s="781"/>
      <c r="Z966" s="781"/>
      <c r="AA966" s="781"/>
      <c r="AB966" s="781"/>
      <c r="AC966" s="781"/>
      <c r="AD966" s="781"/>
      <c r="AE966" s="781"/>
      <c r="AF966" s="781"/>
      <c r="AG966" s="781"/>
      <c r="AH966" s="781"/>
      <c r="AI966" s="781"/>
      <c r="AJ966" s="781"/>
      <c r="AK966" s="781"/>
      <c r="AL966" s="781"/>
      <c r="AM966" s="781"/>
      <c r="AN966" s="781"/>
      <c r="AO966" s="781"/>
      <c r="AP966" s="781"/>
      <c r="AQ966" s="781"/>
      <c r="AR966" s="781"/>
      <c r="AS966" s="781"/>
      <c r="AT966" s="781"/>
      <c r="AU966" s="781"/>
    </row>
    <row r="967" ht="15.75" customHeight="1">
      <c r="A967" s="811">
        <v>44740.0</v>
      </c>
      <c r="B967" s="867" t="s">
        <v>6590</v>
      </c>
      <c r="C967" s="868" t="s">
        <v>3820</v>
      </c>
      <c r="D967" s="869" t="s">
        <v>6346</v>
      </c>
      <c r="E967" s="870">
        <v>35000.0</v>
      </c>
      <c r="F967" s="869" t="s">
        <v>4118</v>
      </c>
      <c r="G967" s="869" t="s">
        <v>18</v>
      </c>
      <c r="H967" s="869" t="s">
        <v>19</v>
      </c>
      <c r="I967" s="869" t="s">
        <v>5029</v>
      </c>
      <c r="J967" s="871">
        <v>44445.0</v>
      </c>
      <c r="K967" s="868" t="s">
        <v>3834</v>
      </c>
      <c r="L967" s="781"/>
      <c r="M967" s="781"/>
      <c r="N967" s="781"/>
      <c r="O967" s="781"/>
      <c r="P967" s="781"/>
      <c r="Q967" s="781"/>
      <c r="R967" s="781"/>
      <c r="S967" s="781"/>
      <c r="T967" s="781"/>
      <c r="U967" s="781"/>
      <c r="V967" s="781"/>
      <c r="W967" s="781"/>
      <c r="X967" s="781"/>
      <c r="Y967" s="781"/>
      <c r="Z967" s="781"/>
      <c r="AA967" s="781"/>
      <c r="AB967" s="781"/>
      <c r="AC967" s="781"/>
      <c r="AD967" s="781"/>
      <c r="AE967" s="781"/>
      <c r="AF967" s="781"/>
      <c r="AG967" s="781"/>
      <c r="AH967" s="781"/>
      <c r="AI967" s="781"/>
      <c r="AJ967" s="781"/>
      <c r="AK967" s="781"/>
      <c r="AL967" s="781"/>
      <c r="AM967" s="781"/>
      <c r="AN967" s="781"/>
      <c r="AO967" s="781"/>
      <c r="AP967" s="781"/>
      <c r="AQ967" s="781"/>
      <c r="AR967" s="781"/>
      <c r="AS967" s="781"/>
      <c r="AT967" s="781"/>
      <c r="AU967" s="781"/>
    </row>
    <row r="968" ht="15.75" customHeight="1">
      <c r="A968" s="811">
        <v>44740.0</v>
      </c>
      <c r="B968" s="867" t="s">
        <v>6591</v>
      </c>
      <c r="C968" s="868" t="s">
        <v>3820</v>
      </c>
      <c r="D968" s="869" t="s">
        <v>6345</v>
      </c>
      <c r="E968" s="870" t="s">
        <v>6592</v>
      </c>
      <c r="F968" s="869" t="s">
        <v>4080</v>
      </c>
      <c r="G968" s="869" t="s">
        <v>18</v>
      </c>
      <c r="H968" s="869" t="s">
        <v>19</v>
      </c>
      <c r="I968" s="869" t="s">
        <v>256</v>
      </c>
      <c r="J968" s="871">
        <v>44466.0</v>
      </c>
      <c r="K968" s="868" t="s">
        <v>3840</v>
      </c>
      <c r="L968" s="781"/>
      <c r="M968" s="781"/>
      <c r="N968" s="781"/>
      <c r="O968" s="781"/>
      <c r="P968" s="781"/>
      <c r="Q968" s="781"/>
      <c r="R968" s="781"/>
      <c r="S968" s="781"/>
      <c r="T968" s="781"/>
      <c r="U968" s="781"/>
      <c r="V968" s="781"/>
      <c r="W968" s="781"/>
      <c r="X968" s="781"/>
      <c r="Y968" s="781"/>
      <c r="Z968" s="781"/>
      <c r="AA968" s="781"/>
      <c r="AB968" s="781"/>
      <c r="AC968" s="781"/>
      <c r="AD968" s="781"/>
      <c r="AE968" s="781"/>
      <c r="AF968" s="781"/>
      <c r="AG968" s="781"/>
      <c r="AH968" s="781"/>
      <c r="AI968" s="781"/>
      <c r="AJ968" s="781"/>
      <c r="AK968" s="781"/>
      <c r="AL968" s="781"/>
      <c r="AM968" s="781"/>
      <c r="AN968" s="781"/>
      <c r="AO968" s="781"/>
      <c r="AP968" s="781"/>
      <c r="AQ968" s="781"/>
      <c r="AR968" s="781"/>
      <c r="AS968" s="781"/>
      <c r="AT968" s="781"/>
      <c r="AU968" s="781"/>
    </row>
    <row r="969" ht="15.75" customHeight="1">
      <c r="A969" s="811">
        <v>44741.0</v>
      </c>
      <c r="B969" s="867" t="s">
        <v>6593</v>
      </c>
      <c r="C969" s="868" t="s">
        <v>3820</v>
      </c>
      <c r="D969" s="869" t="s">
        <v>6346</v>
      </c>
      <c r="E969" s="870">
        <v>350000.0</v>
      </c>
      <c r="F969" s="869" t="s">
        <v>1416</v>
      </c>
      <c r="G969" s="869" t="s">
        <v>18</v>
      </c>
      <c r="H969" s="869" t="s">
        <v>19</v>
      </c>
      <c r="I969" s="869" t="s">
        <v>122</v>
      </c>
      <c r="J969" s="871">
        <v>44568.0</v>
      </c>
      <c r="K969" s="868" t="s">
        <v>4479</v>
      </c>
      <c r="L969" s="781"/>
      <c r="M969" s="781"/>
      <c r="N969" s="781"/>
      <c r="O969" s="781"/>
      <c r="P969" s="781"/>
      <c r="Q969" s="781"/>
      <c r="R969" s="781"/>
      <c r="S969" s="781"/>
      <c r="T969" s="781"/>
      <c r="U969" s="781"/>
      <c r="V969" s="781"/>
      <c r="W969" s="781"/>
      <c r="X969" s="781"/>
      <c r="Y969" s="781"/>
      <c r="Z969" s="781"/>
      <c r="AA969" s="781"/>
      <c r="AB969" s="781"/>
      <c r="AC969" s="781"/>
      <c r="AD969" s="781"/>
      <c r="AE969" s="781"/>
      <c r="AF969" s="781"/>
      <c r="AG969" s="781"/>
      <c r="AH969" s="781"/>
      <c r="AI969" s="781"/>
      <c r="AJ969" s="781"/>
      <c r="AK969" s="781"/>
      <c r="AL969" s="781"/>
      <c r="AM969" s="781"/>
      <c r="AN969" s="781"/>
      <c r="AO969" s="781"/>
      <c r="AP969" s="781"/>
      <c r="AQ969" s="781"/>
      <c r="AR969" s="781"/>
      <c r="AS969" s="781"/>
      <c r="AT969" s="781"/>
      <c r="AU969" s="781"/>
    </row>
    <row r="970" ht="15.75" customHeight="1">
      <c r="A970" s="811">
        <v>44741.0</v>
      </c>
      <c r="B970" s="867" t="s">
        <v>6594</v>
      </c>
      <c r="C970" s="868" t="s">
        <v>3820</v>
      </c>
      <c r="D970" s="869" t="s">
        <v>6346</v>
      </c>
      <c r="E970" s="870">
        <v>15000.0</v>
      </c>
      <c r="F970" s="869" t="s">
        <v>4761</v>
      </c>
      <c r="G970" s="869" t="s">
        <v>18</v>
      </c>
      <c r="H970" s="869" t="s">
        <v>19</v>
      </c>
      <c r="I970" s="869" t="s">
        <v>6334</v>
      </c>
      <c r="J970" s="871">
        <v>44679.0</v>
      </c>
      <c r="K970" s="868" t="s">
        <v>3828</v>
      </c>
      <c r="L970" s="781"/>
      <c r="M970" s="781"/>
      <c r="N970" s="781"/>
      <c r="O970" s="781"/>
      <c r="P970" s="781"/>
      <c r="Q970" s="781"/>
      <c r="R970" s="781"/>
      <c r="S970" s="781"/>
      <c r="T970" s="781"/>
      <c r="U970" s="781"/>
      <c r="V970" s="781"/>
      <c r="W970" s="781"/>
      <c r="X970" s="781"/>
      <c r="Y970" s="781"/>
      <c r="Z970" s="781"/>
      <c r="AA970" s="781"/>
      <c r="AB970" s="781"/>
      <c r="AC970" s="781"/>
      <c r="AD970" s="781"/>
      <c r="AE970" s="781"/>
      <c r="AF970" s="781"/>
      <c r="AG970" s="781"/>
      <c r="AH970" s="781"/>
      <c r="AI970" s="781"/>
      <c r="AJ970" s="781"/>
      <c r="AK970" s="781"/>
      <c r="AL970" s="781"/>
      <c r="AM970" s="781"/>
      <c r="AN970" s="781"/>
      <c r="AO970" s="781"/>
      <c r="AP970" s="781"/>
      <c r="AQ970" s="781"/>
      <c r="AR970" s="781"/>
      <c r="AS970" s="781"/>
      <c r="AT970" s="781"/>
      <c r="AU970" s="781"/>
    </row>
    <row r="971" ht="15.75" customHeight="1">
      <c r="A971" s="811">
        <v>44746.0</v>
      </c>
      <c r="B971" s="867" t="s">
        <v>3569</v>
      </c>
      <c r="C971" s="868" t="s">
        <v>2547</v>
      </c>
      <c r="D971" s="869" t="s">
        <v>6345</v>
      </c>
      <c r="E971" s="870">
        <v>53398.09</v>
      </c>
      <c r="F971" s="869" t="s">
        <v>3568</v>
      </c>
      <c r="G971" s="869" t="s">
        <v>18</v>
      </c>
      <c r="H971" s="869" t="s">
        <v>176</v>
      </c>
      <c r="I971" s="869" t="s">
        <v>197</v>
      </c>
      <c r="J971" s="871">
        <v>44335.0</v>
      </c>
      <c r="K971" s="868" t="s">
        <v>3828</v>
      </c>
      <c r="L971" s="781"/>
      <c r="M971" s="781"/>
      <c r="N971" s="781"/>
      <c r="O971" s="781"/>
      <c r="P971" s="781"/>
      <c r="Q971" s="781"/>
      <c r="R971" s="781"/>
      <c r="S971" s="781"/>
      <c r="T971" s="781"/>
      <c r="U971" s="781"/>
      <c r="V971" s="781"/>
      <c r="W971" s="781"/>
      <c r="X971" s="781"/>
      <c r="Y971" s="781"/>
      <c r="Z971" s="781"/>
      <c r="AA971" s="781"/>
      <c r="AB971" s="781"/>
      <c r="AC971" s="781"/>
      <c r="AD971" s="781"/>
      <c r="AE971" s="781"/>
      <c r="AF971" s="781"/>
      <c r="AG971" s="781"/>
      <c r="AH971" s="781"/>
      <c r="AI971" s="781"/>
      <c r="AJ971" s="781"/>
      <c r="AK971" s="781"/>
      <c r="AL971" s="781"/>
      <c r="AM971" s="781"/>
      <c r="AN971" s="781"/>
      <c r="AO971" s="781"/>
      <c r="AP971" s="781"/>
      <c r="AQ971" s="781"/>
      <c r="AR971" s="781"/>
      <c r="AS971" s="781"/>
      <c r="AT971" s="781"/>
      <c r="AU971" s="781"/>
    </row>
    <row r="972" ht="15.75" customHeight="1">
      <c r="A972" s="811">
        <v>44753.0</v>
      </c>
      <c r="B972" s="867" t="s">
        <v>6595</v>
      </c>
      <c r="C972" s="868" t="s">
        <v>3820</v>
      </c>
      <c r="D972" s="869" t="s">
        <v>6345</v>
      </c>
      <c r="E972" s="870">
        <v>102018.55</v>
      </c>
      <c r="F972" s="869" t="s">
        <v>6596</v>
      </c>
      <c r="G972" s="869" t="s">
        <v>18</v>
      </c>
      <c r="H972" s="869" t="s">
        <v>29</v>
      </c>
      <c r="I972" s="869" t="s">
        <v>60</v>
      </c>
      <c r="J972" s="871">
        <v>44655.0</v>
      </c>
      <c r="K972" s="868" t="s">
        <v>3828</v>
      </c>
      <c r="L972" s="781"/>
      <c r="M972" s="781"/>
      <c r="N972" s="781"/>
      <c r="O972" s="781"/>
      <c r="P972" s="781"/>
      <c r="Q972" s="781"/>
      <c r="R972" s="781"/>
      <c r="S972" s="781"/>
      <c r="T972" s="781"/>
      <c r="U972" s="781"/>
      <c r="V972" s="781"/>
      <c r="W972" s="781"/>
      <c r="X972" s="781"/>
      <c r="Y972" s="781"/>
      <c r="Z972" s="781"/>
      <c r="AA972" s="781"/>
      <c r="AB972" s="781"/>
      <c r="AC972" s="781"/>
      <c r="AD972" s="781"/>
      <c r="AE972" s="781"/>
      <c r="AF972" s="781"/>
      <c r="AG972" s="781"/>
      <c r="AH972" s="781"/>
      <c r="AI972" s="781"/>
      <c r="AJ972" s="781"/>
      <c r="AK972" s="781"/>
      <c r="AL972" s="781"/>
      <c r="AM972" s="781"/>
      <c r="AN972" s="781"/>
      <c r="AO972" s="781"/>
      <c r="AP972" s="781"/>
      <c r="AQ972" s="781"/>
      <c r="AR972" s="781"/>
      <c r="AS972" s="781"/>
      <c r="AT972" s="781"/>
      <c r="AU972" s="781"/>
    </row>
    <row r="973" ht="15.75" customHeight="1">
      <c r="A973" s="811">
        <v>44753.0</v>
      </c>
      <c r="B973" s="867" t="s">
        <v>6368</v>
      </c>
      <c r="C973" s="868" t="s">
        <v>3820</v>
      </c>
      <c r="D973" s="869" t="s">
        <v>6346</v>
      </c>
      <c r="E973" s="870">
        <v>5000.0</v>
      </c>
      <c r="F973" s="869" t="s">
        <v>4388</v>
      </c>
      <c r="G973" s="869" t="s">
        <v>18</v>
      </c>
      <c r="H973" s="869" t="s">
        <v>19</v>
      </c>
      <c r="I973" s="869" t="s">
        <v>3887</v>
      </c>
      <c r="J973" s="871">
        <v>44263.0</v>
      </c>
      <c r="K973" s="868" t="s">
        <v>3834</v>
      </c>
      <c r="L973" s="781"/>
      <c r="M973" s="781"/>
      <c r="N973" s="781"/>
      <c r="O973" s="781"/>
      <c r="P973" s="781"/>
      <c r="Q973" s="781"/>
      <c r="R973" s="781"/>
      <c r="S973" s="781"/>
      <c r="T973" s="781"/>
      <c r="U973" s="781"/>
      <c r="V973" s="781"/>
      <c r="W973" s="781"/>
      <c r="X973" s="781"/>
      <c r="Y973" s="781"/>
      <c r="Z973" s="781"/>
      <c r="AA973" s="781"/>
      <c r="AB973" s="781"/>
      <c r="AC973" s="781"/>
      <c r="AD973" s="781"/>
      <c r="AE973" s="781"/>
      <c r="AF973" s="781"/>
      <c r="AG973" s="781"/>
      <c r="AH973" s="781"/>
      <c r="AI973" s="781"/>
      <c r="AJ973" s="781"/>
      <c r="AK973" s="781"/>
      <c r="AL973" s="781"/>
      <c r="AM973" s="781"/>
      <c r="AN973" s="781"/>
      <c r="AO973" s="781"/>
      <c r="AP973" s="781"/>
      <c r="AQ973" s="781"/>
      <c r="AR973" s="781"/>
      <c r="AS973" s="781"/>
      <c r="AT973" s="781"/>
      <c r="AU973" s="781"/>
    </row>
    <row r="974" ht="15.75" customHeight="1">
      <c r="A974" s="811">
        <v>44754.0</v>
      </c>
      <c r="B974" s="867" t="s">
        <v>6587</v>
      </c>
      <c r="C974" s="868" t="s">
        <v>3820</v>
      </c>
      <c r="D974" s="869" t="s">
        <v>6346</v>
      </c>
      <c r="E974" s="870">
        <v>10000.0</v>
      </c>
      <c r="F974" s="869" t="s">
        <v>6588</v>
      </c>
      <c r="G974" s="869" t="s">
        <v>18</v>
      </c>
      <c r="H974" s="869" t="s">
        <v>19</v>
      </c>
      <c r="I974" s="869" t="s">
        <v>20</v>
      </c>
      <c r="J974" s="871">
        <v>44715.0</v>
      </c>
      <c r="K974" s="868" t="s">
        <v>3836</v>
      </c>
      <c r="L974" s="781"/>
      <c r="M974" s="781"/>
      <c r="N974" s="781"/>
      <c r="O974" s="781"/>
      <c r="P974" s="781"/>
      <c r="Q974" s="781"/>
      <c r="R974" s="781"/>
      <c r="S974" s="781"/>
      <c r="T974" s="781"/>
      <c r="U974" s="781"/>
      <c r="V974" s="781"/>
      <c r="W974" s="781"/>
      <c r="X974" s="781"/>
      <c r="Y974" s="781"/>
      <c r="Z974" s="781"/>
      <c r="AA974" s="781"/>
      <c r="AB974" s="781"/>
      <c r="AC974" s="781"/>
      <c r="AD974" s="781"/>
      <c r="AE974" s="781"/>
      <c r="AF974" s="781"/>
      <c r="AG974" s="781"/>
      <c r="AH974" s="781"/>
      <c r="AI974" s="781"/>
      <c r="AJ974" s="781"/>
      <c r="AK974" s="781"/>
      <c r="AL974" s="781"/>
      <c r="AM974" s="781"/>
      <c r="AN974" s="781"/>
      <c r="AO974" s="781"/>
      <c r="AP974" s="781"/>
      <c r="AQ974" s="781"/>
      <c r="AR974" s="781"/>
      <c r="AS974" s="781"/>
      <c r="AT974" s="781"/>
      <c r="AU974" s="781"/>
    </row>
    <row r="975" ht="15.75" customHeight="1">
      <c r="A975" s="811">
        <v>44754.0</v>
      </c>
      <c r="B975" s="867" t="s">
        <v>6587</v>
      </c>
      <c r="C975" s="868" t="s">
        <v>3820</v>
      </c>
      <c r="D975" s="869" t="s">
        <v>6346</v>
      </c>
      <c r="E975" s="870">
        <v>10000.0</v>
      </c>
      <c r="F975" s="869" t="s">
        <v>6588</v>
      </c>
      <c r="G975" s="869" t="s">
        <v>18</v>
      </c>
      <c r="H975" s="869" t="s">
        <v>19</v>
      </c>
      <c r="I975" s="869" t="s">
        <v>20</v>
      </c>
      <c r="J975" s="871">
        <v>44715.0</v>
      </c>
      <c r="K975" s="868" t="s">
        <v>3836</v>
      </c>
      <c r="L975" s="781"/>
      <c r="M975" s="781"/>
      <c r="N975" s="781"/>
      <c r="O975" s="781"/>
      <c r="P975" s="781"/>
      <c r="Q975" s="781"/>
      <c r="R975" s="781"/>
      <c r="S975" s="781"/>
      <c r="T975" s="781"/>
      <c r="U975" s="781"/>
      <c r="V975" s="781"/>
      <c r="W975" s="781"/>
      <c r="X975" s="781"/>
      <c r="Y975" s="781"/>
      <c r="Z975" s="781"/>
      <c r="AA975" s="781"/>
      <c r="AB975" s="781"/>
      <c r="AC975" s="781"/>
      <c r="AD975" s="781"/>
      <c r="AE975" s="781"/>
      <c r="AF975" s="781"/>
      <c r="AG975" s="781"/>
      <c r="AH975" s="781"/>
      <c r="AI975" s="781"/>
      <c r="AJ975" s="781"/>
      <c r="AK975" s="781"/>
      <c r="AL975" s="781"/>
      <c r="AM975" s="781"/>
      <c r="AN975" s="781"/>
      <c r="AO975" s="781"/>
      <c r="AP975" s="781"/>
      <c r="AQ975" s="781"/>
      <c r="AR975" s="781"/>
      <c r="AS975" s="781"/>
      <c r="AT975" s="781"/>
      <c r="AU975" s="781"/>
    </row>
    <row r="976" ht="15.75" customHeight="1">
      <c r="A976" s="811">
        <v>44756.0</v>
      </c>
      <c r="B976" s="867" t="s">
        <v>6551</v>
      </c>
      <c r="C976" s="868" t="s">
        <v>3820</v>
      </c>
      <c r="D976" s="869" t="s">
        <v>6346</v>
      </c>
      <c r="E976" s="870">
        <v>7141.5</v>
      </c>
      <c r="F976" s="869" t="s">
        <v>3839</v>
      </c>
      <c r="G976" s="869" t="s">
        <v>18</v>
      </c>
      <c r="H976" s="869" t="s">
        <v>19</v>
      </c>
      <c r="I976" s="869" t="s">
        <v>256</v>
      </c>
      <c r="J976" s="871">
        <v>44084.0</v>
      </c>
      <c r="K976" s="868" t="s">
        <v>3840</v>
      </c>
      <c r="L976" s="781"/>
      <c r="M976" s="781"/>
      <c r="N976" s="781"/>
      <c r="O976" s="781"/>
      <c r="P976" s="781"/>
      <c r="Q976" s="781"/>
      <c r="R976" s="781"/>
      <c r="S976" s="781"/>
      <c r="T976" s="781"/>
      <c r="U976" s="781"/>
      <c r="V976" s="781"/>
      <c r="W976" s="781"/>
      <c r="X976" s="781"/>
      <c r="Y976" s="781"/>
      <c r="Z976" s="781"/>
      <c r="AA976" s="781"/>
      <c r="AB976" s="781"/>
      <c r="AC976" s="781"/>
      <c r="AD976" s="781"/>
      <c r="AE976" s="781"/>
      <c r="AF976" s="781"/>
      <c r="AG976" s="781"/>
      <c r="AH976" s="781"/>
      <c r="AI976" s="781"/>
      <c r="AJ976" s="781"/>
      <c r="AK976" s="781"/>
      <c r="AL976" s="781"/>
      <c r="AM976" s="781"/>
      <c r="AN976" s="781"/>
      <c r="AO976" s="781"/>
      <c r="AP976" s="781"/>
      <c r="AQ976" s="781"/>
      <c r="AR976" s="781"/>
      <c r="AS976" s="781"/>
      <c r="AT976" s="781"/>
      <c r="AU976" s="781"/>
    </row>
    <row r="977" ht="15.75" customHeight="1">
      <c r="A977" s="811">
        <v>44760.0</v>
      </c>
      <c r="B977" s="867" t="s">
        <v>6597</v>
      </c>
      <c r="C977" s="868" t="s">
        <v>3820</v>
      </c>
      <c r="D977" s="869" t="s">
        <v>1481</v>
      </c>
      <c r="E977" s="870">
        <v>39350.99</v>
      </c>
      <c r="F977" s="869" t="s">
        <v>4415</v>
      </c>
      <c r="G977" s="869" t="s">
        <v>18</v>
      </c>
      <c r="H977" s="869" t="s">
        <v>29</v>
      </c>
      <c r="I977" s="869" t="s">
        <v>60</v>
      </c>
      <c r="J977" s="871">
        <v>44615.0</v>
      </c>
      <c r="K977" s="868" t="s">
        <v>3834</v>
      </c>
      <c r="L977" s="781"/>
      <c r="M977" s="781"/>
      <c r="N977" s="781"/>
      <c r="O977" s="781"/>
      <c r="P977" s="781"/>
      <c r="Q977" s="781"/>
      <c r="R977" s="781"/>
      <c r="S977" s="781"/>
      <c r="T977" s="781"/>
      <c r="U977" s="781"/>
      <c r="V977" s="781"/>
      <c r="W977" s="781"/>
      <c r="X977" s="781"/>
      <c r="Y977" s="781"/>
      <c r="Z977" s="781"/>
      <c r="AA977" s="781"/>
      <c r="AB977" s="781"/>
      <c r="AC977" s="781"/>
      <c r="AD977" s="781"/>
      <c r="AE977" s="781"/>
      <c r="AF977" s="781"/>
      <c r="AG977" s="781"/>
      <c r="AH977" s="781"/>
      <c r="AI977" s="781"/>
      <c r="AJ977" s="781"/>
      <c r="AK977" s="781"/>
      <c r="AL977" s="781"/>
      <c r="AM977" s="781"/>
      <c r="AN977" s="781"/>
      <c r="AO977" s="781"/>
      <c r="AP977" s="781"/>
      <c r="AQ977" s="781"/>
      <c r="AR977" s="781"/>
      <c r="AS977" s="781"/>
      <c r="AT977" s="781"/>
      <c r="AU977" s="781"/>
    </row>
    <row r="978" ht="15.75" customHeight="1">
      <c r="A978" s="811">
        <v>44760.0</v>
      </c>
      <c r="B978" s="867" t="s">
        <v>6572</v>
      </c>
      <c r="C978" s="868" t="s">
        <v>3820</v>
      </c>
      <c r="D978" s="869" t="s">
        <v>1481</v>
      </c>
      <c r="E978" s="870">
        <v>10000.0</v>
      </c>
      <c r="F978" s="869" t="s">
        <v>1669</v>
      </c>
      <c r="G978" s="869" t="s">
        <v>18</v>
      </c>
      <c r="H978" s="869" t="s">
        <v>19</v>
      </c>
      <c r="I978" s="869" t="s">
        <v>256</v>
      </c>
      <c r="J978" s="871">
        <v>44744.0</v>
      </c>
      <c r="K978" s="868" t="s">
        <v>3824</v>
      </c>
      <c r="L978" s="781"/>
      <c r="M978" s="781"/>
      <c r="N978" s="781"/>
      <c r="O978" s="781"/>
      <c r="P978" s="781"/>
      <c r="Q978" s="781"/>
      <c r="R978" s="781"/>
      <c r="S978" s="781"/>
      <c r="T978" s="781"/>
      <c r="U978" s="781"/>
      <c r="V978" s="781"/>
      <c r="W978" s="781"/>
      <c r="X978" s="781"/>
      <c r="Y978" s="781"/>
      <c r="Z978" s="781"/>
      <c r="AA978" s="781"/>
      <c r="AB978" s="781"/>
      <c r="AC978" s="781"/>
      <c r="AD978" s="781"/>
      <c r="AE978" s="781"/>
      <c r="AF978" s="781"/>
      <c r="AG978" s="781"/>
      <c r="AH978" s="781"/>
      <c r="AI978" s="781"/>
      <c r="AJ978" s="781"/>
      <c r="AK978" s="781"/>
      <c r="AL978" s="781"/>
      <c r="AM978" s="781"/>
      <c r="AN978" s="781"/>
      <c r="AO978" s="781"/>
      <c r="AP978" s="781"/>
      <c r="AQ978" s="781"/>
      <c r="AR978" s="781"/>
      <c r="AS978" s="781"/>
      <c r="AT978" s="781"/>
      <c r="AU978" s="781"/>
    </row>
    <row r="979" ht="15.75" customHeight="1">
      <c r="A979" s="811">
        <v>44760.0</v>
      </c>
      <c r="B979" s="867" t="s">
        <v>6572</v>
      </c>
      <c r="C979" s="868" t="s">
        <v>3820</v>
      </c>
      <c r="D979" s="869" t="s">
        <v>6346</v>
      </c>
      <c r="E979" s="870">
        <v>10000.0</v>
      </c>
      <c r="F979" s="869" t="s">
        <v>1669</v>
      </c>
      <c r="G979" s="869" t="s">
        <v>18</v>
      </c>
      <c r="H979" s="869" t="s">
        <v>19</v>
      </c>
      <c r="I979" s="869" t="s">
        <v>256</v>
      </c>
      <c r="J979" s="871" t="s">
        <v>6598</v>
      </c>
      <c r="K979" s="868" t="s">
        <v>3998</v>
      </c>
      <c r="L979" s="781"/>
      <c r="M979" s="781"/>
      <c r="N979" s="781"/>
      <c r="O979" s="781"/>
      <c r="P979" s="781"/>
      <c r="Q979" s="781"/>
      <c r="R979" s="781"/>
      <c r="S979" s="781"/>
      <c r="T979" s="781"/>
      <c r="U979" s="781"/>
      <c r="V979" s="781"/>
      <c r="W979" s="781"/>
      <c r="X979" s="781"/>
      <c r="Y979" s="781"/>
      <c r="Z979" s="781"/>
      <c r="AA979" s="781"/>
      <c r="AB979" s="781"/>
      <c r="AC979" s="781"/>
      <c r="AD979" s="781"/>
      <c r="AE979" s="781"/>
      <c r="AF979" s="781"/>
      <c r="AG979" s="781"/>
      <c r="AH979" s="781"/>
      <c r="AI979" s="781"/>
      <c r="AJ979" s="781"/>
      <c r="AK979" s="781"/>
      <c r="AL979" s="781"/>
      <c r="AM979" s="781"/>
      <c r="AN979" s="781"/>
      <c r="AO979" s="781"/>
      <c r="AP979" s="781"/>
      <c r="AQ979" s="781"/>
      <c r="AR979" s="781"/>
      <c r="AS979" s="781"/>
      <c r="AT979" s="781"/>
      <c r="AU979" s="781"/>
    </row>
    <row r="980" ht="15.75" customHeight="1">
      <c r="A980" s="811">
        <v>44760.0</v>
      </c>
      <c r="B980" s="867" t="s">
        <v>6599</v>
      </c>
      <c r="C980" s="868" t="s">
        <v>3820</v>
      </c>
      <c r="D980" s="869" t="s">
        <v>6346</v>
      </c>
      <c r="E980" s="870">
        <v>15000.0</v>
      </c>
      <c r="F980" s="869" t="s">
        <v>4202</v>
      </c>
      <c r="G980" s="869" t="s">
        <v>18</v>
      </c>
      <c r="H980" s="869" t="s">
        <v>29</v>
      </c>
      <c r="I980" s="869" t="s">
        <v>704</v>
      </c>
      <c r="J980" s="871">
        <v>44462.0</v>
      </c>
      <c r="K980" s="868" t="s">
        <v>3824</v>
      </c>
      <c r="L980" s="781"/>
      <c r="M980" s="781"/>
      <c r="N980" s="781"/>
      <c r="O980" s="781"/>
      <c r="P980" s="781"/>
      <c r="Q980" s="781"/>
      <c r="R980" s="781"/>
      <c r="S980" s="781"/>
      <c r="T980" s="781"/>
      <c r="U980" s="781"/>
      <c r="V980" s="781"/>
      <c r="W980" s="781"/>
      <c r="X980" s="781"/>
      <c r="Y980" s="781"/>
      <c r="Z980" s="781"/>
      <c r="AA980" s="781"/>
      <c r="AB980" s="781"/>
      <c r="AC980" s="781"/>
      <c r="AD980" s="781"/>
      <c r="AE980" s="781"/>
      <c r="AF980" s="781"/>
      <c r="AG980" s="781"/>
      <c r="AH980" s="781"/>
      <c r="AI980" s="781"/>
      <c r="AJ980" s="781"/>
      <c r="AK980" s="781"/>
      <c r="AL980" s="781"/>
      <c r="AM980" s="781"/>
      <c r="AN980" s="781"/>
      <c r="AO980" s="781"/>
      <c r="AP980" s="781"/>
      <c r="AQ980" s="781"/>
      <c r="AR980" s="781"/>
      <c r="AS980" s="781"/>
      <c r="AT980" s="781"/>
      <c r="AU980" s="781"/>
    </row>
    <row r="981" ht="15.75" customHeight="1">
      <c r="A981" s="811">
        <v>44761.0</v>
      </c>
      <c r="B981" s="867" t="s">
        <v>6502</v>
      </c>
      <c r="C981" s="868" t="s">
        <v>3820</v>
      </c>
      <c r="D981" s="869" t="s">
        <v>6346</v>
      </c>
      <c r="E981" s="870">
        <v>27000.0</v>
      </c>
      <c r="F981" s="869" t="s">
        <v>3972</v>
      </c>
      <c r="G981" s="869" t="s">
        <v>18</v>
      </c>
      <c r="H981" s="869" t="s">
        <v>29</v>
      </c>
      <c r="I981" s="869" t="s">
        <v>3973</v>
      </c>
      <c r="J981" s="871">
        <v>44061.0</v>
      </c>
      <c r="K981" s="868" t="s">
        <v>3828</v>
      </c>
      <c r="L981" s="781"/>
      <c r="M981" s="781"/>
      <c r="N981" s="781"/>
      <c r="O981" s="781"/>
      <c r="P981" s="781"/>
      <c r="Q981" s="781"/>
      <c r="R981" s="781"/>
      <c r="S981" s="781"/>
      <c r="T981" s="781"/>
      <c r="U981" s="781"/>
      <c r="V981" s="781"/>
      <c r="W981" s="781"/>
      <c r="X981" s="781"/>
      <c r="Y981" s="781"/>
      <c r="Z981" s="781"/>
      <c r="AA981" s="781"/>
      <c r="AB981" s="781"/>
      <c r="AC981" s="781"/>
      <c r="AD981" s="781"/>
      <c r="AE981" s="781"/>
      <c r="AF981" s="781"/>
      <c r="AG981" s="781"/>
      <c r="AH981" s="781"/>
      <c r="AI981" s="781"/>
      <c r="AJ981" s="781"/>
      <c r="AK981" s="781"/>
      <c r="AL981" s="781"/>
      <c r="AM981" s="781"/>
      <c r="AN981" s="781"/>
      <c r="AO981" s="781"/>
      <c r="AP981" s="781"/>
      <c r="AQ981" s="781"/>
      <c r="AR981" s="781"/>
      <c r="AS981" s="781"/>
      <c r="AT981" s="781"/>
      <c r="AU981" s="781"/>
    </row>
    <row r="982" ht="15.75" customHeight="1">
      <c r="A982" s="811">
        <v>44763.0</v>
      </c>
      <c r="B982" s="867" t="s">
        <v>6383</v>
      </c>
      <c r="C982" s="868" t="s">
        <v>3820</v>
      </c>
      <c r="D982" s="869" t="s">
        <v>6346</v>
      </c>
      <c r="E982" s="870">
        <v>120000.0</v>
      </c>
      <c r="F982" s="869" t="s">
        <v>5398</v>
      </c>
      <c r="G982" s="869" t="s">
        <v>105</v>
      </c>
      <c r="H982" s="869" t="s">
        <v>29</v>
      </c>
      <c r="I982" s="869" t="s">
        <v>4087</v>
      </c>
      <c r="J982" s="871">
        <v>44134.0</v>
      </c>
      <c r="K982" s="868" t="s">
        <v>3824</v>
      </c>
      <c r="L982" s="781"/>
      <c r="M982" s="781"/>
      <c r="N982" s="781"/>
      <c r="O982" s="781"/>
      <c r="P982" s="781"/>
      <c r="Q982" s="781"/>
      <c r="R982" s="781"/>
      <c r="S982" s="781"/>
      <c r="T982" s="781"/>
      <c r="U982" s="781"/>
      <c r="V982" s="781"/>
      <c r="W982" s="781"/>
      <c r="X982" s="781"/>
      <c r="Y982" s="781"/>
      <c r="Z982" s="781"/>
      <c r="AA982" s="781"/>
      <c r="AB982" s="781"/>
      <c r="AC982" s="781"/>
      <c r="AD982" s="781"/>
      <c r="AE982" s="781"/>
      <c r="AF982" s="781"/>
      <c r="AG982" s="781"/>
      <c r="AH982" s="781"/>
      <c r="AI982" s="781"/>
      <c r="AJ982" s="781"/>
      <c r="AK982" s="781"/>
      <c r="AL982" s="781"/>
      <c r="AM982" s="781"/>
      <c r="AN982" s="781"/>
      <c r="AO982" s="781"/>
      <c r="AP982" s="781"/>
      <c r="AQ982" s="781"/>
      <c r="AR982" s="781"/>
      <c r="AS982" s="781"/>
      <c r="AT982" s="781"/>
      <c r="AU982" s="781"/>
    </row>
    <row r="983" ht="15.75" customHeight="1">
      <c r="A983" s="811">
        <v>44763.0</v>
      </c>
      <c r="B983" s="867" t="s">
        <v>6587</v>
      </c>
      <c r="C983" s="868" t="s">
        <v>3820</v>
      </c>
      <c r="D983" s="869" t="s">
        <v>6346</v>
      </c>
      <c r="E983" s="870">
        <v>10000.0</v>
      </c>
      <c r="F983" s="869" t="s">
        <v>6588</v>
      </c>
      <c r="G983" s="869" t="s">
        <v>18</v>
      </c>
      <c r="H983" s="869" t="s">
        <v>19</v>
      </c>
      <c r="I983" s="869" t="s">
        <v>20</v>
      </c>
      <c r="J983" s="871">
        <v>44715.0</v>
      </c>
      <c r="K983" s="868" t="s">
        <v>3836</v>
      </c>
      <c r="L983" s="781"/>
      <c r="M983" s="781"/>
      <c r="N983" s="781"/>
      <c r="O983" s="781"/>
      <c r="P983" s="781"/>
      <c r="Q983" s="781"/>
      <c r="R983" s="781"/>
      <c r="S983" s="781"/>
      <c r="T983" s="781"/>
      <c r="U983" s="781"/>
      <c r="V983" s="781"/>
      <c r="W983" s="781"/>
      <c r="X983" s="781"/>
      <c r="Y983" s="781"/>
      <c r="Z983" s="781"/>
      <c r="AA983" s="781"/>
      <c r="AB983" s="781"/>
      <c r="AC983" s="781"/>
      <c r="AD983" s="781"/>
      <c r="AE983" s="781"/>
      <c r="AF983" s="781"/>
      <c r="AG983" s="781"/>
      <c r="AH983" s="781"/>
      <c r="AI983" s="781"/>
      <c r="AJ983" s="781"/>
      <c r="AK983" s="781"/>
      <c r="AL983" s="781"/>
      <c r="AM983" s="781"/>
      <c r="AN983" s="781"/>
      <c r="AO983" s="781"/>
      <c r="AP983" s="781"/>
      <c r="AQ983" s="781"/>
      <c r="AR983" s="781"/>
      <c r="AS983" s="781"/>
      <c r="AT983" s="781"/>
      <c r="AU983" s="781"/>
    </row>
    <row r="984" ht="15.75" customHeight="1">
      <c r="A984" s="811">
        <v>44764.0</v>
      </c>
      <c r="B984" s="867" t="s">
        <v>6600</v>
      </c>
      <c r="C984" s="868" t="s">
        <v>3820</v>
      </c>
      <c r="D984" s="869" t="s">
        <v>6345</v>
      </c>
      <c r="E984" s="870">
        <v>82162.42</v>
      </c>
      <c r="F984" s="869" t="s">
        <v>4357</v>
      </c>
      <c r="G984" s="869" t="s">
        <v>18</v>
      </c>
      <c r="H984" s="869" t="s">
        <v>29</v>
      </c>
      <c r="I984" s="869" t="s">
        <v>4358</v>
      </c>
      <c r="J984" s="871">
        <v>44623.0</v>
      </c>
      <c r="K984" s="868" t="s">
        <v>3834</v>
      </c>
      <c r="L984" s="781"/>
      <c r="M984" s="781"/>
      <c r="N984" s="781"/>
      <c r="O984" s="781"/>
      <c r="P984" s="781"/>
      <c r="Q984" s="781"/>
      <c r="R984" s="781"/>
      <c r="S984" s="781"/>
      <c r="T984" s="781"/>
      <c r="U984" s="781"/>
      <c r="V984" s="781"/>
      <c r="W984" s="781"/>
      <c r="X984" s="781"/>
      <c r="Y984" s="781"/>
      <c r="Z984" s="781"/>
      <c r="AA984" s="781"/>
      <c r="AB984" s="781"/>
      <c r="AC984" s="781"/>
      <c r="AD984" s="781"/>
      <c r="AE984" s="781"/>
      <c r="AF984" s="781"/>
      <c r="AG984" s="781"/>
      <c r="AH984" s="781"/>
      <c r="AI984" s="781"/>
      <c r="AJ984" s="781"/>
      <c r="AK984" s="781"/>
      <c r="AL984" s="781"/>
      <c r="AM984" s="781"/>
      <c r="AN984" s="781"/>
      <c r="AO984" s="781"/>
      <c r="AP984" s="781"/>
      <c r="AQ984" s="781"/>
      <c r="AR984" s="781"/>
      <c r="AS984" s="781"/>
      <c r="AT984" s="781"/>
      <c r="AU984" s="781"/>
    </row>
    <row r="985" ht="15.75" customHeight="1">
      <c r="A985" s="811">
        <v>44764.0</v>
      </c>
      <c r="B985" s="867" t="s">
        <v>6601</v>
      </c>
      <c r="C985" s="868" t="s">
        <v>3820</v>
      </c>
      <c r="D985" s="869" t="s">
        <v>6345</v>
      </c>
      <c r="E985" s="870">
        <v>545597.31</v>
      </c>
      <c r="F985" s="869" t="s">
        <v>4996</v>
      </c>
      <c r="G985" s="869" t="s">
        <v>18</v>
      </c>
      <c r="H985" s="869" t="s">
        <v>29</v>
      </c>
      <c r="I985" s="869" t="s">
        <v>4358</v>
      </c>
      <c r="J985" s="871">
        <v>44434.0</v>
      </c>
      <c r="K985" s="868" t="s">
        <v>3834</v>
      </c>
      <c r="L985" s="781"/>
      <c r="M985" s="781"/>
      <c r="N985" s="781"/>
      <c r="O985" s="781"/>
      <c r="P985" s="781"/>
      <c r="Q985" s="781"/>
      <c r="R985" s="781"/>
      <c r="S985" s="781"/>
      <c r="T985" s="781"/>
      <c r="U985" s="781"/>
      <c r="V985" s="781"/>
      <c r="W985" s="781"/>
      <c r="X985" s="781"/>
      <c r="Y985" s="781"/>
      <c r="Z985" s="781"/>
      <c r="AA985" s="781"/>
      <c r="AB985" s="781"/>
      <c r="AC985" s="781"/>
      <c r="AD985" s="781"/>
      <c r="AE985" s="781"/>
      <c r="AF985" s="781"/>
      <c r="AG985" s="781"/>
      <c r="AH985" s="781"/>
      <c r="AI985" s="781"/>
      <c r="AJ985" s="781"/>
      <c r="AK985" s="781"/>
      <c r="AL985" s="781"/>
      <c r="AM985" s="781"/>
      <c r="AN985" s="781"/>
      <c r="AO985" s="781"/>
      <c r="AP985" s="781"/>
      <c r="AQ985" s="781"/>
      <c r="AR985" s="781"/>
      <c r="AS985" s="781"/>
      <c r="AT985" s="781"/>
      <c r="AU985" s="781"/>
    </row>
    <row r="986" ht="15.75" customHeight="1">
      <c r="A986" s="811">
        <v>44764.0</v>
      </c>
      <c r="B986" s="867" t="s">
        <v>6518</v>
      </c>
      <c r="C986" s="868" t="s">
        <v>3820</v>
      </c>
      <c r="D986" s="869" t="s">
        <v>6346</v>
      </c>
      <c r="E986" s="870">
        <v>100000.0</v>
      </c>
      <c r="F986" s="869" t="s">
        <v>3867</v>
      </c>
      <c r="G986" s="869" t="s">
        <v>18</v>
      </c>
      <c r="H986" s="869" t="s">
        <v>19</v>
      </c>
      <c r="I986" s="869" t="s">
        <v>20</v>
      </c>
      <c r="J986" s="871">
        <v>44609.0</v>
      </c>
      <c r="K986" s="868" t="s">
        <v>3836</v>
      </c>
      <c r="L986" s="781"/>
      <c r="M986" s="781"/>
      <c r="N986" s="781"/>
      <c r="O986" s="781"/>
      <c r="P986" s="781"/>
      <c r="Q986" s="781"/>
      <c r="R986" s="781"/>
      <c r="S986" s="781"/>
      <c r="T986" s="781"/>
      <c r="U986" s="781"/>
      <c r="V986" s="781"/>
      <c r="W986" s="781"/>
      <c r="X986" s="781"/>
      <c r="Y986" s="781"/>
      <c r="Z986" s="781"/>
      <c r="AA986" s="781"/>
      <c r="AB986" s="781"/>
      <c r="AC986" s="781"/>
      <c r="AD986" s="781"/>
      <c r="AE986" s="781"/>
      <c r="AF986" s="781"/>
      <c r="AG986" s="781"/>
      <c r="AH986" s="781"/>
      <c r="AI986" s="781"/>
      <c r="AJ986" s="781"/>
      <c r="AK986" s="781"/>
      <c r="AL986" s="781"/>
      <c r="AM986" s="781"/>
      <c r="AN986" s="781"/>
      <c r="AO986" s="781"/>
      <c r="AP986" s="781"/>
      <c r="AQ986" s="781"/>
      <c r="AR986" s="781"/>
      <c r="AS986" s="781"/>
      <c r="AT986" s="781"/>
      <c r="AU986" s="781"/>
    </row>
    <row r="987" ht="15.75" customHeight="1">
      <c r="A987" s="811">
        <v>44765.0</v>
      </c>
      <c r="B987" s="867" t="s">
        <v>6602</v>
      </c>
      <c r="C987" s="868" t="s">
        <v>3820</v>
      </c>
      <c r="D987" s="869" t="s">
        <v>6345</v>
      </c>
      <c r="E987" s="870">
        <v>674420.41</v>
      </c>
      <c r="F987" s="869" t="s">
        <v>6603</v>
      </c>
      <c r="G987" s="869" t="s">
        <v>18</v>
      </c>
      <c r="H987" s="869" t="s">
        <v>29</v>
      </c>
      <c r="I987" s="869" t="s">
        <v>4358</v>
      </c>
      <c r="J987" s="871">
        <v>44370.0</v>
      </c>
      <c r="K987" s="868" t="s">
        <v>3834</v>
      </c>
      <c r="L987" s="781"/>
      <c r="M987" s="781"/>
      <c r="N987" s="781"/>
      <c r="O987" s="781"/>
      <c r="P987" s="781"/>
      <c r="Q987" s="781"/>
      <c r="R987" s="781"/>
      <c r="S987" s="781"/>
      <c r="T987" s="781"/>
      <c r="U987" s="781"/>
      <c r="V987" s="781"/>
      <c r="W987" s="781"/>
      <c r="X987" s="781"/>
      <c r="Y987" s="781"/>
      <c r="Z987" s="781"/>
      <c r="AA987" s="781"/>
      <c r="AB987" s="781"/>
      <c r="AC987" s="781"/>
      <c r="AD987" s="781"/>
      <c r="AE987" s="781"/>
      <c r="AF987" s="781"/>
      <c r="AG987" s="781"/>
      <c r="AH987" s="781"/>
      <c r="AI987" s="781"/>
      <c r="AJ987" s="781"/>
      <c r="AK987" s="781"/>
      <c r="AL987" s="781"/>
      <c r="AM987" s="781"/>
      <c r="AN987" s="781"/>
      <c r="AO987" s="781"/>
      <c r="AP987" s="781"/>
      <c r="AQ987" s="781"/>
      <c r="AR987" s="781"/>
      <c r="AS987" s="781"/>
      <c r="AT987" s="781"/>
      <c r="AU987" s="781"/>
    </row>
    <row r="988" ht="15.75" customHeight="1">
      <c r="A988" s="811">
        <v>44767.0</v>
      </c>
      <c r="B988" s="867" t="s">
        <v>6604</v>
      </c>
      <c r="C988" s="868" t="s">
        <v>3820</v>
      </c>
      <c r="D988" s="869" t="s">
        <v>1481</v>
      </c>
      <c r="E988" s="870">
        <v>152231.41</v>
      </c>
      <c r="F988" s="869" t="s">
        <v>4337</v>
      </c>
      <c r="G988" s="869" t="s">
        <v>18</v>
      </c>
      <c r="H988" s="869" t="s">
        <v>19</v>
      </c>
      <c r="I988" s="869" t="s">
        <v>256</v>
      </c>
      <c r="J988" s="871">
        <v>44251.0</v>
      </c>
      <c r="K988" s="868" t="s">
        <v>3840</v>
      </c>
      <c r="L988" s="781"/>
      <c r="M988" s="781"/>
      <c r="N988" s="781"/>
      <c r="O988" s="781"/>
      <c r="P988" s="781"/>
      <c r="Q988" s="781"/>
      <c r="R988" s="781"/>
      <c r="S988" s="781"/>
      <c r="T988" s="781"/>
      <c r="U988" s="781"/>
      <c r="V988" s="781"/>
      <c r="W988" s="781"/>
      <c r="X988" s="781"/>
      <c r="Y988" s="781"/>
      <c r="Z988" s="781"/>
      <c r="AA988" s="781"/>
      <c r="AB988" s="781"/>
      <c r="AC988" s="781"/>
      <c r="AD988" s="781"/>
      <c r="AE988" s="781"/>
      <c r="AF988" s="781"/>
      <c r="AG988" s="781"/>
      <c r="AH988" s="781"/>
      <c r="AI988" s="781"/>
      <c r="AJ988" s="781"/>
      <c r="AK988" s="781"/>
      <c r="AL988" s="781"/>
      <c r="AM988" s="781"/>
      <c r="AN988" s="781"/>
      <c r="AO988" s="781"/>
      <c r="AP988" s="781"/>
      <c r="AQ988" s="781"/>
      <c r="AR988" s="781"/>
      <c r="AS988" s="781"/>
      <c r="AT988" s="781"/>
      <c r="AU988" s="781"/>
    </row>
    <row r="989" ht="15.75" customHeight="1">
      <c r="A989" s="811">
        <v>44768.0</v>
      </c>
      <c r="B989" s="867" t="s">
        <v>6519</v>
      </c>
      <c r="C989" s="868" t="s">
        <v>3820</v>
      </c>
      <c r="D989" s="869" t="s">
        <v>6346</v>
      </c>
      <c r="E989" s="870">
        <v>10000.0</v>
      </c>
      <c r="F989" s="869" t="s">
        <v>4505</v>
      </c>
      <c r="G989" s="869" t="s">
        <v>18</v>
      </c>
      <c r="H989" s="869" t="s">
        <v>19</v>
      </c>
      <c r="I989" s="869" t="s">
        <v>20</v>
      </c>
      <c r="J989" s="871">
        <v>44615.0</v>
      </c>
      <c r="K989" s="868" t="s">
        <v>3828</v>
      </c>
      <c r="L989" s="781"/>
      <c r="M989" s="781"/>
      <c r="N989" s="781"/>
      <c r="O989" s="781"/>
      <c r="P989" s="781"/>
      <c r="Q989" s="781"/>
      <c r="R989" s="781"/>
      <c r="S989" s="781"/>
      <c r="T989" s="781"/>
      <c r="U989" s="781"/>
      <c r="V989" s="781"/>
      <c r="W989" s="781"/>
      <c r="X989" s="781"/>
      <c r="Y989" s="781"/>
      <c r="Z989" s="781"/>
      <c r="AA989" s="781"/>
      <c r="AB989" s="781"/>
      <c r="AC989" s="781"/>
      <c r="AD989" s="781"/>
      <c r="AE989" s="781"/>
      <c r="AF989" s="781"/>
      <c r="AG989" s="781"/>
      <c r="AH989" s="781"/>
      <c r="AI989" s="781"/>
      <c r="AJ989" s="781"/>
      <c r="AK989" s="781"/>
      <c r="AL989" s="781"/>
      <c r="AM989" s="781"/>
      <c r="AN989" s="781"/>
      <c r="AO989" s="781"/>
      <c r="AP989" s="781"/>
      <c r="AQ989" s="781"/>
      <c r="AR989" s="781"/>
      <c r="AS989" s="781"/>
      <c r="AT989" s="781"/>
      <c r="AU989" s="781"/>
    </row>
    <row r="990" ht="15.75" customHeight="1">
      <c r="A990" s="811">
        <v>44768.0</v>
      </c>
      <c r="B990" s="867" t="s">
        <v>6605</v>
      </c>
      <c r="C990" s="868" t="s">
        <v>3820</v>
      </c>
      <c r="D990" s="869" t="s">
        <v>6346</v>
      </c>
      <c r="E990" s="870">
        <v>20000.0</v>
      </c>
      <c r="F990" s="869" t="s">
        <v>6606</v>
      </c>
      <c r="G990" s="869" t="s">
        <v>18</v>
      </c>
      <c r="H990" s="869" t="s">
        <v>29</v>
      </c>
      <c r="I990" s="869" t="s">
        <v>704</v>
      </c>
      <c r="J990" s="871">
        <v>44460.0</v>
      </c>
      <c r="K990" s="868" t="s">
        <v>3834</v>
      </c>
      <c r="L990" s="781"/>
      <c r="M990" s="781"/>
      <c r="N990" s="781"/>
      <c r="O990" s="781"/>
      <c r="P990" s="781"/>
      <c r="Q990" s="781"/>
      <c r="R990" s="781"/>
      <c r="S990" s="781"/>
      <c r="T990" s="781"/>
      <c r="U990" s="781"/>
      <c r="V990" s="781"/>
      <c r="W990" s="781"/>
      <c r="X990" s="781"/>
      <c r="Y990" s="781"/>
      <c r="Z990" s="781"/>
      <c r="AA990" s="781"/>
      <c r="AB990" s="781"/>
      <c r="AC990" s="781"/>
      <c r="AD990" s="781"/>
      <c r="AE990" s="781"/>
      <c r="AF990" s="781"/>
      <c r="AG990" s="781"/>
      <c r="AH990" s="781"/>
      <c r="AI990" s="781"/>
      <c r="AJ990" s="781"/>
      <c r="AK990" s="781"/>
      <c r="AL990" s="781"/>
      <c r="AM990" s="781"/>
      <c r="AN990" s="781"/>
      <c r="AO990" s="781"/>
      <c r="AP990" s="781"/>
      <c r="AQ990" s="781"/>
      <c r="AR990" s="781"/>
      <c r="AS990" s="781"/>
      <c r="AT990" s="781"/>
      <c r="AU990" s="781"/>
    </row>
    <row r="991" ht="15.75" customHeight="1">
      <c r="A991" s="811">
        <v>44768.0</v>
      </c>
      <c r="B991" s="867" t="s">
        <v>6607</v>
      </c>
      <c r="C991" s="868" t="s">
        <v>3820</v>
      </c>
      <c r="D991" s="869" t="s">
        <v>6346</v>
      </c>
      <c r="E991" s="870">
        <v>3000.0</v>
      </c>
      <c r="F991" s="869" t="s">
        <v>4735</v>
      </c>
      <c r="G991" s="869" t="s">
        <v>18</v>
      </c>
      <c r="H991" s="869" t="s">
        <v>29</v>
      </c>
      <c r="I991" s="869" t="s">
        <v>2803</v>
      </c>
      <c r="J991" s="871">
        <v>44393.0</v>
      </c>
      <c r="K991" s="868" t="s">
        <v>3824</v>
      </c>
      <c r="L991" s="781"/>
      <c r="M991" s="781"/>
      <c r="N991" s="781"/>
      <c r="O991" s="781"/>
      <c r="P991" s="781"/>
      <c r="Q991" s="781"/>
      <c r="R991" s="781"/>
      <c r="S991" s="781"/>
      <c r="T991" s="781"/>
      <c r="U991" s="781"/>
      <c r="V991" s="781"/>
      <c r="W991" s="781"/>
      <c r="X991" s="781"/>
      <c r="Y991" s="781"/>
      <c r="Z991" s="781"/>
      <c r="AA991" s="781"/>
      <c r="AB991" s="781"/>
      <c r="AC991" s="781"/>
      <c r="AD991" s="781"/>
      <c r="AE991" s="781"/>
      <c r="AF991" s="781"/>
      <c r="AG991" s="781"/>
      <c r="AH991" s="781"/>
      <c r="AI991" s="781"/>
      <c r="AJ991" s="781"/>
      <c r="AK991" s="781"/>
      <c r="AL991" s="781"/>
      <c r="AM991" s="781"/>
      <c r="AN991" s="781"/>
      <c r="AO991" s="781"/>
      <c r="AP991" s="781"/>
      <c r="AQ991" s="781"/>
      <c r="AR991" s="781"/>
      <c r="AS991" s="781"/>
      <c r="AT991" s="781"/>
      <c r="AU991" s="781"/>
    </row>
    <row r="992" ht="15.75" customHeight="1">
      <c r="A992" s="811">
        <v>44768.0</v>
      </c>
      <c r="B992" s="867" t="s">
        <v>6608</v>
      </c>
      <c r="C992" s="868" t="s">
        <v>3820</v>
      </c>
      <c r="D992" s="869" t="s">
        <v>6346</v>
      </c>
      <c r="E992" s="870">
        <v>5000.0</v>
      </c>
      <c r="F992" s="869" t="s">
        <v>184</v>
      </c>
      <c r="G992" s="869" t="s">
        <v>18</v>
      </c>
      <c r="H992" s="869" t="s">
        <v>29</v>
      </c>
      <c r="I992" s="869" t="s">
        <v>2931</v>
      </c>
      <c r="J992" s="871">
        <v>44335.0</v>
      </c>
      <c r="K992" s="868" t="s">
        <v>3869</v>
      </c>
      <c r="L992" s="781"/>
      <c r="M992" s="781"/>
      <c r="N992" s="781"/>
      <c r="O992" s="781"/>
      <c r="P992" s="781"/>
      <c r="Q992" s="781"/>
      <c r="R992" s="781"/>
      <c r="S992" s="781"/>
      <c r="T992" s="781"/>
      <c r="U992" s="781"/>
      <c r="V992" s="781"/>
      <c r="W992" s="781"/>
      <c r="X992" s="781"/>
      <c r="Y992" s="781"/>
      <c r="Z992" s="781"/>
      <c r="AA992" s="781"/>
      <c r="AB992" s="781"/>
      <c r="AC992" s="781"/>
      <c r="AD992" s="781"/>
      <c r="AE992" s="781"/>
      <c r="AF992" s="781"/>
      <c r="AG992" s="781"/>
      <c r="AH992" s="781"/>
      <c r="AI992" s="781"/>
      <c r="AJ992" s="781"/>
      <c r="AK992" s="781"/>
      <c r="AL992" s="781"/>
      <c r="AM992" s="781"/>
      <c r="AN992" s="781"/>
      <c r="AO992" s="781"/>
      <c r="AP992" s="781"/>
      <c r="AQ992" s="781"/>
      <c r="AR992" s="781"/>
      <c r="AS992" s="781"/>
      <c r="AT992" s="781"/>
      <c r="AU992" s="781"/>
    </row>
    <row r="993" ht="15.75" customHeight="1">
      <c r="A993" s="811">
        <v>44768.0</v>
      </c>
      <c r="B993" s="867" t="s">
        <v>6609</v>
      </c>
      <c r="C993" s="868" t="s">
        <v>3820</v>
      </c>
      <c r="D993" s="869" t="s">
        <v>6346</v>
      </c>
      <c r="E993" s="870">
        <v>18000.0</v>
      </c>
      <c r="F993" s="869" t="s">
        <v>4312</v>
      </c>
      <c r="G993" s="869" t="s">
        <v>18</v>
      </c>
      <c r="H993" s="869" t="s">
        <v>19</v>
      </c>
      <c r="I993" s="869" t="s">
        <v>4152</v>
      </c>
      <c r="J993" s="871">
        <v>44503.0</v>
      </c>
      <c r="K993" s="868" t="s">
        <v>3869</v>
      </c>
      <c r="L993" s="781"/>
      <c r="M993" s="781"/>
      <c r="N993" s="781"/>
      <c r="O993" s="781"/>
      <c r="P993" s="781"/>
      <c r="Q993" s="781"/>
      <c r="R993" s="781"/>
      <c r="S993" s="781"/>
      <c r="T993" s="781"/>
      <c r="U993" s="781"/>
      <c r="V993" s="781"/>
      <c r="W993" s="781"/>
      <c r="X993" s="781"/>
      <c r="Y993" s="781"/>
      <c r="Z993" s="781"/>
      <c r="AA993" s="781"/>
      <c r="AB993" s="781"/>
      <c r="AC993" s="781"/>
      <c r="AD993" s="781"/>
      <c r="AE993" s="781"/>
      <c r="AF993" s="781"/>
      <c r="AG993" s="781"/>
      <c r="AH993" s="781"/>
      <c r="AI993" s="781"/>
      <c r="AJ993" s="781"/>
      <c r="AK993" s="781"/>
      <c r="AL993" s="781"/>
      <c r="AM993" s="781"/>
      <c r="AN993" s="781"/>
      <c r="AO993" s="781"/>
      <c r="AP993" s="781"/>
      <c r="AQ993" s="781"/>
      <c r="AR993" s="781"/>
      <c r="AS993" s="781"/>
      <c r="AT993" s="781"/>
      <c r="AU993" s="781"/>
    </row>
    <row r="994" ht="15.75" customHeight="1">
      <c r="A994" s="811">
        <v>44769.0</v>
      </c>
      <c r="B994" s="867" t="s">
        <v>6610</v>
      </c>
      <c r="C994" s="868" t="s">
        <v>3820</v>
      </c>
      <c r="D994" s="869" t="s">
        <v>6345</v>
      </c>
      <c r="E994" s="870">
        <v>101231.24</v>
      </c>
      <c r="F994" s="869" t="s">
        <v>4250</v>
      </c>
      <c r="G994" s="869" t="s">
        <v>18</v>
      </c>
      <c r="H994" s="869" t="s">
        <v>19</v>
      </c>
      <c r="I994" s="869" t="s">
        <v>4152</v>
      </c>
      <c r="J994" s="871">
        <v>44462.0</v>
      </c>
      <c r="K994" s="868" t="s">
        <v>3828</v>
      </c>
      <c r="L994" s="781"/>
      <c r="M994" s="781"/>
      <c r="N994" s="781"/>
      <c r="O994" s="781"/>
      <c r="P994" s="781"/>
      <c r="Q994" s="781"/>
      <c r="R994" s="781"/>
      <c r="S994" s="781"/>
      <c r="T994" s="781"/>
      <c r="U994" s="781"/>
      <c r="V994" s="781"/>
      <c r="W994" s="781"/>
      <c r="X994" s="781"/>
      <c r="Y994" s="781"/>
      <c r="Z994" s="781"/>
      <c r="AA994" s="781"/>
      <c r="AB994" s="781"/>
      <c r="AC994" s="781"/>
      <c r="AD994" s="781"/>
      <c r="AE994" s="781"/>
      <c r="AF994" s="781"/>
      <c r="AG994" s="781"/>
      <c r="AH994" s="781"/>
      <c r="AI994" s="781"/>
      <c r="AJ994" s="781"/>
      <c r="AK994" s="781"/>
      <c r="AL994" s="781"/>
      <c r="AM994" s="781"/>
      <c r="AN994" s="781"/>
      <c r="AO994" s="781"/>
      <c r="AP994" s="781"/>
      <c r="AQ994" s="781"/>
      <c r="AR994" s="781"/>
      <c r="AS994" s="781"/>
      <c r="AT994" s="781"/>
      <c r="AU994" s="781"/>
    </row>
    <row r="995" ht="15.75" customHeight="1">
      <c r="A995" s="811">
        <v>44769.0</v>
      </c>
      <c r="B995" s="867" t="s">
        <v>3656</v>
      </c>
      <c r="C995" s="868" t="s">
        <v>3632</v>
      </c>
      <c r="D995" s="869" t="s">
        <v>6346</v>
      </c>
      <c r="E995" s="870">
        <v>8500.0</v>
      </c>
      <c r="F995" s="869" t="s">
        <v>3655</v>
      </c>
      <c r="G995" s="869" t="s">
        <v>18</v>
      </c>
      <c r="H995" s="869" t="s">
        <v>29</v>
      </c>
      <c r="I995" s="869" t="s">
        <v>6253</v>
      </c>
      <c r="J995" s="871">
        <v>44062.0</v>
      </c>
      <c r="K995" s="868" t="s">
        <v>3828</v>
      </c>
      <c r="L995" s="781"/>
      <c r="M995" s="781"/>
      <c r="N995" s="781"/>
      <c r="O995" s="781"/>
      <c r="P995" s="781"/>
      <c r="Q995" s="781"/>
      <c r="R995" s="781"/>
      <c r="S995" s="781"/>
      <c r="T995" s="781"/>
      <c r="U995" s="781"/>
      <c r="V995" s="781"/>
      <c r="W995" s="781"/>
      <c r="X995" s="781"/>
      <c r="Y995" s="781"/>
      <c r="Z995" s="781"/>
      <c r="AA995" s="781"/>
      <c r="AB995" s="781"/>
      <c r="AC995" s="781"/>
      <c r="AD995" s="781"/>
      <c r="AE995" s="781"/>
      <c r="AF995" s="781"/>
      <c r="AG995" s="781"/>
      <c r="AH995" s="781"/>
      <c r="AI995" s="781"/>
      <c r="AJ995" s="781"/>
      <c r="AK995" s="781"/>
      <c r="AL995" s="781"/>
      <c r="AM995" s="781"/>
      <c r="AN995" s="781"/>
      <c r="AO995" s="781"/>
      <c r="AP995" s="781"/>
      <c r="AQ995" s="781"/>
      <c r="AR995" s="781"/>
      <c r="AS995" s="781"/>
      <c r="AT995" s="781"/>
      <c r="AU995" s="781"/>
    </row>
    <row r="996" ht="15.75" customHeight="1">
      <c r="A996" s="811">
        <v>44769.0</v>
      </c>
      <c r="B996" s="867" t="s">
        <v>6529</v>
      </c>
      <c r="C996" s="868" t="s">
        <v>3820</v>
      </c>
      <c r="D996" s="869" t="s">
        <v>6346</v>
      </c>
      <c r="E996" s="870">
        <v>90000.0</v>
      </c>
      <c r="F996" s="869" t="s">
        <v>6530</v>
      </c>
      <c r="G996" s="869" t="s">
        <v>18</v>
      </c>
      <c r="H996" s="869" t="s">
        <v>19</v>
      </c>
      <c r="I996" s="869" t="s">
        <v>20</v>
      </c>
      <c r="J996" s="871">
        <v>44645.0</v>
      </c>
      <c r="K996" s="868" t="s">
        <v>3828</v>
      </c>
      <c r="L996" s="781"/>
      <c r="M996" s="781"/>
      <c r="N996" s="781"/>
      <c r="O996" s="781"/>
      <c r="P996" s="781"/>
      <c r="Q996" s="781"/>
      <c r="R996" s="781"/>
      <c r="S996" s="781"/>
      <c r="T996" s="781"/>
      <c r="U996" s="781"/>
      <c r="V996" s="781"/>
      <c r="W996" s="781"/>
      <c r="X996" s="781"/>
      <c r="Y996" s="781"/>
      <c r="Z996" s="781"/>
      <c r="AA996" s="781"/>
      <c r="AB996" s="781"/>
      <c r="AC996" s="781"/>
      <c r="AD996" s="781"/>
      <c r="AE996" s="781"/>
      <c r="AF996" s="781"/>
      <c r="AG996" s="781"/>
      <c r="AH996" s="781"/>
      <c r="AI996" s="781"/>
      <c r="AJ996" s="781"/>
      <c r="AK996" s="781"/>
      <c r="AL996" s="781"/>
      <c r="AM996" s="781"/>
      <c r="AN996" s="781"/>
      <c r="AO996" s="781"/>
      <c r="AP996" s="781"/>
      <c r="AQ996" s="781"/>
      <c r="AR996" s="781"/>
      <c r="AS996" s="781"/>
      <c r="AT996" s="781"/>
      <c r="AU996" s="781"/>
    </row>
    <row r="997" ht="15.75" customHeight="1">
      <c r="A997" s="811">
        <v>44769.0</v>
      </c>
      <c r="B997" s="867" t="s">
        <v>6611</v>
      </c>
      <c r="C997" s="868" t="s">
        <v>3820</v>
      </c>
      <c r="D997" s="869" t="s">
        <v>6345</v>
      </c>
      <c r="E997" s="870">
        <v>5000.0</v>
      </c>
      <c r="F997" s="869" t="s">
        <v>4916</v>
      </c>
      <c r="G997" s="869" t="s">
        <v>18</v>
      </c>
      <c r="H997" s="869" t="s">
        <v>19</v>
      </c>
      <c r="I997" s="869" t="s">
        <v>256</v>
      </c>
      <c r="J997" s="871">
        <v>44619.0</v>
      </c>
      <c r="K997" s="868" t="s">
        <v>3840</v>
      </c>
      <c r="L997" s="781"/>
      <c r="M997" s="781"/>
      <c r="N997" s="781"/>
      <c r="O997" s="781"/>
      <c r="P997" s="781"/>
      <c r="Q997" s="781"/>
      <c r="R997" s="781"/>
      <c r="S997" s="781"/>
      <c r="T997" s="781"/>
      <c r="U997" s="781"/>
      <c r="V997" s="781"/>
      <c r="W997" s="781"/>
      <c r="X997" s="781"/>
      <c r="Y997" s="781"/>
      <c r="Z997" s="781"/>
      <c r="AA997" s="781"/>
      <c r="AB997" s="781"/>
      <c r="AC997" s="781"/>
      <c r="AD997" s="781"/>
      <c r="AE997" s="781"/>
      <c r="AF997" s="781"/>
      <c r="AG997" s="781"/>
      <c r="AH997" s="781"/>
      <c r="AI997" s="781"/>
      <c r="AJ997" s="781"/>
      <c r="AK997" s="781"/>
      <c r="AL997" s="781"/>
      <c r="AM997" s="781"/>
      <c r="AN997" s="781"/>
      <c r="AO997" s="781"/>
      <c r="AP997" s="781"/>
      <c r="AQ997" s="781"/>
      <c r="AR997" s="781"/>
      <c r="AS997" s="781"/>
      <c r="AT997" s="781"/>
      <c r="AU997" s="781"/>
    </row>
    <row r="998" ht="15.75" customHeight="1">
      <c r="A998" s="795">
        <v>44769.0</v>
      </c>
      <c r="B998" s="872" t="s">
        <v>6612</v>
      </c>
      <c r="C998" s="873" t="s">
        <v>3820</v>
      </c>
      <c r="D998" s="857" t="s">
        <v>6346</v>
      </c>
      <c r="E998" s="874">
        <v>55000.0</v>
      </c>
      <c r="F998" s="857" t="s">
        <v>1878</v>
      </c>
      <c r="G998" s="859" t="s">
        <v>18</v>
      </c>
      <c r="H998" s="859" t="s">
        <v>19</v>
      </c>
      <c r="I998" s="859" t="s">
        <v>20</v>
      </c>
      <c r="J998" s="859">
        <v>44613.0</v>
      </c>
      <c r="K998" s="859" t="s">
        <v>4034</v>
      </c>
      <c r="L998" s="781"/>
      <c r="M998" s="781"/>
      <c r="N998" s="781"/>
      <c r="O998" s="781"/>
      <c r="P998" s="781"/>
      <c r="Q998" s="781"/>
      <c r="R998" s="781"/>
      <c r="S998" s="781"/>
      <c r="T998" s="781"/>
      <c r="U998" s="781"/>
      <c r="V998" s="781"/>
      <c r="W998" s="781"/>
      <c r="X998" s="781"/>
      <c r="Y998" s="781"/>
      <c r="Z998" s="781"/>
      <c r="AA998" s="781"/>
      <c r="AB998" s="781"/>
      <c r="AC998" s="781"/>
      <c r="AD998" s="781"/>
      <c r="AE998" s="781"/>
      <c r="AF998" s="781"/>
      <c r="AG998" s="781"/>
      <c r="AH998" s="781"/>
      <c r="AI998" s="781"/>
      <c r="AJ998" s="781"/>
      <c r="AK998" s="781"/>
      <c r="AL998" s="781"/>
      <c r="AM998" s="781"/>
      <c r="AN998" s="781"/>
      <c r="AO998" s="781"/>
      <c r="AP998" s="781"/>
      <c r="AQ998" s="781"/>
      <c r="AR998" s="781"/>
      <c r="AS998" s="781"/>
      <c r="AT998" s="781"/>
      <c r="AU998" s="781"/>
    </row>
    <row r="999" ht="15.75" customHeight="1">
      <c r="A999" s="795">
        <v>44769.0</v>
      </c>
      <c r="B999" s="872" t="s">
        <v>6613</v>
      </c>
      <c r="C999" s="873" t="s">
        <v>3820</v>
      </c>
      <c r="D999" s="857" t="s">
        <v>6346</v>
      </c>
      <c r="E999" s="874">
        <v>10000.0</v>
      </c>
      <c r="F999" s="857" t="s">
        <v>6614</v>
      </c>
      <c r="G999" s="859" t="s">
        <v>18</v>
      </c>
      <c r="H999" s="859" t="s">
        <v>19</v>
      </c>
      <c r="I999" s="859" t="s">
        <v>256</v>
      </c>
      <c r="J999" s="859">
        <v>44824.0</v>
      </c>
      <c r="K999" s="859" t="s">
        <v>3834</v>
      </c>
      <c r="L999" s="781"/>
      <c r="M999" s="781"/>
      <c r="N999" s="781"/>
      <c r="O999" s="781"/>
      <c r="P999" s="781"/>
      <c r="Q999" s="781"/>
      <c r="R999" s="781"/>
      <c r="S999" s="781"/>
      <c r="T999" s="781"/>
      <c r="U999" s="781"/>
      <c r="V999" s="781"/>
      <c r="W999" s="781"/>
      <c r="X999" s="781"/>
      <c r="Y999" s="781"/>
      <c r="Z999" s="781"/>
      <c r="AA999" s="781"/>
      <c r="AB999" s="781"/>
      <c r="AC999" s="781"/>
      <c r="AD999" s="781"/>
      <c r="AE999" s="781"/>
      <c r="AF999" s="781"/>
      <c r="AG999" s="781"/>
      <c r="AH999" s="781"/>
      <c r="AI999" s="781"/>
      <c r="AJ999" s="781"/>
      <c r="AK999" s="781"/>
      <c r="AL999" s="781"/>
      <c r="AM999" s="781"/>
      <c r="AN999" s="781"/>
      <c r="AO999" s="781"/>
      <c r="AP999" s="781"/>
      <c r="AQ999" s="781"/>
      <c r="AR999" s="781"/>
      <c r="AS999" s="781"/>
      <c r="AT999" s="781"/>
      <c r="AU999" s="781"/>
    </row>
    <row r="1000" ht="15.75" customHeight="1">
      <c r="A1000" s="811">
        <v>44774.0</v>
      </c>
      <c r="B1000" s="867" t="s">
        <v>6368</v>
      </c>
      <c r="C1000" s="868" t="s">
        <v>3820</v>
      </c>
      <c r="D1000" s="869" t="s">
        <v>6346</v>
      </c>
      <c r="E1000" s="870">
        <v>25000.0</v>
      </c>
      <c r="F1000" s="869" t="s">
        <v>4388</v>
      </c>
      <c r="G1000" s="869" t="s">
        <v>105</v>
      </c>
      <c r="H1000" s="869" t="s">
        <v>29</v>
      </c>
      <c r="I1000" s="869" t="s">
        <v>3887</v>
      </c>
      <c r="J1000" s="871">
        <v>44263.0</v>
      </c>
      <c r="K1000" s="868" t="s">
        <v>3828</v>
      </c>
      <c r="L1000" s="781"/>
      <c r="M1000" s="781"/>
      <c r="N1000" s="781"/>
      <c r="O1000" s="781"/>
      <c r="P1000" s="781"/>
      <c r="Q1000" s="781"/>
      <c r="R1000" s="781"/>
      <c r="S1000" s="781"/>
      <c r="T1000" s="781"/>
      <c r="U1000" s="781"/>
      <c r="V1000" s="781"/>
      <c r="W1000" s="781"/>
      <c r="X1000" s="781"/>
      <c r="Y1000" s="781"/>
      <c r="Z1000" s="781"/>
      <c r="AA1000" s="781"/>
      <c r="AB1000" s="781"/>
      <c r="AC1000" s="781"/>
      <c r="AD1000" s="781"/>
      <c r="AE1000" s="781"/>
      <c r="AF1000" s="781"/>
      <c r="AG1000" s="781"/>
      <c r="AH1000" s="781"/>
      <c r="AI1000" s="781"/>
      <c r="AJ1000" s="781"/>
      <c r="AK1000" s="781"/>
      <c r="AL1000" s="781"/>
      <c r="AM1000" s="781"/>
      <c r="AN1000" s="781"/>
      <c r="AO1000" s="781"/>
      <c r="AP1000" s="781"/>
      <c r="AQ1000" s="781"/>
      <c r="AR1000" s="781"/>
      <c r="AS1000" s="781"/>
      <c r="AT1000" s="781"/>
      <c r="AU1000" s="781"/>
    </row>
    <row r="1001" ht="15.75" customHeight="1">
      <c r="A1001" s="811">
        <v>44774.0</v>
      </c>
      <c r="B1001" s="867" t="s">
        <v>6615</v>
      </c>
      <c r="C1001" s="868" t="s">
        <v>3820</v>
      </c>
      <c r="D1001" s="869" t="s">
        <v>6345</v>
      </c>
      <c r="E1001" s="870">
        <v>120608.02</v>
      </c>
      <c r="F1001" s="869" t="s">
        <v>6616</v>
      </c>
      <c r="G1001" s="869" t="s">
        <v>18</v>
      </c>
      <c r="H1001" s="869" t="s">
        <v>29</v>
      </c>
      <c r="I1001" s="869" t="s">
        <v>4358</v>
      </c>
      <c r="J1001" s="871">
        <v>44623.0</v>
      </c>
      <c r="K1001" s="868" t="s">
        <v>3834</v>
      </c>
      <c r="L1001" s="781"/>
      <c r="M1001" s="781"/>
      <c r="N1001" s="781"/>
      <c r="O1001" s="781"/>
      <c r="P1001" s="781"/>
      <c r="Q1001" s="781"/>
      <c r="R1001" s="781"/>
      <c r="S1001" s="781"/>
      <c r="T1001" s="781"/>
      <c r="U1001" s="781"/>
      <c r="V1001" s="781"/>
      <c r="W1001" s="781"/>
      <c r="X1001" s="781"/>
      <c r="Y1001" s="781"/>
      <c r="Z1001" s="781"/>
      <c r="AA1001" s="781"/>
      <c r="AB1001" s="781"/>
      <c r="AC1001" s="781"/>
      <c r="AD1001" s="781"/>
      <c r="AE1001" s="781"/>
      <c r="AF1001" s="781"/>
      <c r="AG1001" s="781"/>
      <c r="AH1001" s="781"/>
      <c r="AI1001" s="781"/>
      <c r="AJ1001" s="781"/>
      <c r="AK1001" s="781"/>
      <c r="AL1001" s="781"/>
      <c r="AM1001" s="781"/>
      <c r="AN1001" s="781"/>
      <c r="AO1001" s="781"/>
      <c r="AP1001" s="781"/>
      <c r="AQ1001" s="781"/>
      <c r="AR1001" s="781"/>
      <c r="AS1001" s="781"/>
      <c r="AT1001" s="781"/>
      <c r="AU1001" s="781"/>
    </row>
    <row r="1002" ht="15.75" customHeight="1">
      <c r="A1002" s="811">
        <v>44775.0</v>
      </c>
      <c r="B1002" s="867" t="s">
        <v>6617</v>
      </c>
      <c r="C1002" s="868" t="s">
        <v>3820</v>
      </c>
      <c r="D1002" s="869" t="s">
        <v>6345</v>
      </c>
      <c r="E1002" s="870">
        <v>181532.44</v>
      </c>
      <c r="F1002" s="869" t="s">
        <v>4807</v>
      </c>
      <c r="G1002" s="869" t="s">
        <v>18</v>
      </c>
      <c r="H1002" s="869" t="s">
        <v>19</v>
      </c>
      <c r="I1002" s="869" t="s">
        <v>4808</v>
      </c>
      <c r="J1002" s="871">
        <v>44376.0</v>
      </c>
      <c r="K1002" s="868" t="s">
        <v>3840</v>
      </c>
      <c r="L1002" s="781"/>
      <c r="M1002" s="781"/>
      <c r="N1002" s="781"/>
      <c r="O1002" s="781"/>
      <c r="P1002" s="781"/>
      <c r="Q1002" s="781"/>
      <c r="R1002" s="781"/>
      <c r="S1002" s="781"/>
      <c r="T1002" s="781"/>
      <c r="U1002" s="781"/>
      <c r="V1002" s="781"/>
      <c r="W1002" s="781"/>
      <c r="X1002" s="781"/>
      <c r="Y1002" s="781"/>
      <c r="Z1002" s="781"/>
      <c r="AA1002" s="781"/>
      <c r="AB1002" s="781"/>
      <c r="AC1002" s="781"/>
      <c r="AD1002" s="781"/>
      <c r="AE1002" s="781"/>
      <c r="AF1002" s="781"/>
      <c r="AG1002" s="781"/>
      <c r="AH1002" s="781"/>
      <c r="AI1002" s="781"/>
      <c r="AJ1002" s="781"/>
      <c r="AK1002" s="781"/>
      <c r="AL1002" s="781"/>
      <c r="AM1002" s="781"/>
      <c r="AN1002" s="781"/>
      <c r="AO1002" s="781"/>
      <c r="AP1002" s="781"/>
      <c r="AQ1002" s="781"/>
      <c r="AR1002" s="781"/>
      <c r="AS1002" s="781"/>
      <c r="AT1002" s="781"/>
      <c r="AU1002" s="781"/>
    </row>
    <row r="1003" ht="15.75" customHeight="1">
      <c r="A1003" s="811">
        <v>44776.0</v>
      </c>
      <c r="B1003" s="867" t="s">
        <v>6555</v>
      </c>
      <c r="C1003" s="868" t="s">
        <v>3820</v>
      </c>
      <c r="D1003" s="869" t="s">
        <v>6346</v>
      </c>
      <c r="E1003" s="870">
        <v>200000.0</v>
      </c>
      <c r="F1003" s="869" t="s">
        <v>6556</v>
      </c>
      <c r="G1003" s="869" t="s">
        <v>18</v>
      </c>
      <c r="H1003" s="869" t="s">
        <v>19</v>
      </c>
      <c r="I1003" s="869" t="s">
        <v>6334</v>
      </c>
      <c r="J1003" s="871">
        <v>44454.0</v>
      </c>
      <c r="K1003" s="868" t="s">
        <v>3828</v>
      </c>
      <c r="L1003" s="781"/>
      <c r="M1003" s="781"/>
      <c r="N1003" s="781"/>
      <c r="O1003" s="781"/>
      <c r="P1003" s="781"/>
      <c r="Q1003" s="781"/>
      <c r="R1003" s="781"/>
      <c r="S1003" s="781"/>
      <c r="T1003" s="781"/>
      <c r="U1003" s="781"/>
      <c r="V1003" s="781"/>
      <c r="W1003" s="781"/>
      <c r="X1003" s="781"/>
      <c r="Y1003" s="781"/>
      <c r="Z1003" s="781"/>
      <c r="AA1003" s="781"/>
      <c r="AB1003" s="781"/>
      <c r="AC1003" s="781"/>
      <c r="AD1003" s="781"/>
      <c r="AE1003" s="781"/>
      <c r="AF1003" s="781"/>
      <c r="AG1003" s="781"/>
      <c r="AH1003" s="781"/>
      <c r="AI1003" s="781"/>
      <c r="AJ1003" s="781"/>
      <c r="AK1003" s="781"/>
      <c r="AL1003" s="781"/>
      <c r="AM1003" s="781"/>
      <c r="AN1003" s="781"/>
      <c r="AO1003" s="781"/>
      <c r="AP1003" s="781"/>
      <c r="AQ1003" s="781"/>
      <c r="AR1003" s="781"/>
      <c r="AS1003" s="781"/>
      <c r="AT1003" s="781"/>
      <c r="AU1003" s="781"/>
    </row>
    <row r="1004" ht="15.75" customHeight="1">
      <c r="A1004" s="811">
        <v>44777.0</v>
      </c>
      <c r="B1004" s="867" t="s">
        <v>6618</v>
      </c>
      <c r="C1004" s="868" t="s">
        <v>3820</v>
      </c>
      <c r="D1004" s="869" t="s">
        <v>6346</v>
      </c>
      <c r="E1004" s="870">
        <v>25000.0</v>
      </c>
      <c r="F1004" s="869" t="s">
        <v>4946</v>
      </c>
      <c r="G1004" s="869" t="s">
        <v>18</v>
      </c>
      <c r="H1004" s="869" t="s">
        <v>29</v>
      </c>
      <c r="I1004" s="869" t="s">
        <v>168</v>
      </c>
      <c r="J1004" s="871">
        <v>44385.0</v>
      </c>
      <c r="K1004" s="868" t="s">
        <v>3869</v>
      </c>
      <c r="L1004" s="781"/>
      <c r="M1004" s="781"/>
      <c r="N1004" s="781"/>
      <c r="O1004" s="781"/>
      <c r="P1004" s="781"/>
      <c r="Q1004" s="781"/>
      <c r="R1004" s="781"/>
      <c r="S1004" s="781"/>
      <c r="T1004" s="781"/>
      <c r="U1004" s="781"/>
      <c r="V1004" s="781"/>
      <c r="W1004" s="781"/>
      <c r="X1004" s="781"/>
      <c r="Y1004" s="781"/>
      <c r="Z1004" s="781"/>
      <c r="AA1004" s="781"/>
      <c r="AB1004" s="781"/>
      <c r="AC1004" s="781"/>
      <c r="AD1004" s="781"/>
      <c r="AE1004" s="781"/>
      <c r="AF1004" s="781"/>
      <c r="AG1004" s="781"/>
      <c r="AH1004" s="781"/>
      <c r="AI1004" s="781"/>
      <c r="AJ1004" s="781"/>
      <c r="AK1004" s="781"/>
      <c r="AL1004" s="781"/>
      <c r="AM1004" s="781"/>
      <c r="AN1004" s="781"/>
      <c r="AO1004" s="781"/>
      <c r="AP1004" s="781"/>
      <c r="AQ1004" s="781"/>
      <c r="AR1004" s="781"/>
      <c r="AS1004" s="781"/>
      <c r="AT1004" s="781"/>
      <c r="AU1004" s="781"/>
    </row>
    <row r="1005" ht="15.75" customHeight="1">
      <c r="A1005" s="811">
        <v>44777.0</v>
      </c>
      <c r="B1005" s="867" t="s">
        <v>6604</v>
      </c>
      <c r="C1005" s="868" t="s">
        <v>3820</v>
      </c>
      <c r="D1005" s="869" t="s">
        <v>6345</v>
      </c>
      <c r="E1005" s="870">
        <v>1473.07</v>
      </c>
      <c r="F1005" s="869" t="s">
        <v>4337</v>
      </c>
      <c r="G1005" s="869" t="s">
        <v>18</v>
      </c>
      <c r="H1005" s="869" t="s">
        <v>19</v>
      </c>
      <c r="I1005" s="869" t="s">
        <v>256</v>
      </c>
      <c r="J1005" s="871">
        <v>44251.0</v>
      </c>
      <c r="K1005" s="868" t="s">
        <v>3840</v>
      </c>
      <c r="L1005" s="781"/>
      <c r="M1005" s="781"/>
      <c r="N1005" s="781"/>
      <c r="O1005" s="781"/>
      <c r="P1005" s="781"/>
      <c r="Q1005" s="781"/>
      <c r="R1005" s="781"/>
      <c r="S1005" s="781"/>
      <c r="T1005" s="781"/>
      <c r="U1005" s="781"/>
      <c r="V1005" s="781"/>
      <c r="W1005" s="781"/>
      <c r="X1005" s="781"/>
      <c r="Y1005" s="781"/>
      <c r="Z1005" s="781"/>
      <c r="AA1005" s="781"/>
      <c r="AB1005" s="781"/>
      <c r="AC1005" s="781"/>
      <c r="AD1005" s="781"/>
      <c r="AE1005" s="781"/>
      <c r="AF1005" s="781"/>
      <c r="AG1005" s="781"/>
      <c r="AH1005" s="781"/>
      <c r="AI1005" s="781"/>
      <c r="AJ1005" s="781"/>
      <c r="AK1005" s="781"/>
      <c r="AL1005" s="781"/>
      <c r="AM1005" s="781"/>
      <c r="AN1005" s="781"/>
      <c r="AO1005" s="781"/>
      <c r="AP1005" s="781"/>
      <c r="AQ1005" s="781"/>
      <c r="AR1005" s="781"/>
      <c r="AS1005" s="781"/>
      <c r="AT1005" s="781"/>
      <c r="AU1005" s="781"/>
    </row>
    <row r="1006" ht="15.75" customHeight="1">
      <c r="A1006" s="811">
        <v>44777.0</v>
      </c>
      <c r="B1006" s="867" t="s">
        <v>6562</v>
      </c>
      <c r="C1006" s="868" t="s">
        <v>2547</v>
      </c>
      <c r="D1006" s="869" t="s">
        <v>6345</v>
      </c>
      <c r="E1006" s="870">
        <v>74385.52</v>
      </c>
      <c r="F1006" s="869" t="s">
        <v>3204</v>
      </c>
      <c r="G1006" s="869" t="s">
        <v>18</v>
      </c>
      <c r="H1006" s="869" t="s">
        <v>176</v>
      </c>
      <c r="I1006" s="869" t="s">
        <v>2634</v>
      </c>
      <c r="J1006" s="871">
        <v>44568.0</v>
      </c>
      <c r="K1006" s="868" t="s">
        <v>3834</v>
      </c>
      <c r="L1006" s="781"/>
      <c r="M1006" s="781"/>
      <c r="N1006" s="781"/>
      <c r="O1006" s="781"/>
      <c r="P1006" s="781"/>
      <c r="Q1006" s="781"/>
      <c r="R1006" s="781"/>
      <c r="S1006" s="781"/>
      <c r="T1006" s="781"/>
      <c r="U1006" s="781"/>
      <c r="V1006" s="781"/>
      <c r="W1006" s="781"/>
      <c r="X1006" s="781"/>
      <c r="Y1006" s="781"/>
      <c r="Z1006" s="781"/>
      <c r="AA1006" s="781"/>
      <c r="AB1006" s="781"/>
      <c r="AC1006" s="781"/>
      <c r="AD1006" s="781"/>
      <c r="AE1006" s="781"/>
      <c r="AF1006" s="781"/>
      <c r="AG1006" s="781"/>
      <c r="AH1006" s="781"/>
      <c r="AI1006" s="781"/>
      <c r="AJ1006" s="781"/>
      <c r="AK1006" s="781"/>
      <c r="AL1006" s="781"/>
      <c r="AM1006" s="781"/>
      <c r="AN1006" s="781"/>
      <c r="AO1006" s="781"/>
      <c r="AP1006" s="781"/>
      <c r="AQ1006" s="781"/>
      <c r="AR1006" s="781"/>
      <c r="AS1006" s="781"/>
      <c r="AT1006" s="781"/>
      <c r="AU1006" s="781"/>
    </row>
    <row r="1007" ht="15.75" customHeight="1">
      <c r="A1007" s="811">
        <v>44781.0</v>
      </c>
      <c r="B1007" s="867" t="s">
        <v>6619</v>
      </c>
      <c r="C1007" s="868" t="s">
        <v>3820</v>
      </c>
      <c r="D1007" s="869" t="s">
        <v>6346</v>
      </c>
      <c r="E1007" s="870">
        <v>7000.0</v>
      </c>
      <c r="F1007" s="869" t="s">
        <v>6620</v>
      </c>
      <c r="G1007" s="869" t="s">
        <v>18</v>
      </c>
      <c r="H1007" s="869" t="s">
        <v>19</v>
      </c>
      <c r="I1007" s="869" t="s">
        <v>20</v>
      </c>
      <c r="J1007" s="871">
        <v>44673.0</v>
      </c>
      <c r="K1007" s="868" t="s">
        <v>3836</v>
      </c>
      <c r="L1007" s="781"/>
      <c r="M1007" s="781"/>
      <c r="N1007" s="781"/>
      <c r="O1007" s="781"/>
      <c r="P1007" s="781"/>
      <c r="Q1007" s="781"/>
      <c r="R1007" s="781"/>
      <c r="S1007" s="781"/>
      <c r="T1007" s="781"/>
      <c r="U1007" s="781"/>
      <c r="V1007" s="781"/>
      <c r="W1007" s="781"/>
      <c r="X1007" s="781"/>
      <c r="Y1007" s="781"/>
      <c r="Z1007" s="781"/>
      <c r="AA1007" s="781"/>
      <c r="AB1007" s="781"/>
      <c r="AC1007" s="781"/>
      <c r="AD1007" s="781"/>
      <c r="AE1007" s="781"/>
      <c r="AF1007" s="781"/>
      <c r="AG1007" s="781"/>
      <c r="AH1007" s="781"/>
      <c r="AI1007" s="781"/>
      <c r="AJ1007" s="781"/>
      <c r="AK1007" s="781"/>
      <c r="AL1007" s="781"/>
      <c r="AM1007" s="781"/>
      <c r="AN1007" s="781"/>
      <c r="AO1007" s="781"/>
      <c r="AP1007" s="781"/>
      <c r="AQ1007" s="781"/>
      <c r="AR1007" s="781"/>
      <c r="AS1007" s="781"/>
      <c r="AT1007" s="781"/>
      <c r="AU1007" s="781"/>
    </row>
    <row r="1008" ht="15.75" customHeight="1">
      <c r="A1008" s="811">
        <v>44781.0</v>
      </c>
      <c r="B1008" s="867" t="s">
        <v>6621</v>
      </c>
      <c r="C1008" s="868" t="s">
        <v>3820</v>
      </c>
      <c r="D1008" s="869" t="s">
        <v>6345</v>
      </c>
      <c r="E1008" s="870">
        <v>157156.82</v>
      </c>
      <c r="F1008" s="869" t="s">
        <v>6622</v>
      </c>
      <c r="G1008" s="869" t="s">
        <v>18</v>
      </c>
      <c r="H1008" s="869" t="s">
        <v>29</v>
      </c>
      <c r="I1008" s="869" t="s">
        <v>836</v>
      </c>
      <c r="J1008" s="871">
        <v>44277.0</v>
      </c>
      <c r="K1008" s="868" t="s">
        <v>3836</v>
      </c>
      <c r="L1008" s="781"/>
      <c r="M1008" s="781"/>
      <c r="N1008" s="781"/>
      <c r="O1008" s="781"/>
      <c r="P1008" s="781"/>
      <c r="Q1008" s="781"/>
      <c r="R1008" s="781"/>
      <c r="S1008" s="781"/>
      <c r="T1008" s="781"/>
      <c r="U1008" s="781"/>
      <c r="V1008" s="781"/>
      <c r="W1008" s="781"/>
      <c r="X1008" s="781"/>
      <c r="Y1008" s="781"/>
      <c r="Z1008" s="781"/>
      <c r="AA1008" s="781"/>
      <c r="AB1008" s="781"/>
      <c r="AC1008" s="781"/>
      <c r="AD1008" s="781"/>
      <c r="AE1008" s="781"/>
      <c r="AF1008" s="781"/>
      <c r="AG1008" s="781"/>
      <c r="AH1008" s="781"/>
      <c r="AI1008" s="781"/>
      <c r="AJ1008" s="781"/>
      <c r="AK1008" s="781"/>
      <c r="AL1008" s="781"/>
      <c r="AM1008" s="781"/>
      <c r="AN1008" s="781"/>
      <c r="AO1008" s="781"/>
      <c r="AP1008" s="781"/>
      <c r="AQ1008" s="781"/>
      <c r="AR1008" s="781"/>
      <c r="AS1008" s="781"/>
      <c r="AT1008" s="781"/>
      <c r="AU1008" s="781"/>
    </row>
    <row r="1009" ht="15.75" customHeight="1">
      <c r="A1009" s="811">
        <v>44781.0</v>
      </c>
      <c r="B1009" s="867" t="s">
        <v>2880</v>
      </c>
      <c r="C1009" s="868" t="s">
        <v>2547</v>
      </c>
      <c r="D1009" s="869" t="s">
        <v>6345</v>
      </c>
      <c r="E1009" s="870">
        <v>101893.24</v>
      </c>
      <c r="F1009" s="869" t="s">
        <v>2879</v>
      </c>
      <c r="G1009" s="869" t="s">
        <v>18</v>
      </c>
      <c r="H1009" s="869" t="s">
        <v>176</v>
      </c>
      <c r="I1009" s="869" t="s">
        <v>177</v>
      </c>
      <c r="J1009" s="871">
        <v>44365.0</v>
      </c>
      <c r="K1009" s="868" t="s">
        <v>3828</v>
      </c>
      <c r="L1009" s="781"/>
      <c r="M1009" s="781"/>
      <c r="N1009" s="781"/>
      <c r="O1009" s="781"/>
      <c r="P1009" s="781"/>
      <c r="Q1009" s="781"/>
      <c r="R1009" s="781"/>
      <c r="S1009" s="781"/>
      <c r="T1009" s="781"/>
      <c r="U1009" s="781"/>
      <c r="V1009" s="781"/>
      <c r="W1009" s="781"/>
      <c r="X1009" s="781"/>
      <c r="Y1009" s="781"/>
      <c r="Z1009" s="781"/>
      <c r="AA1009" s="781"/>
      <c r="AB1009" s="781"/>
      <c r="AC1009" s="781"/>
      <c r="AD1009" s="781"/>
      <c r="AE1009" s="781"/>
      <c r="AF1009" s="781"/>
      <c r="AG1009" s="781"/>
      <c r="AH1009" s="781"/>
      <c r="AI1009" s="781"/>
      <c r="AJ1009" s="781"/>
      <c r="AK1009" s="781"/>
      <c r="AL1009" s="781"/>
      <c r="AM1009" s="781"/>
      <c r="AN1009" s="781"/>
      <c r="AO1009" s="781"/>
      <c r="AP1009" s="781"/>
      <c r="AQ1009" s="781"/>
      <c r="AR1009" s="781"/>
      <c r="AS1009" s="781"/>
      <c r="AT1009" s="781"/>
      <c r="AU1009" s="781"/>
    </row>
    <row r="1010" ht="15.75" customHeight="1">
      <c r="A1010" s="811">
        <v>44783.0</v>
      </c>
      <c r="B1010" s="867" t="s">
        <v>6488</v>
      </c>
      <c r="C1010" s="868" t="s">
        <v>3820</v>
      </c>
      <c r="D1010" s="869" t="s">
        <v>6346</v>
      </c>
      <c r="E1010" s="870">
        <v>5500.0</v>
      </c>
      <c r="F1010" s="869" t="s">
        <v>2154</v>
      </c>
      <c r="G1010" s="869" t="s">
        <v>18</v>
      </c>
      <c r="H1010" s="869" t="s">
        <v>29</v>
      </c>
      <c r="I1010" s="869" t="s">
        <v>2803</v>
      </c>
      <c r="J1010" s="871">
        <v>44293.0</v>
      </c>
      <c r="K1010" s="868" t="s">
        <v>3824</v>
      </c>
      <c r="L1010" s="781"/>
      <c r="M1010" s="781"/>
      <c r="N1010" s="781"/>
      <c r="O1010" s="781"/>
      <c r="P1010" s="781"/>
      <c r="Q1010" s="781"/>
      <c r="R1010" s="781"/>
      <c r="S1010" s="781"/>
      <c r="T1010" s="781"/>
      <c r="U1010" s="781"/>
      <c r="V1010" s="781"/>
      <c r="W1010" s="781"/>
      <c r="X1010" s="781"/>
      <c r="Y1010" s="781"/>
      <c r="Z1010" s="781"/>
      <c r="AA1010" s="781"/>
      <c r="AB1010" s="781"/>
      <c r="AC1010" s="781"/>
      <c r="AD1010" s="781"/>
      <c r="AE1010" s="781"/>
      <c r="AF1010" s="781"/>
      <c r="AG1010" s="781"/>
      <c r="AH1010" s="781"/>
      <c r="AI1010" s="781"/>
      <c r="AJ1010" s="781"/>
      <c r="AK1010" s="781"/>
      <c r="AL1010" s="781"/>
      <c r="AM1010" s="781"/>
      <c r="AN1010" s="781"/>
      <c r="AO1010" s="781"/>
      <c r="AP1010" s="781"/>
      <c r="AQ1010" s="781"/>
      <c r="AR1010" s="781"/>
      <c r="AS1010" s="781"/>
      <c r="AT1010" s="781"/>
      <c r="AU1010" s="781"/>
    </row>
    <row r="1011" ht="15.75" customHeight="1">
      <c r="A1011" s="811">
        <v>44783.0</v>
      </c>
      <c r="B1011" s="867" t="s">
        <v>3177</v>
      </c>
      <c r="C1011" s="868" t="s">
        <v>2547</v>
      </c>
      <c r="D1011" s="869" t="s">
        <v>6345</v>
      </c>
      <c r="E1011" s="870">
        <v>111338.29</v>
      </c>
      <c r="F1011" s="869" t="s">
        <v>3176</v>
      </c>
      <c r="G1011" s="869" t="s">
        <v>18</v>
      </c>
      <c r="H1011" s="869" t="s">
        <v>176</v>
      </c>
      <c r="I1011" s="869" t="s">
        <v>197</v>
      </c>
      <c r="J1011" s="871">
        <v>44600.0</v>
      </c>
      <c r="K1011" s="868" t="s">
        <v>3836</v>
      </c>
      <c r="L1011" s="781"/>
      <c r="M1011" s="781"/>
      <c r="N1011" s="781"/>
      <c r="O1011" s="781"/>
      <c r="P1011" s="781"/>
      <c r="Q1011" s="781"/>
      <c r="R1011" s="781"/>
      <c r="S1011" s="781"/>
      <c r="T1011" s="781"/>
      <c r="U1011" s="781"/>
      <c r="V1011" s="781"/>
      <c r="W1011" s="781"/>
      <c r="X1011" s="781"/>
      <c r="Y1011" s="781"/>
      <c r="Z1011" s="781"/>
      <c r="AA1011" s="781"/>
      <c r="AB1011" s="781"/>
      <c r="AC1011" s="781"/>
      <c r="AD1011" s="781"/>
      <c r="AE1011" s="781"/>
      <c r="AF1011" s="781"/>
      <c r="AG1011" s="781"/>
      <c r="AH1011" s="781"/>
      <c r="AI1011" s="781"/>
      <c r="AJ1011" s="781"/>
      <c r="AK1011" s="781"/>
      <c r="AL1011" s="781"/>
      <c r="AM1011" s="781"/>
      <c r="AN1011" s="781"/>
      <c r="AO1011" s="781"/>
      <c r="AP1011" s="781"/>
      <c r="AQ1011" s="781"/>
      <c r="AR1011" s="781"/>
      <c r="AS1011" s="781"/>
      <c r="AT1011" s="781"/>
      <c r="AU1011" s="781"/>
    </row>
    <row r="1012" ht="15.75" customHeight="1">
      <c r="A1012" s="811">
        <v>44784.0</v>
      </c>
      <c r="B1012" s="867" t="s">
        <v>6623</v>
      </c>
      <c r="C1012" s="868" t="s">
        <v>3820</v>
      </c>
      <c r="D1012" s="869" t="s">
        <v>6345</v>
      </c>
      <c r="E1012" s="870" t="s">
        <v>6624</v>
      </c>
      <c r="F1012" s="869" t="s">
        <v>4464</v>
      </c>
      <c r="G1012" s="869" t="s">
        <v>105</v>
      </c>
      <c r="H1012" s="869" t="s">
        <v>29</v>
      </c>
      <c r="I1012" s="869" t="s">
        <v>4465</v>
      </c>
      <c r="J1012" s="871">
        <v>44211.0</v>
      </c>
      <c r="K1012" s="868" t="s">
        <v>3840</v>
      </c>
      <c r="L1012" s="781"/>
      <c r="M1012" s="781"/>
      <c r="N1012" s="781"/>
      <c r="O1012" s="781"/>
      <c r="P1012" s="781"/>
      <c r="Q1012" s="781"/>
      <c r="R1012" s="781"/>
      <c r="S1012" s="781"/>
      <c r="T1012" s="781"/>
      <c r="U1012" s="781"/>
      <c r="V1012" s="781"/>
      <c r="W1012" s="781"/>
      <c r="X1012" s="781"/>
      <c r="Y1012" s="781"/>
      <c r="Z1012" s="781"/>
      <c r="AA1012" s="781"/>
      <c r="AB1012" s="781"/>
      <c r="AC1012" s="781"/>
      <c r="AD1012" s="781"/>
      <c r="AE1012" s="781"/>
      <c r="AF1012" s="781"/>
      <c r="AG1012" s="781"/>
      <c r="AH1012" s="781"/>
      <c r="AI1012" s="781"/>
      <c r="AJ1012" s="781"/>
      <c r="AK1012" s="781"/>
      <c r="AL1012" s="781"/>
      <c r="AM1012" s="781"/>
      <c r="AN1012" s="781"/>
      <c r="AO1012" s="781"/>
      <c r="AP1012" s="781"/>
      <c r="AQ1012" s="781"/>
      <c r="AR1012" s="781"/>
      <c r="AS1012" s="781"/>
      <c r="AT1012" s="781"/>
      <c r="AU1012" s="781"/>
    </row>
    <row r="1013" ht="15.75" customHeight="1">
      <c r="A1013" s="811">
        <v>44784.0</v>
      </c>
      <c r="B1013" s="867" t="s">
        <v>6511</v>
      </c>
      <c r="C1013" s="868" t="s">
        <v>3820</v>
      </c>
      <c r="D1013" s="869" t="s">
        <v>6346</v>
      </c>
      <c r="E1013" s="870">
        <v>30000.0</v>
      </c>
      <c r="F1013" s="869" t="s">
        <v>1552</v>
      </c>
      <c r="G1013" s="869" t="s">
        <v>18</v>
      </c>
      <c r="H1013" s="869" t="s">
        <v>29</v>
      </c>
      <c r="I1013" s="869" t="s">
        <v>5047</v>
      </c>
      <c r="J1013" s="871">
        <v>44594.0</v>
      </c>
      <c r="K1013" s="868" t="s">
        <v>3834</v>
      </c>
      <c r="L1013" s="781"/>
      <c r="M1013" s="781"/>
      <c r="N1013" s="781"/>
      <c r="O1013" s="781"/>
      <c r="P1013" s="781"/>
      <c r="Q1013" s="781"/>
      <c r="R1013" s="781"/>
      <c r="S1013" s="781"/>
      <c r="T1013" s="781"/>
      <c r="U1013" s="781"/>
      <c r="V1013" s="781"/>
      <c r="W1013" s="781"/>
      <c r="X1013" s="781"/>
      <c r="Y1013" s="781"/>
      <c r="Z1013" s="781"/>
      <c r="AA1013" s="781"/>
      <c r="AB1013" s="781"/>
      <c r="AC1013" s="781"/>
      <c r="AD1013" s="781"/>
      <c r="AE1013" s="781"/>
      <c r="AF1013" s="781"/>
      <c r="AG1013" s="781"/>
      <c r="AH1013" s="781"/>
      <c r="AI1013" s="781"/>
      <c r="AJ1013" s="781"/>
      <c r="AK1013" s="781"/>
      <c r="AL1013" s="781"/>
      <c r="AM1013" s="781"/>
      <c r="AN1013" s="781"/>
      <c r="AO1013" s="781"/>
      <c r="AP1013" s="781"/>
      <c r="AQ1013" s="781"/>
      <c r="AR1013" s="781"/>
      <c r="AS1013" s="781"/>
      <c r="AT1013" s="781"/>
      <c r="AU1013" s="781"/>
    </row>
    <row r="1014" ht="15.75" customHeight="1">
      <c r="A1014" s="795">
        <v>44784.0</v>
      </c>
      <c r="B1014" s="827" t="s">
        <v>6555</v>
      </c>
      <c r="C1014" s="797" t="s">
        <v>3820</v>
      </c>
      <c r="D1014" s="772" t="s">
        <v>6346</v>
      </c>
      <c r="E1014" s="798">
        <v>125000.0</v>
      </c>
      <c r="F1014" s="772" t="s">
        <v>6556</v>
      </c>
      <c r="G1014" s="782" t="s">
        <v>18</v>
      </c>
      <c r="H1014" s="782" t="s">
        <v>19</v>
      </c>
      <c r="I1014" s="782" t="s">
        <v>6334</v>
      </c>
      <c r="J1014" s="782">
        <v>44454.0</v>
      </c>
      <c r="K1014" s="782" t="s">
        <v>3828</v>
      </c>
      <c r="L1014" s="781"/>
      <c r="M1014" s="781"/>
      <c r="N1014" s="781"/>
      <c r="O1014" s="781"/>
      <c r="P1014" s="781"/>
      <c r="Q1014" s="781"/>
      <c r="R1014" s="781"/>
      <c r="S1014" s="781"/>
      <c r="T1014" s="781"/>
      <c r="U1014" s="781"/>
      <c r="V1014" s="781"/>
      <c r="W1014" s="781"/>
      <c r="X1014" s="781"/>
      <c r="Y1014" s="781"/>
      <c r="Z1014" s="781"/>
      <c r="AA1014" s="781"/>
      <c r="AB1014" s="781"/>
      <c r="AC1014" s="781"/>
      <c r="AD1014" s="781"/>
      <c r="AE1014" s="781"/>
      <c r="AF1014" s="781"/>
      <c r="AG1014" s="781"/>
      <c r="AH1014" s="781"/>
      <c r="AI1014" s="781"/>
      <c r="AJ1014" s="781"/>
      <c r="AK1014" s="781"/>
      <c r="AL1014" s="781"/>
      <c r="AM1014" s="781"/>
      <c r="AN1014" s="781"/>
      <c r="AO1014" s="781"/>
      <c r="AP1014" s="781"/>
      <c r="AQ1014" s="781"/>
      <c r="AR1014" s="781"/>
      <c r="AS1014" s="781"/>
      <c r="AT1014" s="781"/>
      <c r="AU1014" s="781"/>
    </row>
    <row r="1015" ht="15.75" customHeight="1">
      <c r="A1015" s="795">
        <v>44786.0</v>
      </c>
      <c r="B1015" s="827" t="s">
        <v>6625</v>
      </c>
      <c r="C1015" s="797" t="s">
        <v>3820</v>
      </c>
      <c r="D1015" s="772" t="s">
        <v>6345</v>
      </c>
      <c r="E1015" s="798">
        <v>444418.17</v>
      </c>
      <c r="F1015" s="772" t="s">
        <v>5135</v>
      </c>
      <c r="G1015" s="782" t="s">
        <v>18</v>
      </c>
      <c r="H1015" s="782" t="s">
        <v>19</v>
      </c>
      <c r="I1015" s="782" t="s">
        <v>4152</v>
      </c>
      <c r="J1015" s="782">
        <v>44421.0</v>
      </c>
      <c r="K1015" s="782" t="s">
        <v>3834</v>
      </c>
      <c r="L1015" s="781"/>
      <c r="M1015" s="781"/>
      <c r="N1015" s="781"/>
      <c r="O1015" s="781"/>
      <c r="P1015" s="781"/>
      <c r="Q1015" s="781"/>
      <c r="R1015" s="781"/>
      <c r="S1015" s="781"/>
      <c r="T1015" s="781"/>
      <c r="U1015" s="781"/>
      <c r="V1015" s="781"/>
      <c r="W1015" s="781"/>
      <c r="X1015" s="781"/>
      <c r="Y1015" s="781"/>
      <c r="Z1015" s="781"/>
      <c r="AA1015" s="781"/>
      <c r="AB1015" s="781"/>
      <c r="AC1015" s="781"/>
      <c r="AD1015" s="781"/>
      <c r="AE1015" s="781"/>
      <c r="AF1015" s="781"/>
      <c r="AG1015" s="781"/>
      <c r="AH1015" s="781"/>
      <c r="AI1015" s="781"/>
      <c r="AJ1015" s="781"/>
      <c r="AK1015" s="781"/>
      <c r="AL1015" s="781"/>
      <c r="AM1015" s="781"/>
      <c r="AN1015" s="781"/>
      <c r="AO1015" s="781"/>
      <c r="AP1015" s="781"/>
      <c r="AQ1015" s="781"/>
      <c r="AR1015" s="781"/>
      <c r="AS1015" s="781"/>
      <c r="AT1015" s="781"/>
      <c r="AU1015" s="781"/>
    </row>
    <row r="1016" ht="15.75" customHeight="1">
      <c r="A1016" s="811">
        <v>44788.0</v>
      </c>
      <c r="B1016" s="812" t="s">
        <v>6552</v>
      </c>
      <c r="C1016" s="813" t="s">
        <v>3820</v>
      </c>
      <c r="D1016" s="814" t="s">
        <v>6346</v>
      </c>
      <c r="E1016" s="815">
        <v>10000.0</v>
      </c>
      <c r="F1016" s="814" t="s">
        <v>6626</v>
      </c>
      <c r="G1016" s="814" t="s">
        <v>18</v>
      </c>
      <c r="H1016" s="814" t="s">
        <v>19</v>
      </c>
      <c r="I1016" s="814" t="s">
        <v>122</v>
      </c>
      <c r="J1016" s="816">
        <v>44645.0</v>
      </c>
      <c r="K1016" s="813" t="s">
        <v>3834</v>
      </c>
      <c r="L1016" s="781"/>
      <c r="M1016" s="781"/>
      <c r="N1016" s="781"/>
      <c r="O1016" s="781"/>
      <c r="P1016" s="781"/>
      <c r="Q1016" s="781"/>
      <c r="R1016" s="781"/>
      <c r="S1016" s="781"/>
      <c r="T1016" s="781"/>
      <c r="U1016" s="781"/>
      <c r="V1016" s="781"/>
      <c r="W1016" s="781"/>
      <c r="X1016" s="781"/>
      <c r="Y1016" s="781"/>
      <c r="Z1016" s="781"/>
      <c r="AA1016" s="781"/>
      <c r="AB1016" s="781"/>
      <c r="AC1016" s="781"/>
      <c r="AD1016" s="781"/>
      <c r="AE1016" s="781"/>
      <c r="AF1016" s="781"/>
      <c r="AG1016" s="781"/>
      <c r="AH1016" s="781"/>
      <c r="AI1016" s="781"/>
      <c r="AJ1016" s="781"/>
      <c r="AK1016" s="781"/>
      <c r="AL1016" s="781"/>
      <c r="AM1016" s="781"/>
      <c r="AN1016" s="781"/>
      <c r="AO1016" s="781"/>
      <c r="AP1016" s="781"/>
      <c r="AQ1016" s="781"/>
      <c r="AR1016" s="781"/>
      <c r="AS1016" s="781"/>
      <c r="AT1016" s="781"/>
      <c r="AU1016" s="781"/>
    </row>
    <row r="1017" ht="15.75" customHeight="1">
      <c r="A1017" s="811">
        <v>44788.0</v>
      </c>
      <c r="B1017" s="812" t="s">
        <v>6627</v>
      </c>
      <c r="C1017" s="813" t="s">
        <v>3820</v>
      </c>
      <c r="D1017" s="814" t="s">
        <v>6345</v>
      </c>
      <c r="E1017" s="815">
        <v>608381.09</v>
      </c>
      <c r="F1017" s="814" t="s">
        <v>4835</v>
      </c>
      <c r="G1017" s="814" t="s">
        <v>18</v>
      </c>
      <c r="H1017" s="814" t="s">
        <v>29</v>
      </c>
      <c r="I1017" s="814" t="s">
        <v>3708</v>
      </c>
      <c r="J1017" s="816">
        <v>44341.0</v>
      </c>
      <c r="K1017" s="813" t="s">
        <v>4836</v>
      </c>
      <c r="L1017" s="781"/>
      <c r="M1017" s="781"/>
      <c r="N1017" s="781"/>
      <c r="O1017" s="781"/>
      <c r="P1017" s="781"/>
      <c r="Q1017" s="781"/>
      <c r="R1017" s="781"/>
      <c r="S1017" s="781"/>
      <c r="T1017" s="781"/>
      <c r="U1017" s="781"/>
      <c r="V1017" s="781"/>
      <c r="W1017" s="781"/>
      <c r="X1017" s="781"/>
      <c r="Y1017" s="781"/>
      <c r="Z1017" s="781"/>
      <c r="AA1017" s="781"/>
      <c r="AB1017" s="781"/>
      <c r="AC1017" s="781"/>
      <c r="AD1017" s="781"/>
      <c r="AE1017" s="781"/>
      <c r="AF1017" s="781"/>
      <c r="AG1017" s="781"/>
      <c r="AH1017" s="781"/>
      <c r="AI1017" s="781"/>
      <c r="AJ1017" s="781"/>
      <c r="AK1017" s="781"/>
      <c r="AL1017" s="781"/>
      <c r="AM1017" s="781"/>
      <c r="AN1017" s="781"/>
      <c r="AO1017" s="781"/>
      <c r="AP1017" s="781"/>
      <c r="AQ1017" s="781"/>
      <c r="AR1017" s="781"/>
      <c r="AS1017" s="781"/>
      <c r="AT1017" s="781"/>
      <c r="AU1017" s="781"/>
    </row>
    <row r="1018" ht="15.75" customHeight="1">
      <c r="A1018" s="811">
        <v>44789.0</v>
      </c>
      <c r="B1018" s="812" t="s">
        <v>6586</v>
      </c>
      <c r="C1018" s="813" t="s">
        <v>3820</v>
      </c>
      <c r="D1018" s="814" t="s">
        <v>6346</v>
      </c>
      <c r="E1018" s="815">
        <v>5000.0</v>
      </c>
      <c r="F1018" s="814" t="s">
        <v>1292</v>
      </c>
      <c r="G1018" s="814" t="s">
        <v>105</v>
      </c>
      <c r="H1018" s="814" t="s">
        <v>29</v>
      </c>
      <c r="I1018" s="814" t="s">
        <v>3660</v>
      </c>
      <c r="J1018" s="816">
        <v>44138.0</v>
      </c>
      <c r="K1018" s="813" t="s">
        <v>3836</v>
      </c>
      <c r="L1018" s="781"/>
      <c r="M1018" s="781"/>
      <c r="N1018" s="781"/>
      <c r="O1018" s="781"/>
      <c r="P1018" s="781"/>
      <c r="Q1018" s="781"/>
      <c r="R1018" s="781"/>
      <c r="S1018" s="781"/>
      <c r="T1018" s="781"/>
      <c r="U1018" s="781"/>
      <c r="V1018" s="781"/>
      <c r="W1018" s="781"/>
      <c r="X1018" s="781"/>
      <c r="Y1018" s="781"/>
      <c r="Z1018" s="781"/>
      <c r="AA1018" s="781"/>
      <c r="AB1018" s="781"/>
      <c r="AC1018" s="781"/>
      <c r="AD1018" s="781"/>
      <c r="AE1018" s="781"/>
      <c r="AF1018" s="781"/>
      <c r="AG1018" s="781"/>
      <c r="AH1018" s="781"/>
      <c r="AI1018" s="781"/>
      <c r="AJ1018" s="781"/>
      <c r="AK1018" s="781"/>
      <c r="AL1018" s="781"/>
      <c r="AM1018" s="781"/>
      <c r="AN1018" s="781"/>
      <c r="AO1018" s="781"/>
      <c r="AP1018" s="781"/>
      <c r="AQ1018" s="781"/>
      <c r="AR1018" s="781"/>
      <c r="AS1018" s="781"/>
      <c r="AT1018" s="781"/>
      <c r="AU1018" s="781"/>
    </row>
    <row r="1019" ht="15.75" customHeight="1">
      <c r="A1019" s="811">
        <v>44790.0</v>
      </c>
      <c r="B1019" s="812" t="s">
        <v>6552</v>
      </c>
      <c r="C1019" s="813" t="s">
        <v>3820</v>
      </c>
      <c r="D1019" s="814" t="s">
        <v>6346</v>
      </c>
      <c r="E1019" s="815">
        <v>5000.0</v>
      </c>
      <c r="F1019" s="814" t="s">
        <v>6626</v>
      </c>
      <c r="G1019" s="814" t="s">
        <v>18</v>
      </c>
      <c r="H1019" s="814" t="s">
        <v>19</v>
      </c>
      <c r="I1019" s="814" t="s">
        <v>122</v>
      </c>
      <c r="J1019" s="816">
        <v>44645.0</v>
      </c>
      <c r="K1019" s="813" t="s">
        <v>3834</v>
      </c>
      <c r="L1019" s="781"/>
      <c r="M1019" s="781"/>
      <c r="N1019" s="781"/>
      <c r="O1019" s="781"/>
      <c r="P1019" s="781"/>
      <c r="Q1019" s="781"/>
      <c r="R1019" s="781"/>
      <c r="S1019" s="781"/>
      <c r="T1019" s="781"/>
      <c r="U1019" s="781"/>
      <c r="V1019" s="781"/>
      <c r="W1019" s="781"/>
      <c r="X1019" s="781"/>
      <c r="Y1019" s="781"/>
      <c r="Z1019" s="781"/>
      <c r="AA1019" s="781"/>
      <c r="AB1019" s="781"/>
      <c r="AC1019" s="781"/>
      <c r="AD1019" s="781"/>
      <c r="AE1019" s="781"/>
      <c r="AF1019" s="781"/>
      <c r="AG1019" s="781"/>
      <c r="AH1019" s="781"/>
      <c r="AI1019" s="781"/>
      <c r="AJ1019" s="781"/>
      <c r="AK1019" s="781"/>
      <c r="AL1019" s="781"/>
      <c r="AM1019" s="781"/>
      <c r="AN1019" s="781"/>
      <c r="AO1019" s="781"/>
      <c r="AP1019" s="781"/>
      <c r="AQ1019" s="781"/>
      <c r="AR1019" s="781"/>
      <c r="AS1019" s="781"/>
      <c r="AT1019" s="781"/>
      <c r="AU1019" s="781"/>
    </row>
    <row r="1020" ht="15.75" customHeight="1">
      <c r="A1020" s="811">
        <v>44791.0</v>
      </c>
      <c r="B1020" s="812" t="s">
        <v>6502</v>
      </c>
      <c r="C1020" s="813" t="s">
        <v>3820</v>
      </c>
      <c r="D1020" s="814" t="s">
        <v>6346</v>
      </c>
      <c r="E1020" s="815">
        <v>25000.0</v>
      </c>
      <c r="F1020" s="814" t="s">
        <v>3972</v>
      </c>
      <c r="G1020" s="814" t="s">
        <v>18</v>
      </c>
      <c r="H1020" s="814" t="s">
        <v>29</v>
      </c>
      <c r="I1020" s="814" t="s">
        <v>3973</v>
      </c>
      <c r="J1020" s="816">
        <v>44061.0</v>
      </c>
      <c r="K1020" s="813" t="s">
        <v>3828</v>
      </c>
      <c r="L1020" s="781"/>
      <c r="M1020" s="781"/>
      <c r="N1020" s="781"/>
      <c r="O1020" s="781"/>
      <c r="P1020" s="781"/>
      <c r="Q1020" s="781"/>
      <c r="R1020" s="781"/>
      <c r="S1020" s="781"/>
      <c r="T1020" s="781"/>
      <c r="U1020" s="781"/>
      <c r="V1020" s="781"/>
      <c r="W1020" s="781"/>
      <c r="X1020" s="781"/>
      <c r="Y1020" s="781"/>
      <c r="Z1020" s="781"/>
      <c r="AA1020" s="781"/>
      <c r="AB1020" s="781"/>
      <c r="AC1020" s="781"/>
      <c r="AD1020" s="781"/>
      <c r="AE1020" s="781"/>
      <c r="AF1020" s="781"/>
      <c r="AG1020" s="781"/>
      <c r="AH1020" s="781"/>
      <c r="AI1020" s="781"/>
      <c r="AJ1020" s="781"/>
      <c r="AK1020" s="781"/>
      <c r="AL1020" s="781"/>
      <c r="AM1020" s="781"/>
      <c r="AN1020" s="781"/>
      <c r="AO1020" s="781"/>
      <c r="AP1020" s="781"/>
      <c r="AQ1020" s="781"/>
      <c r="AR1020" s="781"/>
      <c r="AS1020" s="781"/>
      <c r="AT1020" s="781"/>
      <c r="AU1020" s="781"/>
    </row>
    <row r="1021" ht="15.75" customHeight="1">
      <c r="A1021" s="795">
        <v>44796.0</v>
      </c>
      <c r="B1021" s="827" t="s">
        <v>6628</v>
      </c>
      <c r="C1021" s="797" t="s">
        <v>3820</v>
      </c>
      <c r="D1021" s="772" t="s">
        <v>6345</v>
      </c>
      <c r="E1021" s="798">
        <v>835364.29</v>
      </c>
      <c r="F1021" s="772" t="s">
        <v>4130</v>
      </c>
      <c r="G1021" s="782" t="s">
        <v>18</v>
      </c>
      <c r="H1021" s="782" t="s">
        <v>19</v>
      </c>
      <c r="I1021" s="782" t="s">
        <v>20</v>
      </c>
      <c r="J1021" s="782">
        <v>44648.0</v>
      </c>
      <c r="K1021" s="782" t="s">
        <v>3828</v>
      </c>
      <c r="L1021" s="781"/>
      <c r="M1021" s="781"/>
      <c r="N1021" s="781"/>
      <c r="O1021" s="781"/>
      <c r="P1021" s="781"/>
      <c r="Q1021" s="781"/>
      <c r="R1021" s="781"/>
      <c r="S1021" s="781"/>
      <c r="T1021" s="781"/>
      <c r="U1021" s="781"/>
      <c r="V1021" s="781"/>
      <c r="W1021" s="781"/>
      <c r="X1021" s="781"/>
      <c r="Y1021" s="781"/>
      <c r="Z1021" s="781"/>
      <c r="AA1021" s="781"/>
      <c r="AB1021" s="781"/>
      <c r="AC1021" s="781"/>
      <c r="AD1021" s="781"/>
      <c r="AE1021" s="781"/>
      <c r="AF1021" s="781"/>
      <c r="AG1021" s="781"/>
      <c r="AH1021" s="781"/>
      <c r="AI1021" s="781"/>
      <c r="AJ1021" s="781"/>
      <c r="AK1021" s="781"/>
      <c r="AL1021" s="781"/>
      <c r="AM1021" s="781"/>
      <c r="AN1021" s="781"/>
      <c r="AO1021" s="781"/>
      <c r="AP1021" s="781"/>
      <c r="AQ1021" s="781"/>
      <c r="AR1021" s="781"/>
      <c r="AS1021" s="781"/>
      <c r="AT1021" s="781"/>
      <c r="AU1021" s="781"/>
    </row>
    <row r="1022" ht="15.75" customHeight="1">
      <c r="A1022" s="795">
        <v>44796.0</v>
      </c>
      <c r="B1022" s="827" t="s">
        <v>6629</v>
      </c>
      <c r="C1022" s="797" t="s">
        <v>3820</v>
      </c>
      <c r="D1022" s="772" t="s">
        <v>6345</v>
      </c>
      <c r="E1022" s="798">
        <v>1652454.72</v>
      </c>
      <c r="F1022" s="772" t="s">
        <v>4130</v>
      </c>
      <c r="G1022" s="782" t="s">
        <v>18</v>
      </c>
      <c r="H1022" s="782" t="s">
        <v>19</v>
      </c>
      <c r="I1022" s="782" t="s">
        <v>20</v>
      </c>
      <c r="J1022" s="782">
        <v>44648.0</v>
      </c>
      <c r="K1022" s="782" t="s">
        <v>3828</v>
      </c>
      <c r="L1022" s="781"/>
      <c r="M1022" s="781"/>
      <c r="N1022" s="781"/>
      <c r="O1022" s="781"/>
      <c r="P1022" s="781"/>
      <c r="Q1022" s="781"/>
      <c r="R1022" s="781"/>
      <c r="S1022" s="781"/>
      <c r="T1022" s="781"/>
      <c r="U1022" s="781"/>
      <c r="V1022" s="781"/>
      <c r="W1022" s="781"/>
      <c r="X1022" s="781"/>
      <c r="Y1022" s="781"/>
      <c r="Z1022" s="781"/>
      <c r="AA1022" s="781"/>
      <c r="AB1022" s="781"/>
      <c r="AC1022" s="781"/>
      <c r="AD1022" s="781"/>
      <c r="AE1022" s="781"/>
      <c r="AF1022" s="781"/>
      <c r="AG1022" s="781"/>
      <c r="AH1022" s="781"/>
      <c r="AI1022" s="781"/>
      <c r="AJ1022" s="781"/>
      <c r="AK1022" s="781"/>
      <c r="AL1022" s="781"/>
      <c r="AM1022" s="781"/>
      <c r="AN1022" s="781"/>
      <c r="AO1022" s="781"/>
      <c r="AP1022" s="781"/>
      <c r="AQ1022" s="781"/>
      <c r="AR1022" s="781"/>
      <c r="AS1022" s="781"/>
      <c r="AT1022" s="781"/>
      <c r="AU1022" s="781"/>
    </row>
    <row r="1023" ht="15.75" customHeight="1">
      <c r="A1023" s="795">
        <v>44796.0</v>
      </c>
      <c r="B1023" s="827" t="s">
        <v>6630</v>
      </c>
      <c r="C1023" s="797" t="s">
        <v>3820</v>
      </c>
      <c r="D1023" s="772" t="s">
        <v>6346</v>
      </c>
      <c r="E1023" s="798">
        <v>10000.0</v>
      </c>
      <c r="F1023" s="772" t="s">
        <v>4711</v>
      </c>
      <c r="G1023" s="782" t="s">
        <v>18</v>
      </c>
      <c r="H1023" s="782" t="s">
        <v>19</v>
      </c>
      <c r="I1023" s="782" t="s">
        <v>6631</v>
      </c>
      <c r="J1023" s="782"/>
      <c r="K1023" s="782"/>
      <c r="L1023" s="781"/>
      <c r="M1023" s="781"/>
      <c r="N1023" s="781"/>
      <c r="O1023" s="781"/>
      <c r="P1023" s="781"/>
      <c r="Q1023" s="781"/>
      <c r="R1023" s="781"/>
      <c r="S1023" s="781"/>
      <c r="T1023" s="781"/>
      <c r="U1023" s="781"/>
      <c r="V1023" s="781"/>
      <c r="W1023" s="781"/>
      <c r="X1023" s="781"/>
      <c r="Y1023" s="781"/>
      <c r="Z1023" s="781"/>
      <c r="AA1023" s="781"/>
      <c r="AB1023" s="781"/>
      <c r="AC1023" s="781"/>
      <c r="AD1023" s="781"/>
      <c r="AE1023" s="781"/>
      <c r="AF1023" s="781"/>
      <c r="AG1023" s="781"/>
      <c r="AH1023" s="781"/>
      <c r="AI1023" s="781"/>
      <c r="AJ1023" s="781"/>
      <c r="AK1023" s="781"/>
      <c r="AL1023" s="781"/>
      <c r="AM1023" s="781"/>
      <c r="AN1023" s="781"/>
      <c r="AO1023" s="781"/>
      <c r="AP1023" s="781"/>
      <c r="AQ1023" s="781"/>
      <c r="AR1023" s="781"/>
      <c r="AS1023" s="781"/>
      <c r="AT1023" s="781"/>
      <c r="AU1023" s="781"/>
    </row>
    <row r="1024" ht="15.75" customHeight="1">
      <c r="A1024" s="795">
        <v>44803.0</v>
      </c>
      <c r="B1024" s="827" t="s">
        <v>6632</v>
      </c>
      <c r="C1024" s="797" t="s">
        <v>3820</v>
      </c>
      <c r="D1024" s="772" t="s">
        <v>6345</v>
      </c>
      <c r="E1024" s="798">
        <v>352012.79</v>
      </c>
      <c r="F1024" s="772" t="s">
        <v>4134</v>
      </c>
      <c r="G1024" s="782" t="s">
        <v>105</v>
      </c>
      <c r="H1024" s="782" t="s">
        <v>29</v>
      </c>
      <c r="I1024" s="782" t="s">
        <v>4084</v>
      </c>
      <c r="J1024" s="782">
        <v>44186.0</v>
      </c>
      <c r="K1024" s="782" t="s">
        <v>3836</v>
      </c>
      <c r="L1024" s="781"/>
      <c r="M1024" s="781"/>
      <c r="N1024" s="781"/>
      <c r="O1024" s="781"/>
      <c r="P1024" s="781"/>
      <c r="Q1024" s="781"/>
      <c r="R1024" s="781"/>
      <c r="S1024" s="781"/>
      <c r="T1024" s="781"/>
      <c r="U1024" s="781"/>
      <c r="V1024" s="781"/>
      <c r="W1024" s="781"/>
      <c r="X1024" s="781"/>
      <c r="Y1024" s="781"/>
      <c r="Z1024" s="781"/>
      <c r="AA1024" s="781"/>
      <c r="AB1024" s="781"/>
      <c r="AC1024" s="781"/>
      <c r="AD1024" s="781"/>
      <c r="AE1024" s="781"/>
      <c r="AF1024" s="781"/>
      <c r="AG1024" s="781"/>
      <c r="AH1024" s="781"/>
      <c r="AI1024" s="781"/>
      <c r="AJ1024" s="781"/>
      <c r="AK1024" s="781"/>
      <c r="AL1024" s="781"/>
      <c r="AM1024" s="781"/>
      <c r="AN1024" s="781"/>
      <c r="AO1024" s="781"/>
      <c r="AP1024" s="781"/>
      <c r="AQ1024" s="781"/>
      <c r="AR1024" s="781"/>
      <c r="AS1024" s="781"/>
      <c r="AT1024" s="781"/>
      <c r="AU1024" s="781"/>
    </row>
    <row r="1025" ht="15.75" customHeight="1">
      <c r="A1025" s="795">
        <v>44803.0</v>
      </c>
      <c r="B1025" s="827" t="s">
        <v>6633</v>
      </c>
      <c r="C1025" s="797" t="s">
        <v>3820</v>
      </c>
      <c r="D1025" s="772" t="s">
        <v>6345</v>
      </c>
      <c r="E1025" s="798">
        <v>130273.59</v>
      </c>
      <c r="F1025" s="772" t="s">
        <v>4304</v>
      </c>
      <c r="G1025" s="782" t="s">
        <v>105</v>
      </c>
      <c r="H1025" s="782" t="s">
        <v>29</v>
      </c>
      <c r="I1025" s="782" t="s">
        <v>3660</v>
      </c>
      <c r="J1025" s="782">
        <v>44211.0</v>
      </c>
      <c r="K1025" s="782" t="s">
        <v>3828</v>
      </c>
      <c r="L1025" s="781"/>
      <c r="M1025" s="781"/>
      <c r="N1025" s="781"/>
      <c r="O1025" s="781"/>
      <c r="P1025" s="781"/>
      <c r="Q1025" s="781"/>
      <c r="R1025" s="781"/>
      <c r="S1025" s="781"/>
      <c r="T1025" s="781"/>
      <c r="U1025" s="781"/>
      <c r="V1025" s="781"/>
      <c r="W1025" s="781"/>
      <c r="X1025" s="781"/>
      <c r="Y1025" s="781"/>
      <c r="Z1025" s="781"/>
      <c r="AA1025" s="781"/>
      <c r="AB1025" s="781"/>
      <c r="AC1025" s="781"/>
      <c r="AD1025" s="781"/>
      <c r="AE1025" s="781"/>
      <c r="AF1025" s="781"/>
      <c r="AG1025" s="781"/>
      <c r="AH1025" s="781"/>
      <c r="AI1025" s="781"/>
      <c r="AJ1025" s="781"/>
      <c r="AK1025" s="781"/>
      <c r="AL1025" s="781"/>
      <c r="AM1025" s="781"/>
      <c r="AN1025" s="781"/>
      <c r="AO1025" s="781"/>
      <c r="AP1025" s="781"/>
      <c r="AQ1025" s="781"/>
      <c r="AR1025" s="781"/>
      <c r="AS1025" s="781"/>
      <c r="AT1025" s="781"/>
      <c r="AU1025" s="781"/>
    </row>
    <row r="1026" ht="15.75" customHeight="1">
      <c r="A1026" s="795">
        <v>44803.0</v>
      </c>
      <c r="B1026" s="827" t="s">
        <v>6634</v>
      </c>
      <c r="C1026" s="797" t="s">
        <v>3820</v>
      </c>
      <c r="D1026" s="772" t="s">
        <v>6346</v>
      </c>
      <c r="E1026" s="798">
        <v>10000.0</v>
      </c>
      <c r="F1026" s="772" t="s">
        <v>4101</v>
      </c>
      <c r="G1026" s="782" t="s">
        <v>18</v>
      </c>
      <c r="H1026" s="782" t="s">
        <v>19</v>
      </c>
      <c r="I1026" s="782" t="s">
        <v>20</v>
      </c>
      <c r="J1026" s="782">
        <v>44762.0</v>
      </c>
      <c r="K1026" s="782" t="s">
        <v>3836</v>
      </c>
      <c r="L1026" s="781"/>
      <c r="M1026" s="781"/>
      <c r="N1026" s="781"/>
      <c r="O1026" s="781"/>
      <c r="P1026" s="781"/>
      <c r="Q1026" s="781"/>
      <c r="R1026" s="781"/>
      <c r="S1026" s="781"/>
      <c r="T1026" s="781"/>
      <c r="U1026" s="781"/>
      <c r="V1026" s="781"/>
      <c r="W1026" s="781"/>
      <c r="X1026" s="781"/>
      <c r="Y1026" s="781"/>
      <c r="Z1026" s="781"/>
      <c r="AA1026" s="781"/>
      <c r="AB1026" s="781"/>
      <c r="AC1026" s="781"/>
      <c r="AD1026" s="781"/>
      <c r="AE1026" s="781"/>
      <c r="AF1026" s="781"/>
      <c r="AG1026" s="781"/>
      <c r="AH1026" s="781"/>
      <c r="AI1026" s="781"/>
      <c r="AJ1026" s="781"/>
      <c r="AK1026" s="781"/>
      <c r="AL1026" s="781"/>
      <c r="AM1026" s="781"/>
      <c r="AN1026" s="781"/>
      <c r="AO1026" s="781"/>
      <c r="AP1026" s="781"/>
      <c r="AQ1026" s="781"/>
      <c r="AR1026" s="781"/>
      <c r="AS1026" s="781"/>
      <c r="AT1026" s="781"/>
      <c r="AU1026" s="781"/>
    </row>
    <row r="1027" ht="15.75" customHeight="1">
      <c r="A1027" s="795">
        <v>44806.0</v>
      </c>
      <c r="B1027" s="827" t="s">
        <v>6393</v>
      </c>
      <c r="C1027" s="797" t="s">
        <v>3820</v>
      </c>
      <c r="D1027" s="772" t="s">
        <v>6345</v>
      </c>
      <c r="E1027" s="798">
        <v>41167.95</v>
      </c>
      <c r="F1027" s="772" t="s">
        <v>4048</v>
      </c>
      <c r="G1027" s="782" t="s">
        <v>105</v>
      </c>
      <c r="H1027" s="782" t="s">
        <v>29</v>
      </c>
      <c r="I1027" s="782" t="s">
        <v>3660</v>
      </c>
      <c r="J1027" s="782">
        <v>44160.0</v>
      </c>
      <c r="K1027" s="782"/>
      <c r="L1027" s="781"/>
      <c r="M1027" s="781"/>
      <c r="N1027" s="781"/>
      <c r="O1027" s="781"/>
      <c r="P1027" s="781"/>
      <c r="Q1027" s="781"/>
      <c r="R1027" s="781"/>
      <c r="S1027" s="781"/>
      <c r="T1027" s="781"/>
      <c r="U1027" s="781"/>
      <c r="V1027" s="781"/>
      <c r="W1027" s="781"/>
      <c r="X1027" s="781"/>
      <c r="Y1027" s="781"/>
      <c r="Z1027" s="781"/>
      <c r="AA1027" s="781"/>
      <c r="AB1027" s="781"/>
      <c r="AC1027" s="781"/>
      <c r="AD1027" s="781"/>
      <c r="AE1027" s="781"/>
      <c r="AF1027" s="781"/>
      <c r="AG1027" s="781"/>
      <c r="AH1027" s="781"/>
      <c r="AI1027" s="781"/>
      <c r="AJ1027" s="781"/>
      <c r="AK1027" s="781"/>
      <c r="AL1027" s="781"/>
      <c r="AM1027" s="781"/>
      <c r="AN1027" s="781"/>
      <c r="AO1027" s="781"/>
      <c r="AP1027" s="781"/>
      <c r="AQ1027" s="781"/>
      <c r="AR1027" s="781"/>
      <c r="AS1027" s="781"/>
      <c r="AT1027" s="781"/>
      <c r="AU1027" s="781"/>
    </row>
    <row r="1028" ht="15.75" customHeight="1">
      <c r="A1028" s="795">
        <v>44810.0</v>
      </c>
      <c r="B1028" s="827" t="s">
        <v>6634</v>
      </c>
      <c r="C1028" s="797" t="s">
        <v>3820</v>
      </c>
      <c r="D1028" s="772" t="s">
        <v>6346</v>
      </c>
      <c r="E1028" s="798">
        <v>10000.0</v>
      </c>
      <c r="F1028" s="772" t="s">
        <v>4101</v>
      </c>
      <c r="G1028" s="782" t="s">
        <v>18</v>
      </c>
      <c r="H1028" s="782" t="s">
        <v>19</v>
      </c>
      <c r="I1028" s="782" t="s">
        <v>20</v>
      </c>
      <c r="J1028" s="782">
        <v>44762.0</v>
      </c>
      <c r="K1028" s="782" t="s">
        <v>3836</v>
      </c>
      <c r="L1028" s="781"/>
      <c r="M1028" s="781"/>
      <c r="N1028" s="781"/>
      <c r="O1028" s="781"/>
      <c r="P1028" s="781"/>
      <c r="Q1028" s="781"/>
      <c r="R1028" s="781"/>
      <c r="S1028" s="781"/>
      <c r="T1028" s="781"/>
      <c r="U1028" s="781"/>
      <c r="V1028" s="781"/>
      <c r="W1028" s="781"/>
      <c r="X1028" s="781"/>
      <c r="Y1028" s="781"/>
      <c r="Z1028" s="781"/>
      <c r="AA1028" s="781"/>
      <c r="AB1028" s="781"/>
      <c r="AC1028" s="781"/>
      <c r="AD1028" s="781"/>
      <c r="AE1028" s="781"/>
      <c r="AF1028" s="781"/>
      <c r="AG1028" s="781"/>
      <c r="AH1028" s="781"/>
      <c r="AI1028" s="781"/>
      <c r="AJ1028" s="781"/>
      <c r="AK1028" s="781"/>
      <c r="AL1028" s="781"/>
      <c r="AM1028" s="781"/>
      <c r="AN1028" s="781"/>
      <c r="AO1028" s="781"/>
      <c r="AP1028" s="781"/>
      <c r="AQ1028" s="781"/>
      <c r="AR1028" s="781"/>
      <c r="AS1028" s="781"/>
      <c r="AT1028" s="781"/>
      <c r="AU1028" s="781"/>
    </row>
    <row r="1029" ht="15.75" customHeight="1">
      <c r="A1029" s="795">
        <v>44810.0</v>
      </c>
      <c r="B1029" s="827" t="s">
        <v>6635</v>
      </c>
      <c r="C1029" s="797" t="s">
        <v>3820</v>
      </c>
      <c r="D1029" s="772" t="s">
        <v>6346</v>
      </c>
      <c r="E1029" s="798">
        <v>4000.0</v>
      </c>
      <c r="F1029" s="772" t="s">
        <v>4067</v>
      </c>
      <c r="G1029" s="782" t="s">
        <v>18</v>
      </c>
      <c r="H1029" s="782" t="s">
        <v>19</v>
      </c>
      <c r="I1029" s="782" t="s">
        <v>256</v>
      </c>
      <c r="J1029" s="782">
        <v>44497.0</v>
      </c>
      <c r="K1029" s="782" t="s">
        <v>3836</v>
      </c>
      <c r="L1029" s="781"/>
      <c r="M1029" s="781"/>
      <c r="N1029" s="781"/>
      <c r="O1029" s="781"/>
      <c r="P1029" s="781"/>
      <c r="Q1029" s="781"/>
      <c r="R1029" s="781"/>
      <c r="S1029" s="781"/>
      <c r="T1029" s="781"/>
      <c r="U1029" s="781"/>
      <c r="V1029" s="781"/>
      <c r="W1029" s="781"/>
      <c r="X1029" s="781"/>
      <c r="Y1029" s="781"/>
      <c r="Z1029" s="781"/>
      <c r="AA1029" s="781"/>
      <c r="AB1029" s="781"/>
      <c r="AC1029" s="781"/>
      <c r="AD1029" s="781"/>
      <c r="AE1029" s="781"/>
      <c r="AF1029" s="781"/>
      <c r="AG1029" s="781"/>
      <c r="AH1029" s="781"/>
      <c r="AI1029" s="781"/>
      <c r="AJ1029" s="781"/>
      <c r="AK1029" s="781"/>
      <c r="AL1029" s="781"/>
      <c r="AM1029" s="781"/>
      <c r="AN1029" s="781"/>
      <c r="AO1029" s="781"/>
      <c r="AP1029" s="781"/>
      <c r="AQ1029" s="781"/>
      <c r="AR1029" s="781"/>
      <c r="AS1029" s="781"/>
      <c r="AT1029" s="781"/>
      <c r="AU1029" s="781"/>
    </row>
    <row r="1030" ht="15.75" customHeight="1">
      <c r="A1030" s="795">
        <v>44810.0</v>
      </c>
      <c r="B1030" s="827" t="s">
        <v>6636</v>
      </c>
      <c r="C1030" s="797" t="s">
        <v>3820</v>
      </c>
      <c r="D1030" s="772" t="s">
        <v>6345</v>
      </c>
      <c r="E1030" s="798">
        <v>160322.21</v>
      </c>
      <c r="F1030" s="772" t="s">
        <v>4789</v>
      </c>
      <c r="G1030" s="782" t="s">
        <v>18</v>
      </c>
      <c r="H1030" s="782" t="s">
        <v>19</v>
      </c>
      <c r="I1030" s="782" t="s">
        <v>4152</v>
      </c>
      <c r="J1030" s="782">
        <v>44487.0</v>
      </c>
      <c r="K1030" s="782" t="s">
        <v>3828</v>
      </c>
      <c r="L1030" s="781"/>
      <c r="M1030" s="781"/>
      <c r="N1030" s="781"/>
      <c r="O1030" s="781"/>
      <c r="P1030" s="781"/>
      <c r="Q1030" s="781"/>
      <c r="R1030" s="781"/>
      <c r="S1030" s="781"/>
      <c r="T1030" s="781"/>
      <c r="U1030" s="781"/>
      <c r="V1030" s="781"/>
      <c r="W1030" s="781"/>
      <c r="X1030" s="781"/>
      <c r="Y1030" s="781"/>
      <c r="Z1030" s="781"/>
      <c r="AA1030" s="781"/>
      <c r="AB1030" s="781"/>
      <c r="AC1030" s="781"/>
      <c r="AD1030" s="781"/>
      <c r="AE1030" s="781"/>
      <c r="AF1030" s="781"/>
      <c r="AG1030" s="781"/>
      <c r="AH1030" s="781"/>
      <c r="AI1030" s="781"/>
      <c r="AJ1030" s="781"/>
      <c r="AK1030" s="781"/>
      <c r="AL1030" s="781"/>
      <c r="AM1030" s="781"/>
      <c r="AN1030" s="781"/>
      <c r="AO1030" s="781"/>
      <c r="AP1030" s="781"/>
      <c r="AQ1030" s="781"/>
      <c r="AR1030" s="781"/>
      <c r="AS1030" s="781"/>
      <c r="AT1030" s="781"/>
      <c r="AU1030" s="781"/>
    </row>
    <row r="1031" ht="15.75" customHeight="1">
      <c r="A1031" s="795">
        <v>44812.0</v>
      </c>
      <c r="B1031" s="827" t="s">
        <v>6637</v>
      </c>
      <c r="C1031" s="797" t="s">
        <v>3820</v>
      </c>
      <c r="D1031" s="772" t="s">
        <v>6346</v>
      </c>
      <c r="E1031" s="798">
        <v>96000.0</v>
      </c>
      <c r="F1031" s="772" t="s">
        <v>4867</v>
      </c>
      <c r="G1031" s="782" t="s">
        <v>18</v>
      </c>
      <c r="H1031" s="782" t="s">
        <v>19</v>
      </c>
      <c r="I1031" s="782" t="s">
        <v>213</v>
      </c>
      <c r="J1031" s="782">
        <v>44698.0</v>
      </c>
      <c r="K1031" s="782" t="s">
        <v>3840</v>
      </c>
      <c r="L1031" s="781"/>
      <c r="M1031" s="781"/>
      <c r="N1031" s="781"/>
      <c r="O1031" s="781"/>
      <c r="P1031" s="781"/>
      <c r="Q1031" s="781"/>
      <c r="R1031" s="781"/>
      <c r="S1031" s="781"/>
      <c r="T1031" s="781"/>
      <c r="U1031" s="781"/>
      <c r="V1031" s="781"/>
      <c r="W1031" s="781"/>
      <c r="X1031" s="781"/>
      <c r="Y1031" s="781"/>
      <c r="Z1031" s="781"/>
      <c r="AA1031" s="781"/>
      <c r="AB1031" s="781"/>
      <c r="AC1031" s="781"/>
      <c r="AD1031" s="781"/>
      <c r="AE1031" s="781"/>
      <c r="AF1031" s="781"/>
      <c r="AG1031" s="781"/>
      <c r="AH1031" s="781"/>
      <c r="AI1031" s="781"/>
      <c r="AJ1031" s="781"/>
      <c r="AK1031" s="781"/>
      <c r="AL1031" s="781"/>
      <c r="AM1031" s="781"/>
      <c r="AN1031" s="781"/>
      <c r="AO1031" s="781"/>
      <c r="AP1031" s="781"/>
      <c r="AQ1031" s="781"/>
      <c r="AR1031" s="781"/>
      <c r="AS1031" s="781"/>
      <c r="AT1031" s="781"/>
      <c r="AU1031" s="781"/>
    </row>
    <row r="1032" ht="15.75" customHeight="1">
      <c r="A1032" s="795">
        <v>44812.0</v>
      </c>
      <c r="B1032" s="827" t="s">
        <v>6638</v>
      </c>
      <c r="C1032" s="797" t="s">
        <v>3820</v>
      </c>
      <c r="D1032" s="772" t="s">
        <v>6345</v>
      </c>
      <c r="E1032" s="798">
        <v>217697.33</v>
      </c>
      <c r="F1032" s="772" t="s">
        <v>5344</v>
      </c>
      <c r="G1032" s="782" t="s">
        <v>18</v>
      </c>
      <c r="H1032" s="782" t="s">
        <v>19</v>
      </c>
      <c r="I1032" s="782" t="s">
        <v>4152</v>
      </c>
      <c r="J1032" s="782">
        <v>44426.0</v>
      </c>
      <c r="K1032" s="782" t="s">
        <v>3836</v>
      </c>
      <c r="L1032" s="781"/>
      <c r="M1032" s="781"/>
      <c r="N1032" s="781"/>
      <c r="O1032" s="781"/>
      <c r="P1032" s="781"/>
      <c r="Q1032" s="781"/>
      <c r="R1032" s="781"/>
      <c r="S1032" s="781"/>
      <c r="T1032" s="781"/>
      <c r="U1032" s="781"/>
      <c r="V1032" s="781"/>
      <c r="W1032" s="781"/>
      <c r="X1032" s="781"/>
      <c r="Y1032" s="781"/>
      <c r="Z1032" s="781"/>
      <c r="AA1032" s="781"/>
      <c r="AB1032" s="781"/>
      <c r="AC1032" s="781"/>
      <c r="AD1032" s="781"/>
      <c r="AE1032" s="781"/>
      <c r="AF1032" s="781"/>
      <c r="AG1032" s="781"/>
      <c r="AH1032" s="781"/>
      <c r="AI1032" s="781"/>
      <c r="AJ1032" s="781"/>
      <c r="AK1032" s="781"/>
      <c r="AL1032" s="781"/>
      <c r="AM1032" s="781"/>
      <c r="AN1032" s="781"/>
      <c r="AO1032" s="781"/>
      <c r="AP1032" s="781"/>
      <c r="AQ1032" s="781"/>
      <c r="AR1032" s="781"/>
      <c r="AS1032" s="781"/>
      <c r="AT1032" s="781"/>
      <c r="AU1032" s="781"/>
    </row>
    <row r="1033" ht="15.75" customHeight="1">
      <c r="A1033" s="795">
        <v>44812.0</v>
      </c>
      <c r="B1033" s="827" t="s">
        <v>2681</v>
      </c>
      <c r="C1033" s="797" t="s">
        <v>2547</v>
      </c>
      <c r="D1033" s="772" t="s">
        <v>6345</v>
      </c>
      <c r="E1033" s="798">
        <v>865757.17</v>
      </c>
      <c r="F1033" s="772" t="s">
        <v>2680</v>
      </c>
      <c r="G1033" s="782" t="s">
        <v>18</v>
      </c>
      <c r="H1033" s="782" t="s">
        <v>176</v>
      </c>
      <c r="I1033" s="782" t="s">
        <v>2634</v>
      </c>
      <c r="J1033" s="782">
        <v>44263.0</v>
      </c>
      <c r="K1033" s="782" t="s">
        <v>3834</v>
      </c>
      <c r="L1033" s="781"/>
      <c r="M1033" s="781"/>
      <c r="N1033" s="781"/>
      <c r="O1033" s="781"/>
      <c r="P1033" s="781"/>
      <c r="Q1033" s="781"/>
      <c r="R1033" s="781"/>
      <c r="S1033" s="781"/>
      <c r="T1033" s="781"/>
      <c r="U1033" s="781"/>
      <c r="V1033" s="781"/>
      <c r="W1033" s="781"/>
      <c r="X1033" s="781"/>
      <c r="Y1033" s="781"/>
      <c r="Z1033" s="781"/>
      <c r="AA1033" s="781"/>
      <c r="AB1033" s="781"/>
      <c r="AC1033" s="781"/>
      <c r="AD1033" s="781"/>
      <c r="AE1033" s="781"/>
      <c r="AF1033" s="781"/>
      <c r="AG1033" s="781"/>
      <c r="AH1033" s="781"/>
      <c r="AI1033" s="781"/>
      <c r="AJ1033" s="781"/>
      <c r="AK1033" s="781"/>
      <c r="AL1033" s="781"/>
      <c r="AM1033" s="781"/>
      <c r="AN1033" s="781"/>
      <c r="AO1033" s="781"/>
      <c r="AP1033" s="781"/>
      <c r="AQ1033" s="781"/>
      <c r="AR1033" s="781"/>
      <c r="AS1033" s="781"/>
      <c r="AT1033" s="781"/>
      <c r="AU1033" s="781"/>
    </row>
    <row r="1034" ht="15.75" customHeight="1">
      <c r="A1034" s="795">
        <v>44816.0</v>
      </c>
      <c r="B1034" s="827" t="s">
        <v>6639</v>
      </c>
      <c r="C1034" s="797" t="s">
        <v>3820</v>
      </c>
      <c r="D1034" s="772" t="s">
        <v>6345</v>
      </c>
      <c r="E1034" s="798">
        <v>662610.46</v>
      </c>
      <c r="F1034" s="772" t="s">
        <v>4888</v>
      </c>
      <c r="G1034" s="782" t="s">
        <v>18</v>
      </c>
      <c r="H1034" s="782" t="s">
        <v>19</v>
      </c>
      <c r="I1034" s="782" t="s">
        <v>4152</v>
      </c>
      <c r="J1034" s="782">
        <v>44517.0</v>
      </c>
      <c r="K1034" s="772" t="s">
        <v>3869</v>
      </c>
      <c r="L1034" s="781"/>
      <c r="M1034" s="781"/>
      <c r="N1034" s="781"/>
      <c r="O1034" s="781"/>
      <c r="P1034" s="781"/>
      <c r="Q1034" s="781"/>
      <c r="R1034" s="781"/>
      <c r="S1034" s="781"/>
      <c r="T1034" s="781"/>
      <c r="U1034" s="781"/>
      <c r="V1034" s="781"/>
      <c r="W1034" s="781"/>
      <c r="X1034" s="781"/>
      <c r="Y1034" s="781"/>
      <c r="Z1034" s="781"/>
      <c r="AA1034" s="781"/>
      <c r="AB1034" s="781"/>
      <c r="AC1034" s="781"/>
      <c r="AD1034" s="781"/>
      <c r="AE1034" s="781"/>
      <c r="AF1034" s="781"/>
      <c r="AG1034" s="781"/>
      <c r="AH1034" s="781"/>
      <c r="AI1034" s="781"/>
      <c r="AJ1034" s="781"/>
      <c r="AK1034" s="781"/>
      <c r="AL1034" s="781"/>
      <c r="AM1034" s="781"/>
      <c r="AN1034" s="781"/>
      <c r="AO1034" s="781"/>
      <c r="AP1034" s="781"/>
      <c r="AQ1034" s="781"/>
      <c r="AR1034" s="781"/>
      <c r="AS1034" s="781"/>
      <c r="AT1034" s="781"/>
      <c r="AU1034" s="781"/>
    </row>
    <row r="1035" ht="15.75" customHeight="1">
      <c r="A1035" s="795">
        <v>44816.0</v>
      </c>
      <c r="B1035" s="827" t="s">
        <v>6640</v>
      </c>
      <c r="C1035" s="797" t="s">
        <v>3820</v>
      </c>
      <c r="D1035" s="772" t="s">
        <v>6346</v>
      </c>
      <c r="E1035" s="798">
        <v>17000.0</v>
      </c>
      <c r="F1035" s="772" t="s">
        <v>5306</v>
      </c>
      <c r="G1035" s="782" t="s">
        <v>105</v>
      </c>
      <c r="H1035" s="782" t="s">
        <v>29</v>
      </c>
      <c r="I1035" s="782" t="s">
        <v>4087</v>
      </c>
      <c r="J1035" s="782">
        <v>44147.0</v>
      </c>
      <c r="K1035" s="782" t="s">
        <v>3840</v>
      </c>
      <c r="L1035" s="781"/>
      <c r="M1035" s="781"/>
      <c r="N1035" s="781"/>
      <c r="O1035" s="781"/>
      <c r="P1035" s="781"/>
      <c r="Q1035" s="781"/>
      <c r="R1035" s="781"/>
      <c r="S1035" s="781"/>
      <c r="T1035" s="781"/>
      <c r="U1035" s="781"/>
      <c r="V1035" s="781"/>
      <c r="W1035" s="781"/>
      <c r="X1035" s="781"/>
      <c r="Y1035" s="781"/>
      <c r="Z1035" s="781"/>
      <c r="AA1035" s="781"/>
      <c r="AB1035" s="781"/>
      <c r="AC1035" s="781"/>
      <c r="AD1035" s="781"/>
      <c r="AE1035" s="781"/>
      <c r="AF1035" s="781"/>
      <c r="AG1035" s="781"/>
      <c r="AH1035" s="781"/>
      <c r="AI1035" s="781"/>
      <c r="AJ1035" s="781"/>
      <c r="AK1035" s="781"/>
      <c r="AL1035" s="781"/>
      <c r="AM1035" s="781"/>
      <c r="AN1035" s="781"/>
      <c r="AO1035" s="781"/>
      <c r="AP1035" s="781"/>
      <c r="AQ1035" s="781"/>
      <c r="AR1035" s="781"/>
      <c r="AS1035" s="781"/>
      <c r="AT1035" s="781"/>
      <c r="AU1035" s="781"/>
    </row>
    <row r="1036" ht="15.75" customHeight="1">
      <c r="A1036" s="795">
        <v>44817.0</v>
      </c>
      <c r="B1036" s="827" t="s">
        <v>6586</v>
      </c>
      <c r="C1036" s="797" t="s">
        <v>3820</v>
      </c>
      <c r="D1036" s="772" t="s">
        <v>6346</v>
      </c>
      <c r="E1036" s="798">
        <v>20000.0</v>
      </c>
      <c r="F1036" s="772" t="s">
        <v>1292</v>
      </c>
      <c r="G1036" s="782" t="s">
        <v>105</v>
      </c>
      <c r="H1036" s="782" t="s">
        <v>29</v>
      </c>
      <c r="I1036" s="782" t="s">
        <v>3660</v>
      </c>
      <c r="J1036" s="782">
        <v>44138.0</v>
      </c>
      <c r="K1036" s="782" t="s">
        <v>3836</v>
      </c>
      <c r="L1036" s="781"/>
      <c r="M1036" s="781"/>
      <c r="N1036" s="781"/>
      <c r="O1036" s="781"/>
      <c r="P1036" s="781"/>
      <c r="Q1036" s="781"/>
      <c r="R1036" s="781"/>
      <c r="S1036" s="781"/>
      <c r="T1036" s="781"/>
      <c r="U1036" s="781"/>
      <c r="V1036" s="781"/>
      <c r="W1036" s="781"/>
      <c r="X1036" s="781"/>
      <c r="Y1036" s="781"/>
      <c r="Z1036" s="781"/>
      <c r="AA1036" s="781"/>
      <c r="AB1036" s="781"/>
      <c r="AC1036" s="781"/>
      <c r="AD1036" s="781"/>
      <c r="AE1036" s="781"/>
      <c r="AF1036" s="781"/>
      <c r="AG1036" s="781"/>
      <c r="AH1036" s="781"/>
      <c r="AI1036" s="781"/>
      <c r="AJ1036" s="781"/>
      <c r="AK1036" s="781"/>
      <c r="AL1036" s="781"/>
      <c r="AM1036" s="781"/>
      <c r="AN1036" s="781"/>
      <c r="AO1036" s="781"/>
      <c r="AP1036" s="781"/>
      <c r="AQ1036" s="781"/>
      <c r="AR1036" s="781"/>
      <c r="AS1036" s="781"/>
      <c r="AT1036" s="781"/>
      <c r="AU1036" s="781"/>
    </row>
    <row r="1037" ht="15.75" customHeight="1">
      <c r="A1037" s="795">
        <v>44817.0</v>
      </c>
      <c r="B1037" s="827" t="s">
        <v>6502</v>
      </c>
      <c r="C1037" s="797" t="s">
        <v>3820</v>
      </c>
      <c r="D1037" s="772" t="s">
        <v>6346</v>
      </c>
      <c r="E1037" s="798">
        <v>25000.0</v>
      </c>
      <c r="F1037" s="772" t="s">
        <v>3972</v>
      </c>
      <c r="G1037" s="782" t="s">
        <v>18</v>
      </c>
      <c r="H1037" s="782" t="s">
        <v>29</v>
      </c>
      <c r="I1037" s="782" t="s">
        <v>3973</v>
      </c>
      <c r="J1037" s="782">
        <v>44061.0</v>
      </c>
      <c r="K1037" s="782" t="s">
        <v>3828</v>
      </c>
      <c r="L1037" s="781"/>
      <c r="M1037" s="781"/>
      <c r="N1037" s="781"/>
      <c r="O1037" s="781"/>
      <c r="P1037" s="781"/>
      <c r="Q1037" s="781"/>
      <c r="R1037" s="781"/>
      <c r="S1037" s="781"/>
      <c r="T1037" s="781"/>
      <c r="U1037" s="781"/>
      <c r="V1037" s="781"/>
      <c r="W1037" s="781"/>
      <c r="X1037" s="781"/>
      <c r="Y1037" s="781"/>
      <c r="Z1037" s="781"/>
      <c r="AA1037" s="781"/>
      <c r="AB1037" s="781"/>
      <c r="AC1037" s="781"/>
      <c r="AD1037" s="781"/>
      <c r="AE1037" s="781"/>
      <c r="AF1037" s="781"/>
      <c r="AG1037" s="781"/>
      <c r="AH1037" s="781"/>
      <c r="AI1037" s="781"/>
      <c r="AJ1037" s="781"/>
      <c r="AK1037" s="781"/>
      <c r="AL1037" s="781"/>
      <c r="AM1037" s="781"/>
      <c r="AN1037" s="781"/>
      <c r="AO1037" s="781"/>
      <c r="AP1037" s="781"/>
      <c r="AQ1037" s="781"/>
      <c r="AR1037" s="781"/>
      <c r="AS1037" s="781"/>
      <c r="AT1037" s="781"/>
      <c r="AU1037" s="781"/>
    </row>
    <row r="1038" ht="15.75" customHeight="1">
      <c r="A1038" s="795">
        <v>44818.0</v>
      </c>
      <c r="B1038" s="827" t="s">
        <v>6641</v>
      </c>
      <c r="C1038" s="797" t="s">
        <v>3820</v>
      </c>
      <c r="D1038" s="772" t="s">
        <v>6345</v>
      </c>
      <c r="E1038" s="798">
        <v>384533.87</v>
      </c>
      <c r="F1038" s="772" t="s">
        <v>5288</v>
      </c>
      <c r="G1038" s="782" t="s">
        <v>18</v>
      </c>
      <c r="H1038" s="782" t="s">
        <v>19</v>
      </c>
      <c r="I1038" s="782" t="s">
        <v>4152</v>
      </c>
      <c r="J1038" s="782">
        <v>44421.0</v>
      </c>
      <c r="K1038" s="782" t="s">
        <v>3836</v>
      </c>
      <c r="L1038" s="781"/>
      <c r="M1038" s="781"/>
      <c r="N1038" s="781"/>
      <c r="O1038" s="781"/>
      <c r="P1038" s="781"/>
      <c r="Q1038" s="781"/>
      <c r="R1038" s="781"/>
      <c r="S1038" s="781"/>
      <c r="T1038" s="781"/>
      <c r="U1038" s="781"/>
      <c r="V1038" s="781"/>
      <c r="W1038" s="781"/>
      <c r="X1038" s="781"/>
      <c r="Y1038" s="781"/>
      <c r="Z1038" s="781"/>
      <c r="AA1038" s="781"/>
      <c r="AB1038" s="781"/>
      <c r="AC1038" s="781"/>
      <c r="AD1038" s="781"/>
      <c r="AE1038" s="781"/>
      <c r="AF1038" s="781"/>
      <c r="AG1038" s="781"/>
      <c r="AH1038" s="781"/>
      <c r="AI1038" s="781"/>
      <c r="AJ1038" s="781"/>
      <c r="AK1038" s="781"/>
      <c r="AL1038" s="781"/>
      <c r="AM1038" s="781"/>
      <c r="AN1038" s="781"/>
      <c r="AO1038" s="781"/>
      <c r="AP1038" s="781"/>
      <c r="AQ1038" s="781"/>
      <c r="AR1038" s="781"/>
      <c r="AS1038" s="781"/>
      <c r="AT1038" s="781"/>
      <c r="AU1038" s="781"/>
    </row>
    <row r="1039" ht="15.75" customHeight="1">
      <c r="A1039" s="795">
        <v>44819.0</v>
      </c>
      <c r="B1039" s="827" t="s">
        <v>6511</v>
      </c>
      <c r="C1039" s="797" t="s">
        <v>3820</v>
      </c>
      <c r="D1039" s="772" t="s">
        <v>6346</v>
      </c>
      <c r="E1039" s="798">
        <v>30000.0</v>
      </c>
      <c r="F1039" s="772" t="s">
        <v>1552</v>
      </c>
      <c r="G1039" s="782" t="s">
        <v>18</v>
      </c>
      <c r="H1039" s="782" t="s">
        <v>29</v>
      </c>
      <c r="I1039" s="782" t="s">
        <v>6338</v>
      </c>
      <c r="J1039" s="782">
        <v>44594.0</v>
      </c>
      <c r="K1039" s="782" t="s">
        <v>3834</v>
      </c>
      <c r="L1039" s="781"/>
      <c r="M1039" s="781"/>
      <c r="N1039" s="781"/>
      <c r="O1039" s="781"/>
      <c r="P1039" s="781"/>
      <c r="Q1039" s="781"/>
      <c r="R1039" s="781"/>
      <c r="S1039" s="781"/>
      <c r="T1039" s="781"/>
      <c r="U1039" s="781"/>
      <c r="V1039" s="781"/>
      <c r="W1039" s="781"/>
      <c r="X1039" s="781"/>
      <c r="Y1039" s="781"/>
      <c r="Z1039" s="781"/>
      <c r="AA1039" s="781"/>
      <c r="AB1039" s="781"/>
      <c r="AC1039" s="781"/>
      <c r="AD1039" s="781"/>
      <c r="AE1039" s="781"/>
      <c r="AF1039" s="781"/>
      <c r="AG1039" s="781"/>
      <c r="AH1039" s="781"/>
      <c r="AI1039" s="781"/>
      <c r="AJ1039" s="781"/>
      <c r="AK1039" s="781"/>
      <c r="AL1039" s="781"/>
      <c r="AM1039" s="781"/>
      <c r="AN1039" s="781"/>
      <c r="AO1039" s="781"/>
      <c r="AP1039" s="781"/>
      <c r="AQ1039" s="781"/>
      <c r="AR1039" s="781"/>
      <c r="AS1039" s="781"/>
      <c r="AT1039" s="781"/>
      <c r="AU1039" s="781"/>
    </row>
    <row r="1040" ht="15.75" customHeight="1">
      <c r="A1040" s="795">
        <v>44820.0</v>
      </c>
      <c r="B1040" s="827" t="s">
        <v>6642</v>
      </c>
      <c r="C1040" s="797" t="s">
        <v>3820</v>
      </c>
      <c r="D1040" s="772" t="s">
        <v>1481</v>
      </c>
      <c r="E1040" s="798">
        <v>190943.67</v>
      </c>
      <c r="F1040" s="772" t="s">
        <v>6643</v>
      </c>
      <c r="G1040" s="782" t="s">
        <v>2550</v>
      </c>
      <c r="H1040" s="782" t="s">
        <v>29</v>
      </c>
      <c r="I1040" s="782" t="s">
        <v>2550</v>
      </c>
      <c r="J1040" s="782">
        <v>44361.0</v>
      </c>
      <c r="K1040" s="782" t="s">
        <v>3836</v>
      </c>
      <c r="L1040" s="781"/>
      <c r="M1040" s="781"/>
      <c r="N1040" s="781"/>
      <c r="O1040" s="781"/>
      <c r="P1040" s="781"/>
      <c r="Q1040" s="781"/>
      <c r="R1040" s="781"/>
      <c r="S1040" s="781"/>
      <c r="T1040" s="781"/>
      <c r="U1040" s="781"/>
      <c r="V1040" s="781"/>
      <c r="W1040" s="781"/>
      <c r="X1040" s="781"/>
      <c r="Y1040" s="781"/>
      <c r="Z1040" s="781"/>
      <c r="AA1040" s="781"/>
      <c r="AB1040" s="781"/>
      <c r="AC1040" s="781"/>
      <c r="AD1040" s="781"/>
      <c r="AE1040" s="781"/>
      <c r="AF1040" s="781"/>
      <c r="AG1040" s="781"/>
      <c r="AH1040" s="781"/>
      <c r="AI1040" s="781"/>
      <c r="AJ1040" s="781"/>
      <c r="AK1040" s="781"/>
      <c r="AL1040" s="781"/>
      <c r="AM1040" s="781"/>
      <c r="AN1040" s="781"/>
      <c r="AO1040" s="781"/>
      <c r="AP1040" s="781"/>
      <c r="AQ1040" s="781"/>
      <c r="AR1040" s="781"/>
      <c r="AS1040" s="781"/>
      <c r="AT1040" s="781"/>
      <c r="AU1040" s="781"/>
    </row>
    <row r="1041" ht="15.75" customHeight="1">
      <c r="A1041" s="795">
        <v>44820.0</v>
      </c>
      <c r="B1041" s="827" t="s">
        <v>6644</v>
      </c>
      <c r="C1041" s="797" t="s">
        <v>3820</v>
      </c>
      <c r="D1041" s="772" t="s">
        <v>6345</v>
      </c>
      <c r="E1041" s="798">
        <v>32923.57</v>
      </c>
      <c r="F1041" s="772" t="s">
        <v>5028</v>
      </c>
      <c r="G1041" s="782" t="s">
        <v>18</v>
      </c>
      <c r="H1041" s="782" t="s">
        <v>19</v>
      </c>
      <c r="I1041" s="782" t="s">
        <v>5029</v>
      </c>
      <c r="J1041" s="782">
        <v>44623.0</v>
      </c>
      <c r="K1041" s="772" t="s">
        <v>6645</v>
      </c>
      <c r="L1041" s="781"/>
      <c r="M1041" s="781"/>
      <c r="N1041" s="781"/>
      <c r="O1041" s="781"/>
      <c r="P1041" s="781"/>
      <c r="Q1041" s="781"/>
      <c r="R1041" s="781"/>
      <c r="S1041" s="781"/>
      <c r="T1041" s="781"/>
      <c r="U1041" s="781"/>
      <c r="V1041" s="781"/>
      <c r="W1041" s="781"/>
      <c r="X1041" s="781"/>
      <c r="Y1041" s="781"/>
      <c r="Z1041" s="781"/>
      <c r="AA1041" s="781"/>
      <c r="AB1041" s="781"/>
      <c r="AC1041" s="781"/>
      <c r="AD1041" s="781"/>
      <c r="AE1041" s="781"/>
      <c r="AF1041" s="781"/>
      <c r="AG1041" s="781"/>
      <c r="AH1041" s="781"/>
      <c r="AI1041" s="781"/>
      <c r="AJ1041" s="781"/>
      <c r="AK1041" s="781"/>
      <c r="AL1041" s="781"/>
      <c r="AM1041" s="781"/>
      <c r="AN1041" s="781"/>
      <c r="AO1041" s="781"/>
      <c r="AP1041" s="781"/>
      <c r="AQ1041" s="781"/>
      <c r="AR1041" s="781"/>
      <c r="AS1041" s="781"/>
      <c r="AT1041" s="781"/>
      <c r="AU1041" s="781"/>
    </row>
    <row r="1042" ht="15.75" customHeight="1">
      <c r="A1042" s="795">
        <v>44824.0</v>
      </c>
      <c r="B1042" s="827" t="s">
        <v>6634</v>
      </c>
      <c r="C1042" s="797" t="s">
        <v>3820</v>
      </c>
      <c r="D1042" s="772" t="s">
        <v>6346</v>
      </c>
      <c r="E1042" s="798">
        <v>10000.0</v>
      </c>
      <c r="F1042" s="772" t="s">
        <v>4101</v>
      </c>
      <c r="G1042" s="782" t="s">
        <v>18</v>
      </c>
      <c r="H1042" s="782" t="s">
        <v>19</v>
      </c>
      <c r="I1042" s="782" t="s">
        <v>20</v>
      </c>
      <c r="J1042" s="782">
        <v>44762.0</v>
      </c>
      <c r="K1042" s="782" t="s">
        <v>3836</v>
      </c>
      <c r="L1042" s="781"/>
      <c r="M1042" s="781"/>
      <c r="N1042" s="781"/>
      <c r="O1042" s="781"/>
      <c r="P1042" s="781"/>
      <c r="Q1042" s="781"/>
      <c r="R1042" s="781"/>
      <c r="S1042" s="781"/>
      <c r="T1042" s="781"/>
      <c r="U1042" s="781"/>
      <c r="V1042" s="781"/>
      <c r="W1042" s="781"/>
      <c r="X1042" s="781"/>
      <c r="Y1042" s="781"/>
      <c r="Z1042" s="781"/>
      <c r="AA1042" s="781"/>
      <c r="AB1042" s="781"/>
      <c r="AC1042" s="781"/>
      <c r="AD1042" s="781"/>
      <c r="AE1042" s="781"/>
      <c r="AF1042" s="781"/>
      <c r="AG1042" s="781"/>
      <c r="AH1042" s="781"/>
      <c r="AI1042" s="781"/>
      <c r="AJ1042" s="781"/>
      <c r="AK1042" s="781"/>
      <c r="AL1042" s="781"/>
      <c r="AM1042" s="781"/>
      <c r="AN1042" s="781"/>
      <c r="AO1042" s="781"/>
      <c r="AP1042" s="781"/>
      <c r="AQ1042" s="781"/>
      <c r="AR1042" s="781"/>
      <c r="AS1042" s="781"/>
      <c r="AT1042" s="781"/>
      <c r="AU1042" s="781"/>
    </row>
    <row r="1043" ht="15.75" customHeight="1">
      <c r="A1043" s="795">
        <v>44824.0</v>
      </c>
      <c r="B1043" s="827" t="s">
        <v>6646</v>
      </c>
      <c r="C1043" s="797" t="s">
        <v>3820</v>
      </c>
      <c r="D1043" s="772" t="s">
        <v>6346</v>
      </c>
      <c r="E1043" s="798">
        <v>96196.0</v>
      </c>
      <c r="F1043" s="772" t="s">
        <v>4526</v>
      </c>
      <c r="G1043" s="782" t="s">
        <v>18</v>
      </c>
      <c r="H1043" s="782" t="s">
        <v>29</v>
      </c>
      <c r="I1043" s="782" t="s">
        <v>4146</v>
      </c>
      <c r="J1043" s="782">
        <v>44218.0</v>
      </c>
      <c r="K1043" s="782" t="s">
        <v>3824</v>
      </c>
      <c r="L1043" s="781"/>
      <c r="M1043" s="781"/>
      <c r="N1043" s="781"/>
      <c r="O1043" s="781"/>
      <c r="P1043" s="781"/>
      <c r="Q1043" s="781"/>
      <c r="R1043" s="781"/>
      <c r="S1043" s="781"/>
      <c r="T1043" s="781"/>
      <c r="U1043" s="781"/>
      <c r="V1043" s="781"/>
      <c r="W1043" s="781"/>
      <c r="X1043" s="781"/>
      <c r="Y1043" s="781"/>
      <c r="Z1043" s="781"/>
      <c r="AA1043" s="781"/>
      <c r="AB1043" s="781"/>
      <c r="AC1043" s="781"/>
      <c r="AD1043" s="781"/>
      <c r="AE1043" s="781"/>
      <c r="AF1043" s="781"/>
      <c r="AG1043" s="781"/>
      <c r="AH1043" s="781"/>
      <c r="AI1043" s="781"/>
      <c r="AJ1043" s="781"/>
      <c r="AK1043" s="781"/>
      <c r="AL1043" s="781"/>
      <c r="AM1043" s="781"/>
      <c r="AN1043" s="781"/>
      <c r="AO1043" s="781"/>
      <c r="AP1043" s="781"/>
      <c r="AQ1043" s="781"/>
      <c r="AR1043" s="781"/>
      <c r="AS1043" s="781"/>
      <c r="AT1043" s="781"/>
      <c r="AU1043" s="781"/>
    </row>
    <row r="1044" ht="15.75" customHeight="1">
      <c r="A1044" s="795">
        <v>44825.0</v>
      </c>
      <c r="B1044" s="827">
        <v>5663320.0</v>
      </c>
      <c r="C1044" s="797" t="s">
        <v>3820</v>
      </c>
      <c r="D1044" s="772" t="s">
        <v>6346</v>
      </c>
      <c r="E1044" s="798">
        <v>21000.0</v>
      </c>
      <c r="F1044" s="772" t="s">
        <v>4946</v>
      </c>
      <c r="G1044" s="782" t="s">
        <v>18</v>
      </c>
      <c r="H1044" s="782" t="s">
        <v>29</v>
      </c>
      <c r="I1044" s="782" t="s">
        <v>168</v>
      </c>
      <c r="J1044" s="782">
        <v>44385.0</v>
      </c>
      <c r="K1044" s="782" t="s">
        <v>3869</v>
      </c>
      <c r="L1044" s="781"/>
      <c r="M1044" s="781"/>
      <c r="N1044" s="781"/>
      <c r="O1044" s="781"/>
      <c r="P1044" s="781"/>
      <c r="Q1044" s="781"/>
      <c r="R1044" s="781"/>
      <c r="S1044" s="781"/>
      <c r="T1044" s="781"/>
      <c r="U1044" s="781"/>
      <c r="V1044" s="781"/>
      <c r="W1044" s="781"/>
      <c r="X1044" s="781"/>
      <c r="Y1044" s="781"/>
      <c r="Z1044" s="781"/>
      <c r="AA1044" s="781"/>
      <c r="AB1044" s="781"/>
      <c r="AC1044" s="781"/>
      <c r="AD1044" s="781"/>
      <c r="AE1044" s="781"/>
      <c r="AF1044" s="781"/>
      <c r="AG1044" s="781"/>
      <c r="AH1044" s="781"/>
      <c r="AI1044" s="781"/>
      <c r="AJ1044" s="781"/>
      <c r="AK1044" s="781"/>
      <c r="AL1044" s="781"/>
      <c r="AM1044" s="781"/>
      <c r="AN1044" s="781"/>
      <c r="AO1044" s="781"/>
      <c r="AP1044" s="781"/>
      <c r="AQ1044" s="781"/>
      <c r="AR1044" s="781"/>
      <c r="AS1044" s="781"/>
      <c r="AT1044" s="781"/>
      <c r="AU1044" s="781"/>
    </row>
    <row r="1045" ht="15.75" customHeight="1">
      <c r="A1045" s="795">
        <v>44826.0</v>
      </c>
      <c r="B1045" s="827" t="s">
        <v>6647</v>
      </c>
      <c r="C1045" s="797" t="s">
        <v>3820</v>
      </c>
      <c r="D1045" s="772" t="s">
        <v>6345</v>
      </c>
      <c r="E1045" s="798" t="s">
        <v>2600</v>
      </c>
      <c r="F1045" s="772" t="s">
        <v>6648</v>
      </c>
      <c r="G1045" s="782" t="s">
        <v>18</v>
      </c>
      <c r="H1045" s="782" t="s">
        <v>176</v>
      </c>
      <c r="I1045" s="782" t="s">
        <v>197</v>
      </c>
      <c r="J1045" s="782">
        <v>44824.0</v>
      </c>
      <c r="K1045" s="782" t="s">
        <v>3840</v>
      </c>
      <c r="L1045" s="781"/>
      <c r="M1045" s="781"/>
      <c r="N1045" s="781"/>
      <c r="O1045" s="781"/>
      <c r="P1045" s="781"/>
      <c r="Q1045" s="781"/>
      <c r="R1045" s="781"/>
      <c r="S1045" s="781"/>
      <c r="T1045" s="781"/>
      <c r="U1045" s="781"/>
      <c r="V1045" s="781"/>
      <c r="W1045" s="781"/>
      <c r="X1045" s="781"/>
      <c r="Y1045" s="781"/>
      <c r="Z1045" s="781"/>
      <c r="AA1045" s="781"/>
      <c r="AB1045" s="781"/>
      <c r="AC1045" s="781"/>
      <c r="AD1045" s="781"/>
      <c r="AE1045" s="781"/>
      <c r="AF1045" s="781"/>
      <c r="AG1045" s="781"/>
      <c r="AH1045" s="781"/>
      <c r="AI1045" s="781"/>
      <c r="AJ1045" s="781"/>
      <c r="AK1045" s="781"/>
      <c r="AL1045" s="781"/>
      <c r="AM1045" s="781"/>
      <c r="AN1045" s="781"/>
      <c r="AO1045" s="781"/>
      <c r="AP1045" s="781"/>
      <c r="AQ1045" s="781"/>
      <c r="AR1045" s="781"/>
      <c r="AS1045" s="781"/>
      <c r="AT1045" s="781"/>
      <c r="AU1045" s="781"/>
    </row>
    <row r="1046" ht="15.75" customHeight="1">
      <c r="A1046" s="795">
        <v>44827.0</v>
      </c>
      <c r="B1046" s="827" t="s">
        <v>6649</v>
      </c>
      <c r="C1046" s="797" t="s">
        <v>3820</v>
      </c>
      <c r="D1046" s="772" t="s">
        <v>6346</v>
      </c>
      <c r="E1046" s="798">
        <v>60000.0</v>
      </c>
      <c r="F1046" s="772" t="s">
        <v>3865</v>
      </c>
      <c r="G1046" s="782" t="s">
        <v>18</v>
      </c>
      <c r="H1046" s="782" t="s">
        <v>29</v>
      </c>
      <c r="I1046" s="782" t="s">
        <v>168</v>
      </c>
      <c r="J1046" s="782">
        <v>44652.0</v>
      </c>
      <c r="K1046" s="782" t="s">
        <v>3834</v>
      </c>
      <c r="L1046" s="781"/>
      <c r="M1046" s="781"/>
      <c r="N1046" s="781"/>
      <c r="O1046" s="781"/>
      <c r="P1046" s="781"/>
      <c r="Q1046" s="781"/>
      <c r="R1046" s="781"/>
      <c r="S1046" s="781"/>
      <c r="T1046" s="781"/>
      <c r="U1046" s="781"/>
      <c r="V1046" s="781"/>
      <c r="W1046" s="781"/>
      <c r="X1046" s="781"/>
      <c r="Y1046" s="781"/>
      <c r="Z1046" s="781"/>
      <c r="AA1046" s="781"/>
      <c r="AB1046" s="781"/>
      <c r="AC1046" s="781"/>
      <c r="AD1046" s="781"/>
      <c r="AE1046" s="781"/>
      <c r="AF1046" s="781"/>
      <c r="AG1046" s="781"/>
      <c r="AH1046" s="781"/>
      <c r="AI1046" s="781"/>
      <c r="AJ1046" s="781"/>
      <c r="AK1046" s="781"/>
      <c r="AL1046" s="781"/>
      <c r="AM1046" s="781"/>
      <c r="AN1046" s="781"/>
      <c r="AO1046" s="781"/>
      <c r="AP1046" s="781"/>
      <c r="AQ1046" s="781"/>
      <c r="AR1046" s="781"/>
      <c r="AS1046" s="781"/>
      <c r="AT1046" s="781"/>
      <c r="AU1046" s="781"/>
    </row>
    <row r="1047" ht="15.75" customHeight="1">
      <c r="A1047" s="795">
        <v>44827.0</v>
      </c>
      <c r="B1047" s="827" t="s">
        <v>6630</v>
      </c>
      <c r="C1047" s="797" t="s">
        <v>3820</v>
      </c>
      <c r="D1047" s="772" t="s">
        <v>6346</v>
      </c>
      <c r="E1047" s="798">
        <v>18000.0</v>
      </c>
      <c r="F1047" s="772" t="s">
        <v>4711</v>
      </c>
      <c r="G1047" s="782" t="s">
        <v>18</v>
      </c>
      <c r="H1047" s="782" t="s">
        <v>19</v>
      </c>
      <c r="I1047" s="782" t="s">
        <v>6631</v>
      </c>
      <c r="J1047" s="782">
        <v>44776.0</v>
      </c>
      <c r="K1047" s="782" t="s">
        <v>3840</v>
      </c>
      <c r="L1047" s="781"/>
      <c r="M1047" s="781"/>
      <c r="N1047" s="781"/>
      <c r="O1047" s="781"/>
      <c r="P1047" s="781"/>
      <c r="Q1047" s="781"/>
      <c r="R1047" s="781"/>
      <c r="S1047" s="781"/>
      <c r="T1047" s="781"/>
      <c r="U1047" s="781"/>
      <c r="V1047" s="781"/>
      <c r="W1047" s="781"/>
      <c r="X1047" s="781"/>
      <c r="Y1047" s="781"/>
      <c r="Z1047" s="781"/>
      <c r="AA1047" s="781"/>
      <c r="AB1047" s="781"/>
      <c r="AC1047" s="781"/>
      <c r="AD1047" s="781"/>
      <c r="AE1047" s="781"/>
      <c r="AF1047" s="781"/>
      <c r="AG1047" s="781"/>
      <c r="AH1047" s="781"/>
      <c r="AI1047" s="781"/>
      <c r="AJ1047" s="781"/>
      <c r="AK1047" s="781"/>
      <c r="AL1047" s="781"/>
      <c r="AM1047" s="781"/>
      <c r="AN1047" s="781"/>
      <c r="AO1047" s="781"/>
      <c r="AP1047" s="781"/>
      <c r="AQ1047" s="781"/>
      <c r="AR1047" s="781"/>
      <c r="AS1047" s="781"/>
      <c r="AT1047" s="781"/>
      <c r="AU1047" s="781"/>
    </row>
    <row r="1048" ht="15.75" customHeight="1">
      <c r="A1048" s="795">
        <v>44830.0</v>
      </c>
      <c r="B1048" s="827" t="s">
        <v>6650</v>
      </c>
      <c r="C1048" s="797" t="s">
        <v>3820</v>
      </c>
      <c r="D1048" s="772" t="s">
        <v>6345</v>
      </c>
      <c r="E1048" s="798">
        <v>156696.82</v>
      </c>
      <c r="F1048" s="772" t="s">
        <v>6651</v>
      </c>
      <c r="G1048" s="782" t="s">
        <v>18</v>
      </c>
      <c r="H1048" s="782" t="s">
        <v>19</v>
      </c>
      <c r="I1048" s="782" t="s">
        <v>4152</v>
      </c>
      <c r="J1048" s="782">
        <v>44461.0</v>
      </c>
      <c r="K1048" s="782" t="s">
        <v>3834</v>
      </c>
      <c r="L1048" s="781"/>
      <c r="M1048" s="781"/>
      <c r="N1048" s="781"/>
      <c r="O1048" s="781"/>
      <c r="P1048" s="781"/>
      <c r="Q1048" s="781"/>
      <c r="R1048" s="781"/>
      <c r="S1048" s="781"/>
      <c r="T1048" s="781"/>
      <c r="U1048" s="781"/>
      <c r="V1048" s="781"/>
      <c r="W1048" s="781"/>
      <c r="X1048" s="781"/>
      <c r="Y1048" s="781"/>
      <c r="Z1048" s="781"/>
      <c r="AA1048" s="781"/>
      <c r="AB1048" s="781"/>
      <c r="AC1048" s="781"/>
      <c r="AD1048" s="781"/>
      <c r="AE1048" s="781"/>
      <c r="AF1048" s="781"/>
      <c r="AG1048" s="781"/>
      <c r="AH1048" s="781"/>
      <c r="AI1048" s="781"/>
      <c r="AJ1048" s="781"/>
      <c r="AK1048" s="781"/>
      <c r="AL1048" s="781"/>
      <c r="AM1048" s="781"/>
      <c r="AN1048" s="781"/>
      <c r="AO1048" s="781"/>
      <c r="AP1048" s="781"/>
      <c r="AQ1048" s="781"/>
      <c r="AR1048" s="781"/>
      <c r="AS1048" s="781"/>
      <c r="AT1048" s="781"/>
      <c r="AU1048" s="781"/>
    </row>
    <row r="1049" ht="15.75" customHeight="1">
      <c r="A1049" s="795">
        <v>44837.0</v>
      </c>
      <c r="B1049" s="827" t="s">
        <v>6652</v>
      </c>
      <c r="C1049" s="797" t="s">
        <v>3820</v>
      </c>
      <c r="D1049" s="772" t="s">
        <v>6346</v>
      </c>
      <c r="E1049" s="798">
        <v>4800.0</v>
      </c>
      <c r="F1049" s="772" t="s">
        <v>554</v>
      </c>
      <c r="G1049" s="782" t="s">
        <v>18</v>
      </c>
      <c r="H1049" s="782" t="s">
        <v>29</v>
      </c>
      <c r="I1049" s="782" t="s">
        <v>60</v>
      </c>
      <c r="J1049" s="782">
        <v>44819.0</v>
      </c>
      <c r="K1049" s="782" t="s">
        <v>3836</v>
      </c>
      <c r="L1049" s="781"/>
      <c r="M1049" s="781"/>
      <c r="N1049" s="781"/>
      <c r="O1049" s="781"/>
      <c r="P1049" s="781"/>
      <c r="Q1049" s="781"/>
      <c r="R1049" s="781"/>
      <c r="S1049" s="781"/>
      <c r="T1049" s="781"/>
      <c r="U1049" s="781"/>
      <c r="V1049" s="781"/>
      <c r="W1049" s="781"/>
      <c r="X1049" s="781"/>
      <c r="Y1049" s="781"/>
      <c r="Z1049" s="781"/>
      <c r="AA1049" s="781"/>
      <c r="AB1049" s="781"/>
      <c r="AC1049" s="781"/>
      <c r="AD1049" s="781"/>
      <c r="AE1049" s="781"/>
      <c r="AF1049" s="781"/>
      <c r="AG1049" s="781"/>
      <c r="AH1049" s="781"/>
      <c r="AI1049" s="781"/>
      <c r="AJ1049" s="781"/>
      <c r="AK1049" s="781"/>
      <c r="AL1049" s="781"/>
      <c r="AM1049" s="781"/>
      <c r="AN1049" s="781"/>
      <c r="AO1049" s="781"/>
      <c r="AP1049" s="781"/>
      <c r="AQ1049" s="781"/>
      <c r="AR1049" s="781"/>
      <c r="AS1049" s="781"/>
      <c r="AT1049" s="781"/>
      <c r="AU1049" s="781"/>
    </row>
    <row r="1050" ht="15.75" customHeight="1">
      <c r="A1050" s="795">
        <v>44837.0</v>
      </c>
      <c r="B1050" s="827" t="s">
        <v>6652</v>
      </c>
      <c r="C1050" s="797" t="s">
        <v>3820</v>
      </c>
      <c r="D1050" s="772" t="s">
        <v>6346</v>
      </c>
      <c r="E1050" s="798">
        <v>7477.76</v>
      </c>
      <c r="F1050" s="772" t="s">
        <v>554</v>
      </c>
      <c r="G1050" s="782" t="s">
        <v>18</v>
      </c>
      <c r="H1050" s="782" t="s">
        <v>29</v>
      </c>
      <c r="I1050" s="782" t="s">
        <v>60</v>
      </c>
      <c r="J1050" s="782">
        <v>44819.0</v>
      </c>
      <c r="K1050" s="782" t="s">
        <v>3836</v>
      </c>
      <c r="L1050" s="781"/>
      <c r="M1050" s="781"/>
      <c r="N1050" s="781"/>
      <c r="O1050" s="781"/>
      <c r="P1050" s="781"/>
      <c r="Q1050" s="781"/>
      <c r="R1050" s="781"/>
      <c r="S1050" s="781"/>
      <c r="T1050" s="781"/>
      <c r="U1050" s="781"/>
      <c r="V1050" s="781"/>
      <c r="W1050" s="781"/>
      <c r="X1050" s="781"/>
      <c r="Y1050" s="781"/>
      <c r="Z1050" s="781"/>
      <c r="AA1050" s="781"/>
      <c r="AB1050" s="781"/>
      <c r="AC1050" s="781"/>
      <c r="AD1050" s="781"/>
      <c r="AE1050" s="781"/>
      <c r="AF1050" s="781"/>
      <c r="AG1050" s="781"/>
      <c r="AH1050" s="781"/>
      <c r="AI1050" s="781"/>
      <c r="AJ1050" s="781"/>
      <c r="AK1050" s="781"/>
      <c r="AL1050" s="781"/>
      <c r="AM1050" s="781"/>
      <c r="AN1050" s="781"/>
      <c r="AO1050" s="781"/>
      <c r="AP1050" s="781"/>
      <c r="AQ1050" s="781"/>
      <c r="AR1050" s="781"/>
      <c r="AS1050" s="781"/>
      <c r="AT1050" s="781"/>
      <c r="AU1050" s="781"/>
    </row>
    <row r="1051" ht="15.75" customHeight="1">
      <c r="A1051" s="795">
        <v>44837.0</v>
      </c>
      <c r="B1051" s="827" t="s">
        <v>6653</v>
      </c>
      <c r="C1051" s="797" t="s">
        <v>3820</v>
      </c>
      <c r="D1051" s="772" t="s">
        <v>6346</v>
      </c>
      <c r="E1051" s="798">
        <v>199998.0</v>
      </c>
      <c r="F1051" s="772" t="s">
        <v>4560</v>
      </c>
      <c r="G1051" s="782" t="s">
        <v>18</v>
      </c>
      <c r="H1051" s="782" t="s">
        <v>19</v>
      </c>
      <c r="I1051" s="782" t="s">
        <v>256</v>
      </c>
      <c r="J1051" s="782">
        <v>44739.0</v>
      </c>
      <c r="K1051" s="782" t="s">
        <v>3834</v>
      </c>
      <c r="L1051" s="781"/>
      <c r="M1051" s="781"/>
      <c r="N1051" s="781"/>
      <c r="O1051" s="781"/>
      <c r="P1051" s="781"/>
      <c r="Q1051" s="781"/>
      <c r="R1051" s="781"/>
      <c r="S1051" s="781"/>
      <c r="T1051" s="781"/>
      <c r="U1051" s="781"/>
      <c r="V1051" s="781"/>
      <c r="W1051" s="781"/>
      <c r="X1051" s="781"/>
      <c r="Y1051" s="781"/>
      <c r="Z1051" s="781"/>
      <c r="AA1051" s="781"/>
      <c r="AB1051" s="781"/>
      <c r="AC1051" s="781"/>
      <c r="AD1051" s="781"/>
      <c r="AE1051" s="781"/>
      <c r="AF1051" s="781"/>
      <c r="AG1051" s="781"/>
      <c r="AH1051" s="781"/>
      <c r="AI1051" s="781"/>
      <c r="AJ1051" s="781"/>
      <c r="AK1051" s="781"/>
      <c r="AL1051" s="781"/>
      <c r="AM1051" s="781"/>
      <c r="AN1051" s="781"/>
      <c r="AO1051" s="781"/>
      <c r="AP1051" s="781"/>
      <c r="AQ1051" s="781"/>
      <c r="AR1051" s="781"/>
      <c r="AS1051" s="781"/>
      <c r="AT1051" s="781"/>
      <c r="AU1051" s="781"/>
    </row>
    <row r="1052" ht="15.75" customHeight="1">
      <c r="A1052" s="795">
        <v>44838.0</v>
      </c>
      <c r="B1052" s="827" t="s">
        <v>6654</v>
      </c>
      <c r="C1052" s="797" t="s">
        <v>3820</v>
      </c>
      <c r="D1052" s="772" t="s">
        <v>6345</v>
      </c>
      <c r="E1052" s="798">
        <v>104271.35</v>
      </c>
      <c r="F1052" s="772" t="s">
        <v>3934</v>
      </c>
      <c r="G1052" s="782" t="s">
        <v>18</v>
      </c>
      <c r="H1052" s="782" t="s">
        <v>19</v>
      </c>
      <c r="I1052" s="782" t="s">
        <v>256</v>
      </c>
      <c r="J1052" s="782">
        <v>44460.0</v>
      </c>
      <c r="K1052" s="782" t="s">
        <v>3935</v>
      </c>
      <c r="L1052" s="781"/>
      <c r="M1052" s="781"/>
      <c r="N1052" s="781"/>
      <c r="O1052" s="781"/>
      <c r="P1052" s="781"/>
      <c r="Q1052" s="781"/>
      <c r="R1052" s="781"/>
      <c r="S1052" s="781"/>
      <c r="T1052" s="781"/>
      <c r="U1052" s="781"/>
      <c r="V1052" s="781"/>
      <c r="W1052" s="781"/>
      <c r="X1052" s="781"/>
      <c r="Y1052" s="781"/>
      <c r="Z1052" s="781"/>
      <c r="AA1052" s="781"/>
      <c r="AB1052" s="781"/>
      <c r="AC1052" s="781"/>
      <c r="AD1052" s="781"/>
      <c r="AE1052" s="781"/>
      <c r="AF1052" s="781"/>
      <c r="AG1052" s="781"/>
      <c r="AH1052" s="781"/>
      <c r="AI1052" s="781"/>
      <c r="AJ1052" s="781"/>
      <c r="AK1052" s="781"/>
      <c r="AL1052" s="781"/>
      <c r="AM1052" s="781"/>
      <c r="AN1052" s="781"/>
      <c r="AO1052" s="781"/>
      <c r="AP1052" s="781"/>
      <c r="AQ1052" s="781"/>
      <c r="AR1052" s="781"/>
      <c r="AS1052" s="781"/>
      <c r="AT1052" s="781"/>
      <c r="AU1052" s="781"/>
    </row>
    <row r="1053" ht="15.75" customHeight="1">
      <c r="A1053" s="795">
        <v>44839.0</v>
      </c>
      <c r="B1053" s="827" t="s">
        <v>6637</v>
      </c>
      <c r="C1053" s="797" t="s">
        <v>3820</v>
      </c>
      <c r="D1053" s="772" t="s">
        <v>6346</v>
      </c>
      <c r="E1053" s="798">
        <v>400000.0</v>
      </c>
      <c r="F1053" s="772" t="s">
        <v>1699</v>
      </c>
      <c r="G1053" s="782" t="s">
        <v>18</v>
      </c>
      <c r="H1053" s="782" t="s">
        <v>19</v>
      </c>
      <c r="I1053" s="782" t="s">
        <v>213</v>
      </c>
      <c r="J1053" s="782">
        <v>44698.0</v>
      </c>
      <c r="K1053" s="782" t="s">
        <v>3840</v>
      </c>
      <c r="L1053" s="781"/>
      <c r="M1053" s="781"/>
      <c r="N1053" s="781"/>
      <c r="O1053" s="781"/>
      <c r="P1053" s="781"/>
      <c r="Q1053" s="781"/>
      <c r="R1053" s="781"/>
      <c r="S1053" s="781"/>
      <c r="T1053" s="781"/>
      <c r="U1053" s="781"/>
      <c r="V1053" s="781"/>
      <c r="W1053" s="781"/>
      <c r="X1053" s="781"/>
      <c r="Y1053" s="781"/>
      <c r="Z1053" s="781"/>
      <c r="AA1053" s="781"/>
      <c r="AB1053" s="781"/>
      <c r="AC1053" s="781"/>
      <c r="AD1053" s="781"/>
      <c r="AE1053" s="781"/>
      <c r="AF1053" s="781"/>
      <c r="AG1053" s="781"/>
      <c r="AH1053" s="781"/>
      <c r="AI1053" s="781"/>
      <c r="AJ1053" s="781"/>
      <c r="AK1053" s="781"/>
      <c r="AL1053" s="781"/>
      <c r="AM1053" s="781"/>
      <c r="AN1053" s="781"/>
      <c r="AO1053" s="781"/>
      <c r="AP1053" s="781"/>
      <c r="AQ1053" s="781"/>
      <c r="AR1053" s="781"/>
      <c r="AS1053" s="781"/>
      <c r="AT1053" s="781"/>
      <c r="AU1053" s="781"/>
    </row>
    <row r="1054" ht="15.75" customHeight="1">
      <c r="A1054" s="795">
        <v>44839.0</v>
      </c>
      <c r="B1054" s="827" t="s">
        <v>6368</v>
      </c>
      <c r="C1054" s="797" t="s">
        <v>3820</v>
      </c>
      <c r="D1054" s="772" t="s">
        <v>6346</v>
      </c>
      <c r="E1054" s="798">
        <v>10000.0</v>
      </c>
      <c r="F1054" s="772" t="s">
        <v>4388</v>
      </c>
      <c r="G1054" s="782" t="s">
        <v>105</v>
      </c>
      <c r="H1054" s="782" t="s">
        <v>29</v>
      </c>
      <c r="I1054" s="782" t="s">
        <v>3887</v>
      </c>
      <c r="J1054" s="782">
        <v>44263.0</v>
      </c>
      <c r="K1054" s="782" t="s">
        <v>3828</v>
      </c>
      <c r="L1054" s="781"/>
      <c r="M1054" s="781"/>
      <c r="N1054" s="781"/>
      <c r="O1054" s="781"/>
      <c r="P1054" s="781"/>
      <c r="Q1054" s="781"/>
      <c r="R1054" s="781"/>
      <c r="S1054" s="781"/>
      <c r="T1054" s="781"/>
      <c r="U1054" s="781"/>
      <c r="V1054" s="781"/>
      <c r="W1054" s="781"/>
      <c r="X1054" s="781"/>
      <c r="Y1054" s="781"/>
      <c r="Z1054" s="781"/>
      <c r="AA1054" s="781"/>
      <c r="AB1054" s="781"/>
      <c r="AC1054" s="781"/>
      <c r="AD1054" s="781"/>
      <c r="AE1054" s="781"/>
      <c r="AF1054" s="781"/>
      <c r="AG1054" s="781"/>
      <c r="AH1054" s="781"/>
      <c r="AI1054" s="781"/>
      <c r="AJ1054" s="781"/>
      <c r="AK1054" s="781"/>
      <c r="AL1054" s="781"/>
      <c r="AM1054" s="781"/>
      <c r="AN1054" s="781"/>
      <c r="AO1054" s="781"/>
      <c r="AP1054" s="781"/>
      <c r="AQ1054" s="781"/>
      <c r="AR1054" s="781"/>
      <c r="AS1054" s="781"/>
      <c r="AT1054" s="781"/>
      <c r="AU1054" s="781"/>
    </row>
    <row r="1055" ht="15.75" customHeight="1">
      <c r="A1055" s="795">
        <v>44844.0</v>
      </c>
      <c r="B1055" s="827" t="s">
        <v>6511</v>
      </c>
      <c r="C1055" s="797" t="s">
        <v>3820</v>
      </c>
      <c r="D1055" s="772" t="s">
        <v>6346</v>
      </c>
      <c r="E1055" s="798">
        <v>30000.0</v>
      </c>
      <c r="F1055" s="772" t="s">
        <v>1552</v>
      </c>
      <c r="G1055" s="782" t="s">
        <v>18</v>
      </c>
      <c r="H1055" s="782" t="s">
        <v>29</v>
      </c>
      <c r="I1055" s="782" t="s">
        <v>6338</v>
      </c>
      <c r="J1055" s="782">
        <v>44594.0</v>
      </c>
      <c r="K1055" s="782" t="s">
        <v>3834</v>
      </c>
      <c r="L1055" s="781"/>
      <c r="M1055" s="781"/>
      <c r="N1055" s="781"/>
      <c r="O1055" s="781"/>
      <c r="P1055" s="781"/>
      <c r="Q1055" s="781"/>
      <c r="R1055" s="781"/>
      <c r="S1055" s="781"/>
      <c r="T1055" s="781"/>
      <c r="U1055" s="781"/>
      <c r="V1055" s="781"/>
      <c r="W1055" s="781"/>
      <c r="X1055" s="781"/>
      <c r="Y1055" s="781"/>
      <c r="Z1055" s="781"/>
      <c r="AA1055" s="781"/>
      <c r="AB1055" s="781"/>
      <c r="AC1055" s="781"/>
      <c r="AD1055" s="781"/>
      <c r="AE1055" s="781"/>
      <c r="AF1055" s="781"/>
      <c r="AG1055" s="781"/>
      <c r="AH1055" s="781"/>
      <c r="AI1055" s="781"/>
      <c r="AJ1055" s="781"/>
      <c r="AK1055" s="781"/>
      <c r="AL1055" s="781"/>
      <c r="AM1055" s="781"/>
      <c r="AN1055" s="781"/>
      <c r="AO1055" s="781"/>
      <c r="AP1055" s="781"/>
      <c r="AQ1055" s="781"/>
      <c r="AR1055" s="781"/>
      <c r="AS1055" s="781"/>
      <c r="AT1055" s="781"/>
      <c r="AU1055" s="781"/>
    </row>
    <row r="1056" ht="15.75" customHeight="1">
      <c r="A1056" s="795">
        <v>44845.0</v>
      </c>
      <c r="B1056" s="827" t="s">
        <v>6655</v>
      </c>
      <c r="C1056" s="797" t="s">
        <v>3820</v>
      </c>
      <c r="D1056" s="772" t="s">
        <v>6346</v>
      </c>
      <c r="E1056" s="798">
        <v>10000.0</v>
      </c>
      <c r="F1056" s="772" t="s">
        <v>3948</v>
      </c>
      <c r="G1056" s="782" t="s">
        <v>105</v>
      </c>
      <c r="H1056" s="782" t="s">
        <v>29</v>
      </c>
      <c r="I1056" s="782" t="s">
        <v>3660</v>
      </c>
      <c r="J1056" s="782">
        <v>44217.0</v>
      </c>
      <c r="K1056" s="782" t="s">
        <v>3828</v>
      </c>
      <c r="L1056" s="781"/>
      <c r="M1056" s="781"/>
      <c r="N1056" s="781"/>
      <c r="O1056" s="781"/>
      <c r="P1056" s="781"/>
      <c r="Q1056" s="781"/>
      <c r="R1056" s="781"/>
      <c r="S1056" s="781"/>
      <c r="T1056" s="781"/>
      <c r="U1056" s="781"/>
      <c r="V1056" s="781"/>
      <c r="W1056" s="781"/>
      <c r="X1056" s="781"/>
      <c r="Y1056" s="781"/>
      <c r="Z1056" s="781"/>
      <c r="AA1056" s="781"/>
      <c r="AB1056" s="781"/>
      <c r="AC1056" s="781"/>
      <c r="AD1056" s="781"/>
      <c r="AE1056" s="781"/>
      <c r="AF1056" s="781"/>
      <c r="AG1056" s="781"/>
      <c r="AH1056" s="781"/>
      <c r="AI1056" s="781"/>
      <c r="AJ1056" s="781"/>
      <c r="AK1056" s="781"/>
      <c r="AL1056" s="781"/>
      <c r="AM1056" s="781"/>
      <c r="AN1056" s="781"/>
      <c r="AO1056" s="781"/>
      <c r="AP1056" s="781"/>
      <c r="AQ1056" s="781"/>
      <c r="AR1056" s="781"/>
      <c r="AS1056" s="781"/>
      <c r="AT1056" s="781"/>
      <c r="AU1056" s="781"/>
    </row>
    <row r="1057" ht="15.75" customHeight="1">
      <c r="A1057" s="795">
        <v>44845.0</v>
      </c>
      <c r="B1057" s="827" t="s">
        <v>6656</v>
      </c>
      <c r="C1057" s="797" t="s">
        <v>3820</v>
      </c>
      <c r="D1057" s="772" t="s">
        <v>6346</v>
      </c>
      <c r="E1057" s="798">
        <v>2000.0</v>
      </c>
      <c r="F1057" s="772" t="s">
        <v>691</v>
      </c>
      <c r="G1057" s="782" t="s">
        <v>105</v>
      </c>
      <c r="H1057" s="782" t="s">
        <v>29</v>
      </c>
      <c r="I1057" s="782" t="s">
        <v>6291</v>
      </c>
      <c r="J1057" s="782">
        <v>44421.0</v>
      </c>
      <c r="K1057" s="782" t="s">
        <v>3828</v>
      </c>
      <c r="L1057" s="781"/>
      <c r="M1057" s="781"/>
      <c r="N1057" s="781"/>
      <c r="O1057" s="781"/>
      <c r="P1057" s="781"/>
      <c r="Q1057" s="781"/>
      <c r="R1057" s="781"/>
      <c r="S1057" s="781"/>
      <c r="T1057" s="781"/>
      <c r="U1057" s="781"/>
      <c r="V1057" s="781"/>
      <c r="W1057" s="781"/>
      <c r="X1057" s="781"/>
      <c r="Y1057" s="781"/>
      <c r="Z1057" s="781"/>
      <c r="AA1057" s="781"/>
      <c r="AB1057" s="781"/>
      <c r="AC1057" s="781"/>
      <c r="AD1057" s="781"/>
      <c r="AE1057" s="781"/>
      <c r="AF1057" s="781"/>
      <c r="AG1057" s="781"/>
      <c r="AH1057" s="781"/>
      <c r="AI1057" s="781"/>
      <c r="AJ1057" s="781"/>
      <c r="AK1057" s="781"/>
      <c r="AL1057" s="781"/>
      <c r="AM1057" s="781"/>
      <c r="AN1057" s="781"/>
      <c r="AO1057" s="781"/>
      <c r="AP1057" s="781"/>
      <c r="AQ1057" s="781"/>
      <c r="AR1057" s="781"/>
      <c r="AS1057" s="781"/>
      <c r="AT1057" s="781"/>
      <c r="AU1057" s="781"/>
    </row>
    <row r="1058" ht="15.75" customHeight="1">
      <c r="A1058" s="795">
        <v>44847.0</v>
      </c>
      <c r="B1058" s="827" t="s">
        <v>6637</v>
      </c>
      <c r="C1058" s="797" t="s">
        <v>3820</v>
      </c>
      <c r="D1058" s="772" t="s">
        <v>6346</v>
      </c>
      <c r="E1058" s="798">
        <v>122000.0</v>
      </c>
      <c r="F1058" s="772" t="s">
        <v>4867</v>
      </c>
      <c r="G1058" s="782" t="s">
        <v>18</v>
      </c>
      <c r="H1058" s="782" t="s">
        <v>19</v>
      </c>
      <c r="I1058" s="782" t="s">
        <v>213</v>
      </c>
      <c r="J1058" s="782">
        <v>44698.0</v>
      </c>
      <c r="K1058" s="782" t="s">
        <v>3840</v>
      </c>
      <c r="L1058" s="781"/>
      <c r="M1058" s="781"/>
      <c r="N1058" s="781"/>
      <c r="O1058" s="781"/>
      <c r="P1058" s="781"/>
      <c r="Q1058" s="781"/>
      <c r="R1058" s="781"/>
      <c r="S1058" s="781"/>
      <c r="T1058" s="781"/>
      <c r="U1058" s="781"/>
      <c r="V1058" s="781"/>
      <c r="W1058" s="781"/>
      <c r="X1058" s="781"/>
      <c r="Y1058" s="781"/>
      <c r="Z1058" s="781"/>
      <c r="AA1058" s="781"/>
      <c r="AB1058" s="781"/>
      <c r="AC1058" s="781"/>
      <c r="AD1058" s="781"/>
      <c r="AE1058" s="781"/>
      <c r="AF1058" s="781"/>
      <c r="AG1058" s="781"/>
      <c r="AH1058" s="781"/>
      <c r="AI1058" s="781"/>
      <c r="AJ1058" s="781"/>
      <c r="AK1058" s="781"/>
      <c r="AL1058" s="781"/>
      <c r="AM1058" s="781"/>
      <c r="AN1058" s="781"/>
      <c r="AO1058" s="781"/>
      <c r="AP1058" s="781"/>
      <c r="AQ1058" s="781"/>
      <c r="AR1058" s="781"/>
      <c r="AS1058" s="781"/>
      <c r="AT1058" s="781"/>
      <c r="AU1058" s="781"/>
    </row>
    <row r="1059" ht="15.75" customHeight="1">
      <c r="A1059" s="795">
        <v>44848.0</v>
      </c>
      <c r="B1059" s="827" t="s">
        <v>6637</v>
      </c>
      <c r="C1059" s="797" t="s">
        <v>3820</v>
      </c>
      <c r="D1059" s="772" t="s">
        <v>6346</v>
      </c>
      <c r="E1059" s="798">
        <v>13000.0</v>
      </c>
      <c r="F1059" s="772" t="s">
        <v>4867</v>
      </c>
      <c r="G1059" s="782" t="s">
        <v>18</v>
      </c>
      <c r="H1059" s="782" t="s">
        <v>19</v>
      </c>
      <c r="I1059" s="782" t="s">
        <v>213</v>
      </c>
      <c r="J1059" s="782">
        <v>44698.0</v>
      </c>
      <c r="K1059" s="782" t="s">
        <v>3840</v>
      </c>
      <c r="L1059" s="781"/>
      <c r="M1059" s="781"/>
      <c r="N1059" s="781"/>
      <c r="O1059" s="781"/>
      <c r="P1059" s="781"/>
      <c r="Q1059" s="781"/>
      <c r="R1059" s="781"/>
      <c r="S1059" s="781"/>
      <c r="T1059" s="781"/>
      <c r="U1059" s="781"/>
      <c r="V1059" s="781"/>
      <c r="W1059" s="781"/>
      <c r="X1059" s="781"/>
      <c r="Y1059" s="781"/>
      <c r="Z1059" s="781"/>
      <c r="AA1059" s="781"/>
      <c r="AB1059" s="781"/>
      <c r="AC1059" s="781"/>
      <c r="AD1059" s="781"/>
      <c r="AE1059" s="781"/>
      <c r="AF1059" s="781"/>
      <c r="AG1059" s="781"/>
      <c r="AH1059" s="781"/>
      <c r="AI1059" s="781"/>
      <c r="AJ1059" s="781"/>
      <c r="AK1059" s="781"/>
      <c r="AL1059" s="781"/>
      <c r="AM1059" s="781"/>
      <c r="AN1059" s="781"/>
      <c r="AO1059" s="781"/>
      <c r="AP1059" s="781"/>
      <c r="AQ1059" s="781"/>
      <c r="AR1059" s="781"/>
      <c r="AS1059" s="781"/>
      <c r="AT1059" s="781"/>
      <c r="AU1059" s="781"/>
    </row>
    <row r="1060" ht="15.75" customHeight="1">
      <c r="A1060" s="795">
        <v>44848.0</v>
      </c>
      <c r="B1060" s="827" t="s">
        <v>6502</v>
      </c>
      <c r="C1060" s="797" t="s">
        <v>3820</v>
      </c>
      <c r="D1060" s="772" t="s">
        <v>6346</v>
      </c>
      <c r="E1060" s="798">
        <v>25000.0</v>
      </c>
      <c r="F1060" s="772" t="s">
        <v>3972</v>
      </c>
      <c r="G1060" s="782" t="s">
        <v>18</v>
      </c>
      <c r="H1060" s="782" t="s">
        <v>29</v>
      </c>
      <c r="I1060" s="782" t="s">
        <v>3973</v>
      </c>
      <c r="J1060" s="782">
        <v>44061.0</v>
      </c>
      <c r="K1060" s="782" t="s">
        <v>3828</v>
      </c>
      <c r="L1060" s="781"/>
      <c r="M1060" s="781"/>
      <c r="N1060" s="781"/>
      <c r="O1060" s="781"/>
      <c r="P1060" s="781"/>
      <c r="Q1060" s="781"/>
      <c r="R1060" s="781"/>
      <c r="S1060" s="781"/>
      <c r="T1060" s="781"/>
      <c r="U1060" s="781"/>
      <c r="V1060" s="781"/>
      <c r="W1060" s="781"/>
      <c r="X1060" s="781"/>
      <c r="Y1060" s="781"/>
      <c r="Z1060" s="781"/>
      <c r="AA1060" s="781"/>
      <c r="AB1060" s="781"/>
      <c r="AC1060" s="781"/>
      <c r="AD1060" s="781"/>
      <c r="AE1060" s="781"/>
      <c r="AF1060" s="781"/>
      <c r="AG1060" s="781"/>
      <c r="AH1060" s="781"/>
      <c r="AI1060" s="781"/>
      <c r="AJ1060" s="781"/>
      <c r="AK1060" s="781"/>
      <c r="AL1060" s="781"/>
      <c r="AM1060" s="781"/>
      <c r="AN1060" s="781"/>
      <c r="AO1060" s="781"/>
      <c r="AP1060" s="781"/>
      <c r="AQ1060" s="781"/>
      <c r="AR1060" s="781"/>
      <c r="AS1060" s="781"/>
      <c r="AT1060" s="781"/>
      <c r="AU1060" s="781"/>
    </row>
    <row r="1061" ht="15.75" customHeight="1">
      <c r="A1061" s="782">
        <v>44851.0</v>
      </c>
      <c r="B1061" s="783" t="s">
        <v>6543</v>
      </c>
      <c r="C1061" s="737" t="s">
        <v>3820</v>
      </c>
      <c r="D1061" s="772" t="s">
        <v>6346</v>
      </c>
      <c r="E1061" s="784">
        <v>50000.0</v>
      </c>
      <c r="F1061" s="737" t="s">
        <v>1819</v>
      </c>
      <c r="G1061" s="772" t="s">
        <v>18</v>
      </c>
      <c r="H1061" s="772" t="s">
        <v>19</v>
      </c>
      <c r="I1061" s="772" t="s">
        <v>20</v>
      </c>
      <c r="J1061" s="782">
        <v>44614.0</v>
      </c>
      <c r="K1061" s="810" t="s">
        <v>3828</v>
      </c>
      <c r="L1061" s="781"/>
      <c r="M1061" s="781"/>
      <c r="N1061" s="781"/>
      <c r="O1061" s="781"/>
      <c r="P1061" s="781"/>
      <c r="Q1061" s="781"/>
      <c r="R1061" s="781"/>
      <c r="S1061" s="781"/>
      <c r="T1061" s="781"/>
      <c r="U1061" s="781"/>
      <c r="V1061" s="781"/>
      <c r="W1061" s="781"/>
      <c r="X1061" s="781"/>
      <c r="Y1061" s="781"/>
      <c r="Z1061" s="781"/>
      <c r="AA1061" s="781"/>
      <c r="AB1061" s="781"/>
      <c r="AC1061" s="781"/>
      <c r="AD1061" s="781"/>
      <c r="AE1061" s="781"/>
      <c r="AF1061" s="781"/>
      <c r="AG1061" s="781"/>
      <c r="AH1061" s="781"/>
      <c r="AI1061" s="781"/>
      <c r="AJ1061" s="781"/>
      <c r="AK1061" s="781"/>
      <c r="AL1061" s="781"/>
      <c r="AM1061" s="781"/>
      <c r="AN1061" s="781"/>
      <c r="AO1061" s="781"/>
      <c r="AP1061" s="781"/>
      <c r="AQ1061" s="781"/>
      <c r="AR1061" s="781"/>
      <c r="AS1061" s="781"/>
      <c r="AT1061" s="781"/>
      <c r="AU1061" s="781"/>
    </row>
    <row r="1062" ht="15.75" customHeight="1">
      <c r="A1062" s="811">
        <v>44852.0</v>
      </c>
      <c r="B1062" s="812" t="s">
        <v>6518</v>
      </c>
      <c r="C1062" s="813" t="s">
        <v>3820</v>
      </c>
      <c r="D1062" s="814" t="s">
        <v>6346</v>
      </c>
      <c r="E1062" s="815">
        <v>18000.0</v>
      </c>
      <c r="F1062" s="814" t="s">
        <v>3867</v>
      </c>
      <c r="G1062" s="814" t="s">
        <v>18</v>
      </c>
      <c r="H1062" s="814" t="s">
        <v>19</v>
      </c>
      <c r="I1062" s="814" t="s">
        <v>20</v>
      </c>
      <c r="J1062" s="816">
        <v>44609.0</v>
      </c>
      <c r="K1062" s="813" t="s">
        <v>3836</v>
      </c>
      <c r="L1062" s="781"/>
      <c r="M1062" s="781"/>
      <c r="N1062" s="781"/>
      <c r="O1062" s="781"/>
      <c r="P1062" s="781"/>
      <c r="Q1062" s="781"/>
      <c r="R1062" s="781"/>
      <c r="S1062" s="781"/>
      <c r="T1062" s="781"/>
      <c r="U1062" s="781"/>
      <c r="V1062" s="781"/>
      <c r="W1062" s="781"/>
      <c r="X1062" s="781"/>
      <c r="Y1062" s="781"/>
      <c r="Z1062" s="781"/>
      <c r="AA1062" s="781"/>
      <c r="AB1062" s="781"/>
      <c r="AC1062" s="781"/>
      <c r="AD1062" s="781"/>
      <c r="AE1062" s="781"/>
      <c r="AF1062" s="781"/>
      <c r="AG1062" s="781"/>
      <c r="AH1062" s="781"/>
      <c r="AI1062" s="781"/>
      <c r="AJ1062" s="781"/>
      <c r="AK1062" s="781"/>
      <c r="AL1062" s="781"/>
      <c r="AM1062" s="781"/>
      <c r="AN1062" s="781"/>
      <c r="AO1062" s="781"/>
      <c r="AP1062" s="781"/>
      <c r="AQ1062" s="781"/>
      <c r="AR1062" s="781"/>
      <c r="AS1062" s="781"/>
      <c r="AT1062" s="781"/>
      <c r="AU1062" s="781"/>
    </row>
    <row r="1063" ht="15.75" customHeight="1">
      <c r="A1063" s="811">
        <v>44853.0</v>
      </c>
      <c r="B1063" s="812" t="s">
        <v>6657</v>
      </c>
      <c r="C1063" s="813" t="s">
        <v>3820</v>
      </c>
      <c r="D1063" s="814" t="s">
        <v>6346</v>
      </c>
      <c r="E1063" s="815">
        <v>50000.0</v>
      </c>
      <c r="F1063" s="814" t="s">
        <v>6658</v>
      </c>
      <c r="G1063" s="814" t="s">
        <v>18</v>
      </c>
      <c r="H1063" s="814" t="s">
        <v>29</v>
      </c>
      <c r="I1063" s="814" t="s">
        <v>704</v>
      </c>
      <c r="J1063" s="816">
        <v>44831.0</v>
      </c>
      <c r="K1063" s="782" t="s">
        <v>3824</v>
      </c>
      <c r="L1063" s="781"/>
      <c r="M1063" s="781"/>
      <c r="N1063" s="781"/>
      <c r="O1063" s="781"/>
      <c r="P1063" s="781"/>
      <c r="Q1063" s="781"/>
      <c r="R1063" s="781"/>
      <c r="S1063" s="781"/>
      <c r="T1063" s="781"/>
      <c r="U1063" s="781"/>
      <c r="V1063" s="781"/>
      <c r="W1063" s="781"/>
      <c r="X1063" s="781"/>
      <c r="Y1063" s="781"/>
      <c r="Z1063" s="781"/>
      <c r="AA1063" s="781"/>
      <c r="AB1063" s="781"/>
      <c r="AC1063" s="781"/>
      <c r="AD1063" s="781"/>
      <c r="AE1063" s="781"/>
      <c r="AF1063" s="781"/>
      <c r="AG1063" s="781"/>
      <c r="AH1063" s="781"/>
      <c r="AI1063" s="781"/>
      <c r="AJ1063" s="781"/>
      <c r="AK1063" s="781"/>
      <c r="AL1063" s="781"/>
      <c r="AM1063" s="781"/>
      <c r="AN1063" s="781"/>
      <c r="AO1063" s="781"/>
      <c r="AP1063" s="781"/>
      <c r="AQ1063" s="781"/>
      <c r="AR1063" s="781"/>
      <c r="AS1063" s="781"/>
      <c r="AT1063" s="781"/>
      <c r="AU1063" s="781"/>
    </row>
    <row r="1064" ht="15.75" customHeight="1">
      <c r="A1064" s="782">
        <v>44855.0</v>
      </c>
      <c r="B1064" s="783" t="s">
        <v>6659</v>
      </c>
      <c r="C1064" s="772" t="s">
        <v>3820</v>
      </c>
      <c r="D1064" s="772" t="s">
        <v>6346</v>
      </c>
      <c r="E1064" s="815">
        <v>10000.0</v>
      </c>
      <c r="F1064" s="814" t="s">
        <v>1394</v>
      </c>
      <c r="G1064" s="772" t="s">
        <v>18</v>
      </c>
      <c r="H1064" s="772" t="s">
        <v>19</v>
      </c>
      <c r="I1064" s="772" t="s">
        <v>6631</v>
      </c>
      <c r="J1064" s="782">
        <v>44733.0</v>
      </c>
      <c r="K1064" s="772" t="s">
        <v>3836</v>
      </c>
      <c r="L1064" s="781"/>
      <c r="M1064" s="781"/>
      <c r="N1064" s="781"/>
      <c r="O1064" s="781"/>
      <c r="P1064" s="781"/>
      <c r="Q1064" s="781"/>
      <c r="R1064" s="781"/>
      <c r="S1064" s="781"/>
      <c r="T1064" s="781"/>
      <c r="U1064" s="781"/>
      <c r="V1064" s="781"/>
      <c r="W1064" s="781"/>
      <c r="X1064" s="781"/>
      <c r="Y1064" s="781"/>
      <c r="Z1064" s="781"/>
      <c r="AA1064" s="781"/>
      <c r="AB1064" s="781"/>
      <c r="AC1064" s="781"/>
      <c r="AD1064" s="781"/>
      <c r="AE1064" s="781"/>
      <c r="AF1064" s="781"/>
      <c r="AG1064" s="781"/>
      <c r="AH1064" s="781"/>
      <c r="AI1064" s="781"/>
      <c r="AJ1064" s="781"/>
      <c r="AK1064" s="781"/>
      <c r="AL1064" s="781"/>
      <c r="AM1064" s="781"/>
      <c r="AN1064" s="781"/>
      <c r="AO1064" s="781"/>
      <c r="AP1064" s="781"/>
      <c r="AQ1064" s="781"/>
      <c r="AR1064" s="781"/>
      <c r="AS1064" s="781"/>
      <c r="AT1064" s="781"/>
      <c r="AU1064" s="781"/>
    </row>
    <row r="1065" ht="15.75" customHeight="1">
      <c r="A1065" s="811">
        <v>44860.0</v>
      </c>
      <c r="B1065" s="812" t="s">
        <v>6518</v>
      </c>
      <c r="C1065" s="813" t="s">
        <v>3820</v>
      </c>
      <c r="D1065" s="814" t="s">
        <v>6346</v>
      </c>
      <c r="E1065" s="815">
        <v>20000.0</v>
      </c>
      <c r="F1065" s="814" t="s">
        <v>3867</v>
      </c>
      <c r="G1065" s="814" t="s">
        <v>18</v>
      </c>
      <c r="H1065" s="814" t="s">
        <v>19</v>
      </c>
      <c r="I1065" s="814" t="s">
        <v>20</v>
      </c>
      <c r="J1065" s="816">
        <v>44609.0</v>
      </c>
      <c r="K1065" s="813" t="s">
        <v>3836</v>
      </c>
      <c r="L1065" s="781"/>
      <c r="M1065" s="781"/>
      <c r="N1065" s="781"/>
      <c r="O1065" s="781"/>
      <c r="P1065" s="781"/>
      <c r="Q1065" s="781"/>
      <c r="R1065" s="781"/>
      <c r="S1065" s="781"/>
      <c r="T1065" s="781"/>
      <c r="U1065" s="781"/>
      <c r="V1065" s="781"/>
      <c r="W1065" s="781"/>
      <c r="X1065" s="781"/>
      <c r="Y1065" s="781"/>
      <c r="Z1065" s="781"/>
      <c r="AA1065" s="781"/>
      <c r="AB1065" s="781"/>
      <c r="AC1065" s="781"/>
      <c r="AD1065" s="781"/>
      <c r="AE1065" s="781"/>
      <c r="AF1065" s="781"/>
      <c r="AG1065" s="781"/>
      <c r="AH1065" s="781"/>
      <c r="AI1065" s="781"/>
      <c r="AJ1065" s="781"/>
      <c r="AK1065" s="781"/>
      <c r="AL1065" s="781"/>
      <c r="AM1065" s="781"/>
      <c r="AN1065" s="781"/>
      <c r="AO1065" s="781"/>
      <c r="AP1065" s="781"/>
      <c r="AQ1065" s="781"/>
      <c r="AR1065" s="781"/>
      <c r="AS1065" s="781"/>
      <c r="AT1065" s="781"/>
      <c r="AU1065" s="781"/>
    </row>
    <row r="1066" ht="15.75" customHeight="1">
      <c r="A1066" s="782">
        <v>44861.0</v>
      </c>
      <c r="B1066" s="737">
        <v>5681841.0</v>
      </c>
      <c r="C1066" s="737" t="s">
        <v>3820</v>
      </c>
      <c r="D1066" s="772" t="s">
        <v>6346</v>
      </c>
      <c r="E1066" s="784">
        <v>50000.0</v>
      </c>
      <c r="F1066" s="852" t="s">
        <v>5260</v>
      </c>
      <c r="G1066" s="761" t="s">
        <v>18</v>
      </c>
      <c r="H1066" s="772" t="s">
        <v>19</v>
      </c>
      <c r="I1066" s="772" t="s">
        <v>122</v>
      </c>
      <c r="J1066" s="819">
        <v>44469.0</v>
      </c>
      <c r="K1066" s="810" t="s">
        <v>3836</v>
      </c>
      <c r="L1066" s="781"/>
      <c r="M1066" s="781"/>
      <c r="N1066" s="781"/>
      <c r="O1066" s="781"/>
      <c r="P1066" s="781"/>
      <c r="Q1066" s="781"/>
      <c r="R1066" s="781"/>
      <c r="S1066" s="781"/>
      <c r="T1066" s="781"/>
      <c r="U1066" s="781"/>
      <c r="V1066" s="781"/>
      <c r="W1066" s="781"/>
      <c r="X1066" s="781"/>
      <c r="Y1066" s="781"/>
      <c r="Z1066" s="781"/>
      <c r="AA1066" s="781"/>
      <c r="AB1066" s="781"/>
      <c r="AC1066" s="781"/>
      <c r="AD1066" s="781"/>
      <c r="AE1066" s="781"/>
      <c r="AF1066" s="781"/>
      <c r="AG1066" s="781"/>
      <c r="AH1066" s="781"/>
      <c r="AI1066" s="781"/>
      <c r="AJ1066" s="781"/>
      <c r="AK1066" s="781"/>
      <c r="AL1066" s="781"/>
      <c r="AM1066" s="781"/>
      <c r="AN1066" s="781"/>
      <c r="AO1066" s="781"/>
      <c r="AP1066" s="781"/>
      <c r="AQ1066" s="781"/>
      <c r="AR1066" s="781"/>
      <c r="AS1066" s="781"/>
      <c r="AT1066" s="781"/>
      <c r="AU1066" s="781"/>
    </row>
    <row r="1067" ht="15.75" customHeight="1">
      <c r="A1067" s="782">
        <v>44865.0</v>
      </c>
      <c r="B1067" s="783" t="s">
        <v>6660</v>
      </c>
      <c r="C1067" s="772" t="s">
        <v>3820</v>
      </c>
      <c r="D1067" s="772" t="s">
        <v>6346</v>
      </c>
      <c r="E1067" s="784">
        <v>10000.0</v>
      </c>
      <c r="F1067" s="772" t="s">
        <v>4329</v>
      </c>
      <c r="G1067" s="772" t="s">
        <v>18</v>
      </c>
      <c r="H1067" s="772" t="s">
        <v>1818</v>
      </c>
      <c r="I1067" s="772" t="s">
        <v>4330</v>
      </c>
      <c r="J1067" s="782">
        <v>44260.0</v>
      </c>
      <c r="K1067" s="772" t="s">
        <v>3840</v>
      </c>
      <c r="L1067" s="781"/>
      <c r="M1067" s="781"/>
      <c r="N1067" s="781"/>
      <c r="O1067" s="781"/>
      <c r="P1067" s="781"/>
      <c r="Q1067" s="781"/>
      <c r="R1067" s="781"/>
      <c r="S1067" s="781"/>
      <c r="T1067" s="781"/>
      <c r="U1067" s="781"/>
      <c r="V1067" s="781"/>
      <c r="W1067" s="781"/>
      <c r="X1067" s="781"/>
      <c r="Y1067" s="781"/>
      <c r="Z1067" s="781"/>
      <c r="AA1067" s="781"/>
      <c r="AB1067" s="781"/>
      <c r="AC1067" s="781"/>
      <c r="AD1067" s="781"/>
      <c r="AE1067" s="781"/>
      <c r="AF1067" s="781"/>
      <c r="AG1067" s="781"/>
      <c r="AH1067" s="781"/>
      <c r="AI1067" s="781"/>
      <c r="AJ1067" s="781"/>
      <c r="AK1067" s="781"/>
      <c r="AL1067" s="781"/>
      <c r="AM1067" s="781"/>
      <c r="AN1067" s="781"/>
      <c r="AO1067" s="781"/>
      <c r="AP1067" s="781"/>
      <c r="AQ1067" s="781"/>
      <c r="AR1067" s="781"/>
      <c r="AS1067" s="781"/>
      <c r="AT1067" s="781"/>
      <c r="AU1067" s="781"/>
    </row>
    <row r="1068" ht="15.75" customHeight="1">
      <c r="A1068" s="782">
        <v>44865.0</v>
      </c>
      <c r="B1068" s="783" t="s">
        <v>6661</v>
      </c>
      <c r="C1068" s="772" t="s">
        <v>3820</v>
      </c>
      <c r="D1068" s="772" t="s">
        <v>6346</v>
      </c>
      <c r="E1068" s="784">
        <v>4000.0</v>
      </c>
      <c r="F1068" s="772" t="s">
        <v>4896</v>
      </c>
      <c r="G1068" s="772" t="s">
        <v>18</v>
      </c>
      <c r="H1068" s="772" t="s">
        <v>29</v>
      </c>
      <c r="I1068" s="772" t="s">
        <v>122</v>
      </c>
      <c r="J1068" s="782">
        <v>44749.0</v>
      </c>
      <c r="K1068" s="772" t="s">
        <v>3834</v>
      </c>
      <c r="L1068" s="781"/>
      <c r="M1068" s="781"/>
      <c r="N1068" s="781"/>
      <c r="O1068" s="781"/>
      <c r="P1068" s="781"/>
      <c r="Q1068" s="781"/>
      <c r="R1068" s="781"/>
      <c r="S1068" s="781"/>
      <c r="T1068" s="781"/>
      <c r="U1068" s="781"/>
      <c r="V1068" s="781"/>
      <c r="W1068" s="781"/>
      <c r="X1068" s="781"/>
      <c r="Y1068" s="781"/>
      <c r="Z1068" s="781"/>
      <c r="AA1068" s="781"/>
      <c r="AB1068" s="781"/>
      <c r="AC1068" s="781"/>
      <c r="AD1068" s="781"/>
      <c r="AE1068" s="781"/>
      <c r="AF1068" s="781"/>
      <c r="AG1068" s="781"/>
      <c r="AH1068" s="781"/>
      <c r="AI1068" s="781"/>
      <c r="AJ1068" s="781"/>
      <c r="AK1068" s="781"/>
      <c r="AL1068" s="781"/>
      <c r="AM1068" s="781"/>
      <c r="AN1068" s="781"/>
      <c r="AO1068" s="781"/>
      <c r="AP1068" s="781"/>
      <c r="AQ1068" s="781"/>
      <c r="AR1068" s="781"/>
      <c r="AS1068" s="781"/>
      <c r="AT1068" s="781"/>
      <c r="AU1068" s="781"/>
    </row>
    <row r="1069" ht="15.75" customHeight="1">
      <c r="A1069" s="811">
        <v>44865.0</v>
      </c>
      <c r="B1069" s="812" t="s">
        <v>6593</v>
      </c>
      <c r="C1069" s="813" t="s">
        <v>3820</v>
      </c>
      <c r="D1069" s="814" t="s">
        <v>6346</v>
      </c>
      <c r="E1069" s="815">
        <v>30000.0</v>
      </c>
      <c r="F1069" s="814" t="s">
        <v>1416</v>
      </c>
      <c r="G1069" s="814" t="s">
        <v>18</v>
      </c>
      <c r="H1069" s="814" t="s">
        <v>19</v>
      </c>
      <c r="I1069" s="814" t="s">
        <v>122</v>
      </c>
      <c r="J1069" s="816">
        <v>44568.0</v>
      </c>
      <c r="K1069" s="813" t="s">
        <v>4479</v>
      </c>
      <c r="L1069" s="781"/>
      <c r="M1069" s="781"/>
      <c r="N1069" s="781"/>
      <c r="O1069" s="781"/>
      <c r="P1069" s="781"/>
      <c r="Q1069" s="781"/>
      <c r="R1069" s="781"/>
      <c r="S1069" s="781"/>
      <c r="T1069" s="781"/>
      <c r="U1069" s="781"/>
      <c r="V1069" s="781"/>
      <c r="W1069" s="781"/>
      <c r="X1069" s="781"/>
      <c r="Y1069" s="781"/>
      <c r="Z1069" s="781"/>
      <c r="AA1069" s="781"/>
      <c r="AB1069" s="781"/>
      <c r="AC1069" s="781"/>
      <c r="AD1069" s="781"/>
      <c r="AE1069" s="781"/>
      <c r="AF1069" s="781"/>
      <c r="AG1069" s="781"/>
      <c r="AH1069" s="781"/>
      <c r="AI1069" s="781"/>
      <c r="AJ1069" s="781"/>
      <c r="AK1069" s="781"/>
      <c r="AL1069" s="781"/>
      <c r="AM1069" s="781"/>
      <c r="AN1069" s="781"/>
      <c r="AO1069" s="781"/>
      <c r="AP1069" s="781"/>
      <c r="AQ1069" s="781"/>
      <c r="AR1069" s="781"/>
      <c r="AS1069" s="781"/>
      <c r="AT1069" s="781"/>
      <c r="AU1069" s="781"/>
    </row>
    <row r="1070" ht="15.75" customHeight="1">
      <c r="A1070" s="782">
        <v>44866.0</v>
      </c>
      <c r="B1070" s="843">
        <v>6986262.0</v>
      </c>
      <c r="C1070" s="772" t="s">
        <v>3820</v>
      </c>
      <c r="D1070" s="772" t="s">
        <v>6346</v>
      </c>
      <c r="E1070" s="784">
        <v>500.0</v>
      </c>
      <c r="F1070" s="772" t="s">
        <v>4312</v>
      </c>
      <c r="G1070" s="761" t="s">
        <v>18</v>
      </c>
      <c r="H1070" s="772" t="s">
        <v>19</v>
      </c>
      <c r="I1070" s="772" t="s">
        <v>4152</v>
      </c>
      <c r="J1070" s="782">
        <v>44503.0</v>
      </c>
      <c r="K1070" s="737" t="s">
        <v>3869</v>
      </c>
      <c r="L1070" s="781"/>
      <c r="M1070" s="781"/>
      <c r="N1070" s="781"/>
      <c r="O1070" s="781"/>
      <c r="P1070" s="781"/>
      <c r="Q1070" s="781"/>
      <c r="R1070" s="781"/>
      <c r="S1070" s="781"/>
      <c r="T1070" s="781"/>
      <c r="U1070" s="781"/>
      <c r="V1070" s="781"/>
      <c r="W1070" s="781"/>
      <c r="X1070" s="781"/>
      <c r="Y1070" s="781"/>
      <c r="Z1070" s="781"/>
      <c r="AA1070" s="781"/>
      <c r="AB1070" s="781"/>
      <c r="AC1070" s="781"/>
      <c r="AD1070" s="781"/>
      <c r="AE1070" s="781"/>
      <c r="AF1070" s="781"/>
      <c r="AG1070" s="781"/>
      <c r="AH1070" s="781"/>
      <c r="AI1070" s="781"/>
      <c r="AJ1070" s="781"/>
      <c r="AK1070" s="781"/>
      <c r="AL1070" s="781"/>
      <c r="AM1070" s="781"/>
      <c r="AN1070" s="781"/>
      <c r="AO1070" s="781"/>
      <c r="AP1070" s="781"/>
      <c r="AQ1070" s="781"/>
      <c r="AR1070" s="781"/>
      <c r="AS1070" s="781"/>
      <c r="AT1070" s="781"/>
      <c r="AU1070" s="781"/>
    </row>
    <row r="1071" ht="15.75" customHeight="1">
      <c r="A1071" s="782">
        <v>44866.0</v>
      </c>
      <c r="B1071" s="783" t="s">
        <v>6662</v>
      </c>
      <c r="C1071" s="772" t="s">
        <v>3820</v>
      </c>
      <c r="D1071" s="772" t="s">
        <v>6346</v>
      </c>
      <c r="E1071" s="784">
        <v>15000.0</v>
      </c>
      <c r="F1071" s="772" t="s">
        <v>3886</v>
      </c>
      <c r="G1071" s="772" t="s">
        <v>105</v>
      </c>
      <c r="H1071" s="772" t="s">
        <v>29</v>
      </c>
      <c r="I1071" s="772" t="s">
        <v>5313</v>
      </c>
      <c r="J1071" s="782">
        <v>44085.0</v>
      </c>
      <c r="K1071" s="772" t="s">
        <v>3828</v>
      </c>
      <c r="L1071" s="781"/>
      <c r="M1071" s="781"/>
      <c r="N1071" s="781"/>
      <c r="O1071" s="781"/>
      <c r="P1071" s="781"/>
      <c r="Q1071" s="781"/>
      <c r="R1071" s="781"/>
      <c r="S1071" s="781"/>
      <c r="T1071" s="781"/>
      <c r="U1071" s="781"/>
      <c r="V1071" s="781"/>
      <c r="W1071" s="781"/>
      <c r="X1071" s="781"/>
      <c r="Y1071" s="781"/>
      <c r="Z1071" s="781"/>
      <c r="AA1071" s="781"/>
      <c r="AB1071" s="781"/>
      <c r="AC1071" s="781"/>
      <c r="AD1071" s="781"/>
      <c r="AE1071" s="781"/>
      <c r="AF1071" s="781"/>
      <c r="AG1071" s="781"/>
      <c r="AH1071" s="781"/>
      <c r="AI1071" s="781"/>
      <c r="AJ1071" s="781"/>
      <c r="AK1071" s="781"/>
      <c r="AL1071" s="781"/>
      <c r="AM1071" s="781"/>
      <c r="AN1071" s="781"/>
      <c r="AO1071" s="781"/>
      <c r="AP1071" s="781"/>
      <c r="AQ1071" s="781"/>
      <c r="AR1071" s="781"/>
      <c r="AS1071" s="781"/>
      <c r="AT1071" s="781"/>
      <c r="AU1071" s="781"/>
    </row>
    <row r="1072" ht="15.75" customHeight="1">
      <c r="A1072" s="782">
        <v>44868.0</v>
      </c>
      <c r="B1072" s="783" t="s">
        <v>6652</v>
      </c>
      <c r="C1072" s="772" t="s">
        <v>3820</v>
      </c>
      <c r="D1072" s="772" t="s">
        <v>6346</v>
      </c>
      <c r="E1072" s="784">
        <v>4500.0</v>
      </c>
      <c r="F1072" s="772" t="s">
        <v>554</v>
      </c>
      <c r="G1072" s="772" t="s">
        <v>18</v>
      </c>
      <c r="H1072" s="772" t="s">
        <v>29</v>
      </c>
      <c r="I1072" s="772" t="s">
        <v>60</v>
      </c>
      <c r="J1072" s="782">
        <v>44819.0</v>
      </c>
      <c r="K1072" s="772" t="s">
        <v>3836</v>
      </c>
      <c r="L1072" s="781"/>
      <c r="M1072" s="781"/>
      <c r="N1072" s="781"/>
      <c r="O1072" s="781"/>
      <c r="P1072" s="781"/>
      <c r="Q1072" s="781"/>
      <c r="R1072" s="781"/>
      <c r="S1072" s="781"/>
      <c r="T1072" s="781"/>
      <c r="U1072" s="781"/>
      <c r="V1072" s="781"/>
      <c r="W1072" s="781"/>
      <c r="X1072" s="781"/>
      <c r="Y1072" s="781"/>
      <c r="Z1072" s="781"/>
      <c r="AA1072" s="781"/>
      <c r="AB1072" s="781"/>
      <c r="AC1072" s="781"/>
      <c r="AD1072" s="781"/>
      <c r="AE1072" s="781"/>
      <c r="AF1072" s="781"/>
      <c r="AG1072" s="781"/>
      <c r="AH1072" s="781"/>
      <c r="AI1072" s="781"/>
      <c r="AJ1072" s="781"/>
      <c r="AK1072" s="781"/>
      <c r="AL1072" s="781"/>
      <c r="AM1072" s="781"/>
      <c r="AN1072" s="781"/>
      <c r="AO1072" s="781"/>
      <c r="AP1072" s="781"/>
      <c r="AQ1072" s="781"/>
      <c r="AR1072" s="781"/>
      <c r="AS1072" s="781"/>
      <c r="AT1072" s="781"/>
      <c r="AU1072" s="781"/>
    </row>
    <row r="1073" ht="15.75" customHeight="1">
      <c r="A1073" s="782">
        <v>44872.0</v>
      </c>
      <c r="B1073" s="783" t="s">
        <v>6661</v>
      </c>
      <c r="C1073" s="772" t="s">
        <v>3820</v>
      </c>
      <c r="D1073" s="772" t="s">
        <v>6346</v>
      </c>
      <c r="E1073" s="784">
        <v>6500.0</v>
      </c>
      <c r="F1073" s="772" t="s">
        <v>4896</v>
      </c>
      <c r="G1073" s="772" t="s">
        <v>18</v>
      </c>
      <c r="H1073" s="772" t="s">
        <v>29</v>
      </c>
      <c r="I1073" s="772" t="s">
        <v>122</v>
      </c>
      <c r="J1073" s="782">
        <v>44749.0</v>
      </c>
      <c r="K1073" s="772" t="s">
        <v>3834</v>
      </c>
      <c r="L1073" s="781"/>
      <c r="M1073" s="781"/>
      <c r="N1073" s="781"/>
      <c r="O1073" s="781"/>
      <c r="P1073" s="781"/>
      <c r="Q1073" s="781"/>
      <c r="R1073" s="781"/>
      <c r="S1073" s="781"/>
      <c r="T1073" s="781"/>
      <c r="U1073" s="781"/>
      <c r="V1073" s="781"/>
      <c r="W1073" s="781"/>
      <c r="X1073" s="781"/>
      <c r="Y1073" s="781"/>
      <c r="Z1073" s="781"/>
      <c r="AA1073" s="781"/>
      <c r="AB1073" s="781"/>
      <c r="AC1073" s="781"/>
      <c r="AD1073" s="781"/>
      <c r="AE1073" s="781"/>
      <c r="AF1073" s="781"/>
      <c r="AG1073" s="781"/>
      <c r="AH1073" s="781"/>
      <c r="AI1073" s="781"/>
      <c r="AJ1073" s="781"/>
      <c r="AK1073" s="781"/>
      <c r="AL1073" s="781"/>
      <c r="AM1073" s="781"/>
      <c r="AN1073" s="781"/>
      <c r="AO1073" s="781"/>
      <c r="AP1073" s="781"/>
      <c r="AQ1073" s="781"/>
      <c r="AR1073" s="781"/>
      <c r="AS1073" s="781"/>
      <c r="AT1073" s="781"/>
      <c r="AU1073" s="781"/>
    </row>
    <row r="1074" ht="15.75" customHeight="1">
      <c r="A1074" s="782">
        <v>44873.0</v>
      </c>
      <c r="B1074" s="783" t="s">
        <v>6663</v>
      </c>
      <c r="C1074" s="772" t="s">
        <v>3820</v>
      </c>
      <c r="D1074" s="772" t="s">
        <v>6346</v>
      </c>
      <c r="E1074" s="784">
        <v>100000.0</v>
      </c>
      <c r="F1074" s="772" t="s">
        <v>4753</v>
      </c>
      <c r="G1074" s="772" t="s">
        <v>18</v>
      </c>
      <c r="H1074" s="772" t="s">
        <v>19</v>
      </c>
      <c r="I1074" s="772" t="s">
        <v>213</v>
      </c>
      <c r="J1074" s="782">
        <v>44790.0</v>
      </c>
      <c r="K1074" s="772" t="s">
        <v>3836</v>
      </c>
      <c r="L1074" s="781"/>
      <c r="M1074" s="781"/>
      <c r="N1074" s="781"/>
      <c r="O1074" s="781"/>
      <c r="P1074" s="781"/>
      <c r="Q1074" s="781"/>
      <c r="R1074" s="781"/>
      <c r="S1074" s="781"/>
      <c r="T1074" s="781"/>
      <c r="U1074" s="781"/>
      <c r="V1074" s="781"/>
      <c r="W1074" s="781"/>
      <c r="X1074" s="781"/>
      <c r="Y1074" s="781"/>
      <c r="Z1074" s="781"/>
      <c r="AA1074" s="781"/>
      <c r="AB1074" s="781"/>
      <c r="AC1074" s="781"/>
      <c r="AD1074" s="781"/>
      <c r="AE1074" s="781"/>
      <c r="AF1074" s="781"/>
      <c r="AG1074" s="781"/>
      <c r="AH1074" s="781"/>
      <c r="AI1074" s="781"/>
      <c r="AJ1074" s="781"/>
      <c r="AK1074" s="781"/>
      <c r="AL1074" s="781"/>
      <c r="AM1074" s="781"/>
      <c r="AN1074" s="781"/>
      <c r="AO1074" s="781"/>
      <c r="AP1074" s="781"/>
      <c r="AQ1074" s="781"/>
      <c r="AR1074" s="781"/>
      <c r="AS1074" s="781"/>
      <c r="AT1074" s="781"/>
      <c r="AU1074" s="781"/>
    </row>
    <row r="1075" ht="15.75" customHeight="1">
      <c r="A1075" s="782">
        <v>44873.0</v>
      </c>
      <c r="B1075" s="843" t="s">
        <v>6511</v>
      </c>
      <c r="C1075" s="772" t="s">
        <v>3820</v>
      </c>
      <c r="D1075" s="772" t="s">
        <v>6346</v>
      </c>
      <c r="E1075" s="784">
        <v>30000.0</v>
      </c>
      <c r="F1075" s="772" t="s">
        <v>1552</v>
      </c>
      <c r="G1075" s="761" t="s">
        <v>18</v>
      </c>
      <c r="H1075" s="852" t="s">
        <v>29</v>
      </c>
      <c r="I1075" s="761" t="s">
        <v>6512</v>
      </c>
      <c r="J1075" s="808">
        <v>44594.0</v>
      </c>
      <c r="K1075" s="772" t="s">
        <v>3834</v>
      </c>
      <c r="L1075" s="781"/>
      <c r="M1075" s="781"/>
      <c r="N1075" s="781"/>
      <c r="O1075" s="781"/>
      <c r="P1075" s="781"/>
      <c r="Q1075" s="781"/>
      <c r="R1075" s="781"/>
      <c r="S1075" s="781"/>
      <c r="T1075" s="781"/>
      <c r="U1075" s="781"/>
      <c r="V1075" s="781"/>
      <c r="W1075" s="781"/>
      <c r="X1075" s="781"/>
      <c r="Y1075" s="781"/>
      <c r="Z1075" s="781"/>
      <c r="AA1075" s="781"/>
      <c r="AB1075" s="781"/>
      <c r="AC1075" s="781"/>
      <c r="AD1075" s="781"/>
      <c r="AE1075" s="781"/>
      <c r="AF1075" s="781"/>
      <c r="AG1075" s="781"/>
      <c r="AH1075" s="781"/>
      <c r="AI1075" s="781"/>
      <c r="AJ1075" s="781"/>
      <c r="AK1075" s="781"/>
      <c r="AL1075" s="781"/>
      <c r="AM1075" s="781"/>
      <c r="AN1075" s="781"/>
      <c r="AO1075" s="781"/>
      <c r="AP1075" s="781"/>
      <c r="AQ1075" s="781"/>
      <c r="AR1075" s="781"/>
      <c r="AS1075" s="781"/>
      <c r="AT1075" s="781"/>
      <c r="AU1075" s="781"/>
    </row>
    <row r="1076" ht="15.75" customHeight="1">
      <c r="A1076" s="782">
        <v>44874.0</v>
      </c>
      <c r="B1076" s="783" t="s">
        <v>6659</v>
      </c>
      <c r="C1076" s="772" t="s">
        <v>3820</v>
      </c>
      <c r="D1076" s="772" t="s">
        <v>6346</v>
      </c>
      <c r="E1076" s="784">
        <v>1000.0</v>
      </c>
      <c r="F1076" s="772" t="s">
        <v>6664</v>
      </c>
      <c r="G1076" s="772" t="s">
        <v>18</v>
      </c>
      <c r="H1076" s="772" t="s">
        <v>19</v>
      </c>
      <c r="I1076" s="772" t="s">
        <v>6631</v>
      </c>
      <c r="J1076" s="782">
        <v>44733.0</v>
      </c>
      <c r="K1076" s="772" t="s">
        <v>3836</v>
      </c>
      <c r="L1076" s="781"/>
      <c r="M1076" s="781"/>
      <c r="N1076" s="781"/>
      <c r="O1076" s="781"/>
      <c r="P1076" s="781"/>
      <c r="Q1076" s="781"/>
      <c r="R1076" s="781"/>
      <c r="S1076" s="781"/>
      <c r="T1076" s="781"/>
      <c r="U1076" s="781"/>
      <c r="V1076" s="781"/>
      <c r="W1076" s="781"/>
      <c r="X1076" s="781"/>
      <c r="Y1076" s="781"/>
      <c r="Z1076" s="781"/>
      <c r="AA1076" s="781"/>
      <c r="AB1076" s="781"/>
      <c r="AC1076" s="781"/>
      <c r="AD1076" s="781"/>
      <c r="AE1076" s="781"/>
      <c r="AF1076" s="781"/>
      <c r="AG1076" s="781"/>
      <c r="AH1076" s="781"/>
      <c r="AI1076" s="781"/>
      <c r="AJ1076" s="781"/>
      <c r="AK1076" s="781"/>
      <c r="AL1076" s="781"/>
      <c r="AM1076" s="781"/>
      <c r="AN1076" s="781"/>
      <c r="AO1076" s="781"/>
      <c r="AP1076" s="781"/>
      <c r="AQ1076" s="781"/>
      <c r="AR1076" s="781"/>
      <c r="AS1076" s="781"/>
      <c r="AT1076" s="781"/>
      <c r="AU1076" s="781"/>
    </row>
    <row r="1077" ht="15.75" customHeight="1">
      <c r="A1077" s="782">
        <v>44874.0</v>
      </c>
      <c r="B1077" s="783" t="s">
        <v>6665</v>
      </c>
      <c r="C1077" s="772" t="s">
        <v>3820</v>
      </c>
      <c r="D1077" s="772" t="s">
        <v>6346</v>
      </c>
      <c r="E1077" s="784">
        <v>60000.0</v>
      </c>
      <c r="F1077" s="772" t="s">
        <v>2332</v>
      </c>
      <c r="G1077" s="772" t="s">
        <v>18</v>
      </c>
      <c r="H1077" s="772" t="s">
        <v>29</v>
      </c>
      <c r="I1077" s="772" t="s">
        <v>168</v>
      </c>
      <c r="J1077" s="782">
        <v>44802.0</v>
      </c>
      <c r="K1077" s="772" t="s">
        <v>3834</v>
      </c>
      <c r="L1077" s="781"/>
      <c r="M1077" s="781"/>
      <c r="N1077" s="781"/>
      <c r="O1077" s="781"/>
      <c r="P1077" s="781"/>
      <c r="Q1077" s="781"/>
      <c r="R1077" s="781"/>
      <c r="S1077" s="781"/>
      <c r="T1077" s="781"/>
      <c r="U1077" s="781"/>
      <c r="V1077" s="781"/>
      <c r="W1077" s="781"/>
      <c r="X1077" s="781"/>
      <c r="Y1077" s="781"/>
      <c r="Z1077" s="781"/>
      <c r="AA1077" s="781"/>
      <c r="AB1077" s="781"/>
      <c r="AC1077" s="781"/>
      <c r="AD1077" s="781"/>
      <c r="AE1077" s="781"/>
      <c r="AF1077" s="781"/>
      <c r="AG1077" s="781"/>
      <c r="AH1077" s="781"/>
      <c r="AI1077" s="781"/>
      <c r="AJ1077" s="781"/>
      <c r="AK1077" s="781"/>
      <c r="AL1077" s="781"/>
      <c r="AM1077" s="781"/>
      <c r="AN1077" s="781"/>
      <c r="AO1077" s="781"/>
      <c r="AP1077" s="781"/>
      <c r="AQ1077" s="781"/>
      <c r="AR1077" s="781"/>
      <c r="AS1077" s="781"/>
      <c r="AT1077" s="781"/>
      <c r="AU1077" s="781"/>
    </row>
    <row r="1078" ht="15.75" customHeight="1">
      <c r="A1078" s="782">
        <v>44874.0</v>
      </c>
      <c r="B1078" s="783" t="s">
        <v>6607</v>
      </c>
      <c r="C1078" s="772" t="s">
        <v>3820</v>
      </c>
      <c r="D1078" s="772" t="s">
        <v>6346</v>
      </c>
      <c r="E1078" s="784">
        <v>8000.0</v>
      </c>
      <c r="F1078" s="772" t="s">
        <v>4735</v>
      </c>
      <c r="G1078" s="772" t="s">
        <v>18</v>
      </c>
      <c r="H1078" s="772" t="s">
        <v>29</v>
      </c>
      <c r="I1078" s="772" t="s">
        <v>2803</v>
      </c>
      <c r="J1078" s="782">
        <v>44393.0</v>
      </c>
      <c r="K1078" s="772" t="s">
        <v>3824</v>
      </c>
      <c r="L1078" s="781"/>
      <c r="M1078" s="781"/>
      <c r="N1078" s="781"/>
      <c r="O1078" s="781"/>
      <c r="P1078" s="781"/>
      <c r="Q1078" s="781"/>
      <c r="R1078" s="781"/>
      <c r="S1078" s="781"/>
      <c r="T1078" s="781"/>
      <c r="U1078" s="781"/>
      <c r="V1078" s="781"/>
      <c r="W1078" s="781"/>
      <c r="X1078" s="781"/>
      <c r="Y1078" s="781"/>
      <c r="Z1078" s="781"/>
      <c r="AA1078" s="781"/>
      <c r="AB1078" s="781"/>
      <c r="AC1078" s="781"/>
      <c r="AD1078" s="781"/>
      <c r="AE1078" s="781"/>
      <c r="AF1078" s="781"/>
      <c r="AG1078" s="781"/>
      <c r="AH1078" s="781"/>
      <c r="AI1078" s="781"/>
      <c r="AJ1078" s="781"/>
      <c r="AK1078" s="781"/>
      <c r="AL1078" s="781"/>
      <c r="AM1078" s="781"/>
      <c r="AN1078" s="781"/>
      <c r="AO1078" s="781"/>
      <c r="AP1078" s="781"/>
      <c r="AQ1078" s="781"/>
      <c r="AR1078" s="781"/>
      <c r="AS1078" s="781"/>
      <c r="AT1078" s="781"/>
      <c r="AU1078" s="781"/>
    </row>
    <row r="1079" ht="15.75" customHeight="1">
      <c r="A1079" s="782">
        <v>44875.0</v>
      </c>
      <c r="B1079" s="783" t="s">
        <v>6666</v>
      </c>
      <c r="C1079" s="772" t="s">
        <v>3820</v>
      </c>
      <c r="D1079" s="772" t="s">
        <v>6346</v>
      </c>
      <c r="E1079" s="784">
        <v>6000.0</v>
      </c>
      <c r="F1079" s="772" t="s">
        <v>336</v>
      </c>
      <c r="G1079" s="772" t="s">
        <v>18</v>
      </c>
      <c r="H1079" s="772" t="s">
        <v>19</v>
      </c>
      <c r="I1079" s="772" t="s">
        <v>122</v>
      </c>
      <c r="J1079" s="782">
        <v>44767.0</v>
      </c>
      <c r="K1079" s="772" t="s">
        <v>3834</v>
      </c>
      <c r="L1079" s="781"/>
      <c r="M1079" s="781"/>
      <c r="N1079" s="781"/>
      <c r="O1079" s="781"/>
      <c r="P1079" s="781"/>
      <c r="Q1079" s="781"/>
      <c r="R1079" s="781"/>
      <c r="S1079" s="781"/>
      <c r="T1079" s="781"/>
      <c r="U1079" s="781"/>
      <c r="V1079" s="781"/>
      <c r="W1079" s="781"/>
      <c r="X1079" s="781"/>
      <c r="Y1079" s="781"/>
      <c r="Z1079" s="781"/>
      <c r="AA1079" s="781"/>
      <c r="AB1079" s="781"/>
      <c r="AC1079" s="781"/>
      <c r="AD1079" s="781"/>
      <c r="AE1079" s="781"/>
      <c r="AF1079" s="781"/>
      <c r="AG1079" s="781"/>
      <c r="AH1079" s="781"/>
      <c r="AI1079" s="781"/>
      <c r="AJ1079" s="781"/>
      <c r="AK1079" s="781"/>
      <c r="AL1079" s="781"/>
      <c r="AM1079" s="781"/>
      <c r="AN1079" s="781"/>
      <c r="AO1079" s="781"/>
      <c r="AP1079" s="781"/>
      <c r="AQ1079" s="781"/>
      <c r="AR1079" s="781"/>
      <c r="AS1079" s="781"/>
      <c r="AT1079" s="781"/>
      <c r="AU1079" s="781"/>
    </row>
    <row r="1080" ht="15.75" customHeight="1">
      <c r="A1080" s="782">
        <v>44879.0</v>
      </c>
      <c r="B1080" s="827" t="s">
        <v>6637</v>
      </c>
      <c r="C1080" s="797" t="s">
        <v>3820</v>
      </c>
      <c r="D1080" s="772" t="s">
        <v>6346</v>
      </c>
      <c r="E1080" s="798">
        <v>85000.0</v>
      </c>
      <c r="F1080" s="772" t="s">
        <v>4867</v>
      </c>
      <c r="G1080" s="782" t="s">
        <v>18</v>
      </c>
      <c r="H1080" s="782" t="s">
        <v>19</v>
      </c>
      <c r="I1080" s="782" t="s">
        <v>213</v>
      </c>
      <c r="J1080" s="782">
        <v>44698.0</v>
      </c>
      <c r="K1080" s="782" t="s">
        <v>3840</v>
      </c>
      <c r="L1080" s="781"/>
      <c r="M1080" s="781"/>
      <c r="N1080" s="781"/>
      <c r="O1080" s="781"/>
      <c r="P1080" s="781"/>
      <c r="Q1080" s="781"/>
      <c r="R1080" s="781"/>
      <c r="S1080" s="781"/>
      <c r="T1080" s="781"/>
      <c r="U1080" s="781"/>
      <c r="V1080" s="781"/>
      <c r="W1080" s="781"/>
      <c r="X1080" s="781"/>
      <c r="Y1080" s="781"/>
      <c r="Z1080" s="781"/>
      <c r="AA1080" s="781"/>
      <c r="AB1080" s="781"/>
      <c r="AC1080" s="781"/>
      <c r="AD1080" s="781"/>
      <c r="AE1080" s="781"/>
      <c r="AF1080" s="781"/>
      <c r="AG1080" s="781"/>
      <c r="AH1080" s="781"/>
      <c r="AI1080" s="781"/>
      <c r="AJ1080" s="781"/>
      <c r="AK1080" s="781"/>
      <c r="AL1080" s="781"/>
      <c r="AM1080" s="781"/>
      <c r="AN1080" s="781"/>
      <c r="AO1080" s="781"/>
      <c r="AP1080" s="781"/>
      <c r="AQ1080" s="781"/>
      <c r="AR1080" s="781"/>
      <c r="AS1080" s="781"/>
      <c r="AT1080" s="781"/>
      <c r="AU1080" s="781"/>
    </row>
    <row r="1081" ht="15.75" customHeight="1">
      <c r="A1081" s="782">
        <v>44879.0</v>
      </c>
      <c r="B1081" s="737">
        <v>5681841.0</v>
      </c>
      <c r="C1081" s="737" t="s">
        <v>3820</v>
      </c>
      <c r="D1081" s="772" t="s">
        <v>6346</v>
      </c>
      <c r="E1081" s="784">
        <v>100000.0</v>
      </c>
      <c r="F1081" s="852" t="s">
        <v>5260</v>
      </c>
      <c r="G1081" s="761" t="s">
        <v>18</v>
      </c>
      <c r="H1081" s="772" t="s">
        <v>19</v>
      </c>
      <c r="I1081" s="772" t="s">
        <v>122</v>
      </c>
      <c r="J1081" s="819">
        <v>44469.0</v>
      </c>
      <c r="K1081" s="810" t="s">
        <v>3836</v>
      </c>
      <c r="L1081" s="781"/>
      <c r="M1081" s="781"/>
      <c r="N1081" s="781"/>
      <c r="O1081" s="781"/>
      <c r="P1081" s="781"/>
      <c r="Q1081" s="781"/>
      <c r="R1081" s="781"/>
      <c r="S1081" s="781"/>
      <c r="T1081" s="781"/>
      <c r="U1081" s="781"/>
      <c r="V1081" s="781"/>
      <c r="W1081" s="781"/>
      <c r="X1081" s="781"/>
      <c r="Y1081" s="781"/>
      <c r="Z1081" s="781"/>
      <c r="AA1081" s="781"/>
      <c r="AB1081" s="781"/>
      <c r="AC1081" s="781"/>
      <c r="AD1081" s="781"/>
      <c r="AE1081" s="781"/>
      <c r="AF1081" s="781"/>
      <c r="AG1081" s="781"/>
      <c r="AH1081" s="781"/>
      <c r="AI1081" s="781"/>
      <c r="AJ1081" s="781"/>
      <c r="AK1081" s="781"/>
      <c r="AL1081" s="781"/>
      <c r="AM1081" s="781"/>
      <c r="AN1081" s="781"/>
      <c r="AO1081" s="781"/>
      <c r="AP1081" s="781"/>
      <c r="AQ1081" s="781"/>
      <c r="AR1081" s="781"/>
      <c r="AS1081" s="781"/>
      <c r="AT1081" s="781"/>
      <c r="AU1081" s="781"/>
    </row>
    <row r="1082" ht="15.75" customHeight="1">
      <c r="A1082" s="782">
        <v>44881.0</v>
      </c>
      <c r="B1082" s="783" t="s">
        <v>6667</v>
      </c>
      <c r="C1082" s="772" t="s">
        <v>3820</v>
      </c>
      <c r="D1082" s="772" t="s">
        <v>6346</v>
      </c>
      <c r="E1082" s="784">
        <v>5000.0</v>
      </c>
      <c r="F1082" s="772" t="s">
        <v>207</v>
      </c>
      <c r="G1082" s="772" t="s">
        <v>105</v>
      </c>
      <c r="H1082" s="772" t="s">
        <v>29</v>
      </c>
      <c r="I1082" s="772" t="s">
        <v>3873</v>
      </c>
      <c r="J1082" s="782">
        <v>44231.0</v>
      </c>
      <c r="K1082" s="772" t="s">
        <v>3840</v>
      </c>
      <c r="L1082" s="781"/>
      <c r="M1082" s="781"/>
      <c r="N1082" s="781"/>
      <c r="O1082" s="781"/>
      <c r="P1082" s="781"/>
      <c r="Q1082" s="781"/>
      <c r="R1082" s="781"/>
      <c r="S1082" s="781"/>
      <c r="T1082" s="781"/>
      <c r="U1082" s="781"/>
      <c r="V1082" s="781"/>
      <c r="W1082" s="781"/>
      <c r="X1082" s="781"/>
      <c r="Y1082" s="781"/>
      <c r="Z1082" s="781"/>
      <c r="AA1082" s="781"/>
      <c r="AB1082" s="781"/>
      <c r="AC1082" s="781"/>
      <c r="AD1082" s="781"/>
      <c r="AE1082" s="781"/>
      <c r="AF1082" s="781"/>
      <c r="AG1082" s="781"/>
      <c r="AH1082" s="781"/>
      <c r="AI1082" s="781"/>
      <c r="AJ1082" s="781"/>
      <c r="AK1082" s="781"/>
      <c r="AL1082" s="781"/>
      <c r="AM1082" s="781"/>
      <c r="AN1082" s="781"/>
      <c r="AO1082" s="781"/>
      <c r="AP1082" s="781"/>
      <c r="AQ1082" s="781"/>
      <c r="AR1082" s="781"/>
      <c r="AS1082" s="781"/>
      <c r="AT1082" s="781"/>
      <c r="AU1082" s="781"/>
    </row>
    <row r="1083" ht="15.75" customHeight="1">
      <c r="A1083" s="782">
        <v>44881.0</v>
      </c>
      <c r="B1083" s="830" t="s">
        <v>6502</v>
      </c>
      <c r="C1083" s="797" t="s">
        <v>3820</v>
      </c>
      <c r="D1083" s="772" t="s">
        <v>6346</v>
      </c>
      <c r="E1083" s="798">
        <v>20000.0</v>
      </c>
      <c r="F1083" s="772" t="s">
        <v>3972</v>
      </c>
      <c r="G1083" s="772" t="s">
        <v>18</v>
      </c>
      <c r="H1083" s="772" t="s">
        <v>29</v>
      </c>
      <c r="I1083" s="772" t="s">
        <v>3973</v>
      </c>
      <c r="J1083" s="782">
        <v>44061.0</v>
      </c>
      <c r="K1083" s="772" t="s">
        <v>3828</v>
      </c>
      <c r="L1083" s="781"/>
      <c r="M1083" s="781"/>
      <c r="N1083" s="781"/>
      <c r="O1083" s="781"/>
      <c r="P1083" s="781"/>
      <c r="Q1083" s="781"/>
      <c r="R1083" s="781"/>
      <c r="S1083" s="781"/>
      <c r="T1083" s="781"/>
      <c r="U1083" s="781"/>
      <c r="V1083" s="781"/>
      <c r="W1083" s="781"/>
      <c r="X1083" s="781"/>
      <c r="Y1083" s="781"/>
      <c r="Z1083" s="781"/>
      <c r="AA1083" s="781"/>
      <c r="AB1083" s="781"/>
      <c r="AC1083" s="781"/>
      <c r="AD1083" s="781"/>
      <c r="AE1083" s="781"/>
      <c r="AF1083" s="781"/>
      <c r="AG1083" s="781"/>
      <c r="AH1083" s="781"/>
      <c r="AI1083" s="781"/>
      <c r="AJ1083" s="781"/>
      <c r="AK1083" s="781"/>
      <c r="AL1083" s="781"/>
      <c r="AM1083" s="781"/>
      <c r="AN1083" s="781"/>
      <c r="AO1083" s="781"/>
      <c r="AP1083" s="781"/>
      <c r="AQ1083" s="781"/>
      <c r="AR1083" s="781"/>
      <c r="AS1083" s="781"/>
      <c r="AT1083" s="781"/>
      <c r="AU1083" s="781"/>
    </row>
    <row r="1084" ht="15.75" customHeight="1">
      <c r="A1084" s="782">
        <v>44882.0</v>
      </c>
      <c r="B1084" s="783" t="s">
        <v>6668</v>
      </c>
      <c r="C1084" s="772" t="s">
        <v>3820</v>
      </c>
      <c r="D1084" s="772" t="s">
        <v>6346</v>
      </c>
      <c r="E1084" s="784">
        <v>10000.0</v>
      </c>
      <c r="F1084" s="772" t="s">
        <v>2874</v>
      </c>
      <c r="G1084" s="772" t="s">
        <v>18</v>
      </c>
      <c r="H1084" s="772" t="s">
        <v>29</v>
      </c>
      <c r="I1084" s="772" t="s">
        <v>168</v>
      </c>
      <c r="J1084" s="782">
        <v>44644.0</v>
      </c>
      <c r="K1084" s="772" t="s">
        <v>3834</v>
      </c>
      <c r="L1084" s="781"/>
      <c r="M1084" s="781"/>
      <c r="N1084" s="781"/>
      <c r="O1084" s="781"/>
      <c r="P1084" s="781"/>
      <c r="Q1084" s="781"/>
      <c r="R1084" s="781"/>
      <c r="S1084" s="781"/>
      <c r="T1084" s="781"/>
      <c r="U1084" s="781"/>
      <c r="V1084" s="781"/>
      <c r="W1084" s="781"/>
      <c r="X1084" s="781"/>
      <c r="Y1084" s="781"/>
      <c r="Z1084" s="781"/>
      <c r="AA1084" s="781"/>
      <c r="AB1084" s="781"/>
      <c r="AC1084" s="781"/>
      <c r="AD1084" s="781"/>
      <c r="AE1084" s="781"/>
      <c r="AF1084" s="781"/>
      <c r="AG1084" s="781"/>
      <c r="AH1084" s="781"/>
      <c r="AI1084" s="781"/>
      <c r="AJ1084" s="781"/>
      <c r="AK1084" s="781"/>
      <c r="AL1084" s="781"/>
      <c r="AM1084" s="781"/>
      <c r="AN1084" s="781"/>
      <c r="AO1084" s="781"/>
      <c r="AP1084" s="781"/>
      <c r="AQ1084" s="781"/>
      <c r="AR1084" s="781"/>
      <c r="AS1084" s="781"/>
      <c r="AT1084" s="781"/>
      <c r="AU1084" s="781"/>
    </row>
    <row r="1085" ht="15.75" customHeight="1">
      <c r="A1085" s="782">
        <v>44887.0</v>
      </c>
      <c r="B1085" s="783" t="s">
        <v>6669</v>
      </c>
      <c r="C1085" s="772" t="s">
        <v>3820</v>
      </c>
      <c r="D1085" s="772" t="s">
        <v>6346</v>
      </c>
      <c r="E1085" s="784">
        <v>18042.73</v>
      </c>
      <c r="F1085" s="772" t="s">
        <v>4622</v>
      </c>
      <c r="G1085" s="772" t="s">
        <v>18</v>
      </c>
      <c r="H1085" s="772" t="s">
        <v>19</v>
      </c>
      <c r="I1085" s="772" t="s">
        <v>1805</v>
      </c>
      <c r="J1085" s="772" t="s">
        <v>2600</v>
      </c>
      <c r="K1085" s="772" t="s">
        <v>3834</v>
      </c>
      <c r="L1085" s="781"/>
      <c r="M1085" s="781"/>
      <c r="N1085" s="781"/>
      <c r="O1085" s="781"/>
      <c r="P1085" s="781"/>
      <c r="Q1085" s="781"/>
      <c r="R1085" s="781"/>
      <c r="S1085" s="781"/>
      <c r="T1085" s="781"/>
      <c r="U1085" s="781"/>
      <c r="V1085" s="781"/>
      <c r="W1085" s="781"/>
      <c r="X1085" s="781"/>
      <c r="Y1085" s="781"/>
      <c r="Z1085" s="781"/>
      <c r="AA1085" s="781"/>
      <c r="AB1085" s="781"/>
      <c r="AC1085" s="781"/>
      <c r="AD1085" s="781"/>
      <c r="AE1085" s="781"/>
      <c r="AF1085" s="781"/>
      <c r="AG1085" s="781"/>
      <c r="AH1085" s="781"/>
      <c r="AI1085" s="781"/>
      <c r="AJ1085" s="781"/>
      <c r="AK1085" s="781"/>
      <c r="AL1085" s="781"/>
      <c r="AM1085" s="781"/>
      <c r="AN1085" s="781"/>
      <c r="AO1085" s="781"/>
      <c r="AP1085" s="781"/>
      <c r="AQ1085" s="781"/>
      <c r="AR1085" s="781"/>
      <c r="AS1085" s="781"/>
      <c r="AT1085" s="781"/>
      <c r="AU1085" s="781"/>
    </row>
    <row r="1086" ht="15.75" customHeight="1">
      <c r="A1086" s="782">
        <v>44889.0</v>
      </c>
      <c r="B1086" s="783" t="s">
        <v>6607</v>
      </c>
      <c r="C1086" s="772" t="s">
        <v>3820</v>
      </c>
      <c r="D1086" s="772" t="s">
        <v>6346</v>
      </c>
      <c r="E1086" s="784">
        <v>33000.0</v>
      </c>
      <c r="F1086" s="772" t="s">
        <v>4735</v>
      </c>
      <c r="G1086" s="772" t="s">
        <v>18</v>
      </c>
      <c r="H1086" s="772" t="s">
        <v>29</v>
      </c>
      <c r="I1086" s="772" t="s">
        <v>2803</v>
      </c>
      <c r="J1086" s="782">
        <v>44393.0</v>
      </c>
      <c r="K1086" s="772" t="s">
        <v>3824</v>
      </c>
      <c r="L1086" s="781"/>
      <c r="M1086" s="781"/>
      <c r="N1086" s="781"/>
      <c r="O1086" s="781"/>
      <c r="P1086" s="781"/>
      <c r="Q1086" s="781"/>
      <c r="R1086" s="781"/>
      <c r="S1086" s="781"/>
      <c r="T1086" s="781"/>
      <c r="U1086" s="781"/>
      <c r="V1086" s="781"/>
      <c r="W1086" s="781"/>
      <c r="X1086" s="781"/>
      <c r="Y1086" s="781"/>
      <c r="Z1086" s="781"/>
      <c r="AA1086" s="781"/>
      <c r="AB1086" s="781"/>
      <c r="AC1086" s="781"/>
      <c r="AD1086" s="781"/>
      <c r="AE1086" s="781"/>
      <c r="AF1086" s="781"/>
      <c r="AG1086" s="781"/>
      <c r="AH1086" s="781"/>
      <c r="AI1086" s="781"/>
      <c r="AJ1086" s="781"/>
      <c r="AK1086" s="781"/>
      <c r="AL1086" s="781"/>
      <c r="AM1086" s="781"/>
      <c r="AN1086" s="781"/>
      <c r="AO1086" s="781"/>
      <c r="AP1086" s="781"/>
      <c r="AQ1086" s="781"/>
      <c r="AR1086" s="781"/>
      <c r="AS1086" s="781"/>
      <c r="AT1086" s="781"/>
      <c r="AU1086" s="781"/>
    </row>
    <row r="1087" ht="15.75" customHeight="1">
      <c r="A1087" s="811">
        <v>44889.0</v>
      </c>
      <c r="B1087" s="812" t="s">
        <v>6518</v>
      </c>
      <c r="C1087" s="813" t="s">
        <v>3820</v>
      </c>
      <c r="D1087" s="814" t="s">
        <v>6346</v>
      </c>
      <c r="E1087" s="815">
        <v>7000.0</v>
      </c>
      <c r="F1087" s="814" t="s">
        <v>3867</v>
      </c>
      <c r="G1087" s="814" t="s">
        <v>18</v>
      </c>
      <c r="H1087" s="814" t="s">
        <v>19</v>
      </c>
      <c r="I1087" s="814" t="s">
        <v>20</v>
      </c>
      <c r="J1087" s="816">
        <v>44609.0</v>
      </c>
      <c r="K1087" s="813" t="s">
        <v>3836</v>
      </c>
      <c r="L1087" s="781"/>
      <c r="M1087" s="781"/>
      <c r="N1087" s="781"/>
      <c r="O1087" s="781"/>
      <c r="P1087" s="781"/>
      <c r="Q1087" s="781"/>
      <c r="R1087" s="781"/>
      <c r="S1087" s="781"/>
      <c r="T1087" s="781"/>
      <c r="U1087" s="781"/>
      <c r="V1087" s="781"/>
      <c r="W1087" s="781"/>
      <c r="X1087" s="781"/>
      <c r="Y1087" s="781"/>
      <c r="Z1087" s="781"/>
      <c r="AA1087" s="781"/>
      <c r="AB1087" s="781"/>
      <c r="AC1087" s="781"/>
      <c r="AD1087" s="781"/>
      <c r="AE1087" s="781"/>
      <c r="AF1087" s="781"/>
      <c r="AG1087" s="781"/>
      <c r="AH1087" s="781"/>
      <c r="AI1087" s="781"/>
      <c r="AJ1087" s="781"/>
      <c r="AK1087" s="781"/>
      <c r="AL1087" s="781"/>
      <c r="AM1087" s="781"/>
      <c r="AN1087" s="781"/>
      <c r="AO1087" s="781"/>
      <c r="AP1087" s="781"/>
      <c r="AQ1087" s="781"/>
      <c r="AR1087" s="781"/>
      <c r="AS1087" s="781"/>
      <c r="AT1087" s="781"/>
      <c r="AU1087" s="781"/>
    </row>
    <row r="1088" ht="15.75" customHeight="1">
      <c r="A1088" s="811">
        <v>44889.0</v>
      </c>
      <c r="B1088" s="812" t="s">
        <v>6518</v>
      </c>
      <c r="C1088" s="813" t="s">
        <v>3820</v>
      </c>
      <c r="D1088" s="814" t="s">
        <v>6346</v>
      </c>
      <c r="E1088" s="815">
        <v>7000.0</v>
      </c>
      <c r="F1088" s="814" t="s">
        <v>3867</v>
      </c>
      <c r="G1088" s="814" t="s">
        <v>18</v>
      </c>
      <c r="H1088" s="814" t="s">
        <v>19</v>
      </c>
      <c r="I1088" s="814" t="s">
        <v>20</v>
      </c>
      <c r="J1088" s="816">
        <v>44609.0</v>
      </c>
      <c r="K1088" s="813" t="s">
        <v>3836</v>
      </c>
      <c r="L1088" s="781"/>
      <c r="M1088" s="781"/>
      <c r="N1088" s="781"/>
      <c r="O1088" s="781"/>
      <c r="P1088" s="781"/>
      <c r="Q1088" s="781"/>
      <c r="R1088" s="781"/>
      <c r="S1088" s="781"/>
      <c r="T1088" s="781"/>
      <c r="U1088" s="781"/>
      <c r="V1088" s="781"/>
      <c r="W1088" s="781"/>
      <c r="X1088" s="781"/>
      <c r="Y1088" s="781"/>
      <c r="Z1088" s="781"/>
      <c r="AA1088" s="781"/>
      <c r="AB1088" s="781"/>
      <c r="AC1088" s="781"/>
      <c r="AD1088" s="781"/>
      <c r="AE1088" s="781"/>
      <c r="AF1088" s="781"/>
      <c r="AG1088" s="781"/>
      <c r="AH1088" s="781"/>
      <c r="AI1088" s="781"/>
      <c r="AJ1088" s="781"/>
      <c r="AK1088" s="781"/>
      <c r="AL1088" s="781"/>
      <c r="AM1088" s="781"/>
      <c r="AN1088" s="781"/>
      <c r="AO1088" s="781"/>
      <c r="AP1088" s="781"/>
      <c r="AQ1088" s="781"/>
      <c r="AR1088" s="781"/>
      <c r="AS1088" s="781"/>
      <c r="AT1088" s="781"/>
      <c r="AU1088" s="781"/>
    </row>
    <row r="1089" ht="15.75" customHeight="1">
      <c r="A1089" s="782">
        <v>44890.0</v>
      </c>
      <c r="B1089" s="783" t="s">
        <v>6670</v>
      </c>
      <c r="C1089" s="772" t="s">
        <v>3820</v>
      </c>
      <c r="D1089" s="772" t="s">
        <v>6346</v>
      </c>
      <c r="E1089" s="784">
        <v>3000.0</v>
      </c>
      <c r="F1089" s="772" t="s">
        <v>6671</v>
      </c>
      <c r="G1089" s="772" t="s">
        <v>105</v>
      </c>
      <c r="H1089" s="772" t="s">
        <v>29</v>
      </c>
      <c r="I1089" s="772" t="s">
        <v>4170</v>
      </c>
      <c r="J1089" s="782">
        <v>44840.0</v>
      </c>
      <c r="K1089" s="772" t="s">
        <v>3834</v>
      </c>
      <c r="L1089" s="781"/>
      <c r="M1089" s="781"/>
      <c r="N1089" s="781"/>
      <c r="O1089" s="781"/>
      <c r="P1089" s="781"/>
      <c r="Q1089" s="781"/>
      <c r="R1089" s="781"/>
      <c r="S1089" s="781"/>
      <c r="T1089" s="781"/>
      <c r="U1089" s="781"/>
      <c r="V1089" s="781"/>
      <c r="W1089" s="781"/>
      <c r="X1089" s="781"/>
      <c r="Y1089" s="781"/>
      <c r="Z1089" s="781"/>
      <c r="AA1089" s="781"/>
      <c r="AB1089" s="781"/>
      <c r="AC1089" s="781"/>
      <c r="AD1089" s="781"/>
      <c r="AE1089" s="781"/>
      <c r="AF1089" s="781"/>
      <c r="AG1089" s="781"/>
      <c r="AH1089" s="781"/>
      <c r="AI1089" s="781"/>
      <c r="AJ1089" s="781"/>
      <c r="AK1089" s="781"/>
      <c r="AL1089" s="781"/>
      <c r="AM1089" s="781"/>
      <c r="AN1089" s="781"/>
      <c r="AO1089" s="781"/>
      <c r="AP1089" s="781"/>
      <c r="AQ1089" s="781"/>
      <c r="AR1089" s="781"/>
      <c r="AS1089" s="781"/>
      <c r="AT1089" s="781"/>
      <c r="AU1089" s="781"/>
    </row>
    <row r="1090" ht="15.75" customHeight="1">
      <c r="A1090" s="782">
        <v>44890.0</v>
      </c>
      <c r="B1090" s="812" t="s">
        <v>6593</v>
      </c>
      <c r="C1090" s="813" t="s">
        <v>3820</v>
      </c>
      <c r="D1090" s="814" t="s">
        <v>6346</v>
      </c>
      <c r="E1090" s="815">
        <v>300000.0</v>
      </c>
      <c r="F1090" s="814" t="s">
        <v>1416</v>
      </c>
      <c r="G1090" s="814" t="s">
        <v>18</v>
      </c>
      <c r="H1090" s="814" t="s">
        <v>19</v>
      </c>
      <c r="I1090" s="814" t="s">
        <v>122</v>
      </c>
      <c r="J1090" s="816">
        <v>44568.0</v>
      </c>
      <c r="K1090" s="813" t="s">
        <v>4479</v>
      </c>
      <c r="L1090" s="781"/>
      <c r="M1090" s="781"/>
      <c r="N1090" s="781"/>
      <c r="O1090" s="781"/>
      <c r="P1090" s="781"/>
      <c r="Q1090" s="781"/>
      <c r="R1090" s="781"/>
      <c r="S1090" s="781"/>
      <c r="T1090" s="781"/>
      <c r="U1090" s="781"/>
      <c r="V1090" s="781"/>
      <c r="W1090" s="781"/>
      <c r="X1090" s="781"/>
      <c r="Y1090" s="781"/>
      <c r="Z1090" s="781"/>
      <c r="AA1090" s="781"/>
      <c r="AB1090" s="781"/>
      <c r="AC1090" s="781"/>
      <c r="AD1090" s="781"/>
      <c r="AE1090" s="781"/>
      <c r="AF1090" s="781"/>
      <c r="AG1090" s="781"/>
      <c r="AH1090" s="781"/>
      <c r="AI1090" s="781"/>
      <c r="AJ1090" s="781"/>
      <c r="AK1090" s="781"/>
      <c r="AL1090" s="781"/>
      <c r="AM1090" s="781"/>
      <c r="AN1090" s="781"/>
      <c r="AO1090" s="781"/>
      <c r="AP1090" s="781"/>
      <c r="AQ1090" s="781"/>
      <c r="AR1090" s="781"/>
      <c r="AS1090" s="781"/>
      <c r="AT1090" s="781"/>
      <c r="AU1090" s="781"/>
    </row>
    <row r="1091" ht="15.75" customHeight="1">
      <c r="A1091" s="782">
        <v>44890.0</v>
      </c>
      <c r="B1091" s="783" t="s">
        <v>6605</v>
      </c>
      <c r="C1091" s="772" t="s">
        <v>3820</v>
      </c>
      <c r="D1091" s="772" t="s">
        <v>6346</v>
      </c>
      <c r="E1091" s="784">
        <v>5000.0</v>
      </c>
      <c r="F1091" s="772" t="s">
        <v>6606</v>
      </c>
      <c r="G1091" s="772" t="s">
        <v>18</v>
      </c>
      <c r="H1091" s="772" t="s">
        <v>29</v>
      </c>
      <c r="I1091" s="772" t="s">
        <v>704</v>
      </c>
      <c r="J1091" s="782">
        <v>44460.0</v>
      </c>
      <c r="K1091" s="772" t="s">
        <v>3834</v>
      </c>
      <c r="L1091" s="781"/>
      <c r="M1091" s="781"/>
      <c r="N1091" s="781"/>
      <c r="O1091" s="781"/>
      <c r="P1091" s="781"/>
      <c r="Q1091" s="781"/>
      <c r="R1091" s="781"/>
      <c r="S1091" s="781"/>
      <c r="T1091" s="781"/>
      <c r="U1091" s="781"/>
      <c r="V1091" s="781"/>
      <c r="W1091" s="781"/>
      <c r="X1091" s="781"/>
      <c r="Y1091" s="781"/>
      <c r="Z1091" s="781"/>
      <c r="AA1091" s="781"/>
      <c r="AB1091" s="781"/>
      <c r="AC1091" s="781"/>
      <c r="AD1091" s="781"/>
      <c r="AE1091" s="781"/>
      <c r="AF1091" s="781"/>
      <c r="AG1091" s="781"/>
      <c r="AH1091" s="781"/>
      <c r="AI1091" s="781"/>
      <c r="AJ1091" s="781"/>
      <c r="AK1091" s="781"/>
      <c r="AL1091" s="781"/>
      <c r="AM1091" s="781"/>
      <c r="AN1091" s="781"/>
      <c r="AO1091" s="781"/>
      <c r="AP1091" s="781"/>
      <c r="AQ1091" s="781"/>
      <c r="AR1091" s="781"/>
      <c r="AS1091" s="781"/>
      <c r="AT1091" s="781"/>
      <c r="AU1091" s="781"/>
    </row>
    <row r="1092" ht="15.75" customHeight="1">
      <c r="A1092" s="782">
        <v>44893.0</v>
      </c>
      <c r="B1092" s="783" t="s">
        <v>6672</v>
      </c>
      <c r="C1092" s="772" t="s">
        <v>3820</v>
      </c>
      <c r="D1092" s="772" t="s">
        <v>6346</v>
      </c>
      <c r="E1092" s="784">
        <v>30000.0</v>
      </c>
      <c r="F1092" s="772" t="s">
        <v>5171</v>
      </c>
      <c r="G1092" s="772" t="s">
        <v>18</v>
      </c>
      <c r="H1092" s="772" t="s">
        <v>19</v>
      </c>
      <c r="I1092" s="772" t="s">
        <v>3660</v>
      </c>
      <c r="J1092" s="782">
        <v>44186.0</v>
      </c>
      <c r="K1092" s="772" t="s">
        <v>3824</v>
      </c>
      <c r="L1092" s="781"/>
      <c r="M1092" s="781"/>
      <c r="N1092" s="781"/>
      <c r="O1092" s="781"/>
      <c r="P1092" s="781"/>
      <c r="Q1092" s="781"/>
      <c r="R1092" s="781"/>
      <c r="S1092" s="781"/>
      <c r="T1092" s="781"/>
      <c r="U1092" s="781"/>
      <c r="V1092" s="781"/>
      <c r="W1092" s="781"/>
      <c r="X1092" s="781"/>
      <c r="Y1092" s="781"/>
      <c r="Z1092" s="781"/>
      <c r="AA1092" s="781"/>
      <c r="AB1092" s="781"/>
      <c r="AC1092" s="781"/>
      <c r="AD1092" s="781"/>
      <c r="AE1092" s="781"/>
      <c r="AF1092" s="781"/>
      <c r="AG1092" s="781"/>
      <c r="AH1092" s="781"/>
      <c r="AI1092" s="781"/>
      <c r="AJ1092" s="781"/>
      <c r="AK1092" s="781"/>
      <c r="AL1092" s="781"/>
      <c r="AM1092" s="781"/>
      <c r="AN1092" s="781"/>
      <c r="AO1092" s="781"/>
      <c r="AP1092" s="781"/>
      <c r="AQ1092" s="781"/>
      <c r="AR1092" s="781"/>
      <c r="AS1092" s="781"/>
      <c r="AT1092" s="781"/>
      <c r="AU1092" s="781"/>
    </row>
    <row r="1093" ht="15.75" customHeight="1">
      <c r="A1093" s="782">
        <v>44893.0</v>
      </c>
      <c r="B1093" s="843">
        <v>6986262.0</v>
      </c>
      <c r="C1093" s="772" t="s">
        <v>3820</v>
      </c>
      <c r="D1093" s="772" t="s">
        <v>6346</v>
      </c>
      <c r="E1093" s="784">
        <v>4386.42</v>
      </c>
      <c r="F1093" s="772" t="s">
        <v>4312</v>
      </c>
      <c r="G1093" s="761" t="s">
        <v>18</v>
      </c>
      <c r="H1093" s="772" t="s">
        <v>19</v>
      </c>
      <c r="I1093" s="772" t="s">
        <v>4152</v>
      </c>
      <c r="J1093" s="782">
        <v>44503.0</v>
      </c>
      <c r="K1093" s="737" t="s">
        <v>3869</v>
      </c>
      <c r="L1093" s="781"/>
      <c r="M1093" s="781"/>
      <c r="N1093" s="781"/>
      <c r="O1093" s="781"/>
      <c r="P1093" s="781"/>
      <c r="Q1093" s="781"/>
      <c r="R1093" s="781"/>
      <c r="S1093" s="781"/>
      <c r="T1093" s="781"/>
      <c r="U1093" s="781"/>
      <c r="V1093" s="781"/>
      <c r="W1093" s="781"/>
      <c r="X1093" s="781"/>
      <c r="Y1093" s="781"/>
      <c r="Z1093" s="781"/>
      <c r="AA1093" s="781"/>
      <c r="AB1093" s="781"/>
      <c r="AC1093" s="781"/>
      <c r="AD1093" s="781"/>
      <c r="AE1093" s="781"/>
      <c r="AF1093" s="781"/>
      <c r="AG1093" s="781"/>
      <c r="AH1093" s="781"/>
      <c r="AI1093" s="781"/>
      <c r="AJ1093" s="781"/>
      <c r="AK1093" s="781"/>
      <c r="AL1093" s="781"/>
      <c r="AM1093" s="781"/>
      <c r="AN1093" s="781"/>
      <c r="AO1093" s="781"/>
      <c r="AP1093" s="781"/>
      <c r="AQ1093" s="781"/>
      <c r="AR1093" s="781"/>
      <c r="AS1093" s="781"/>
      <c r="AT1093" s="781"/>
      <c r="AU1093" s="781"/>
    </row>
    <row r="1094" ht="15.75" customHeight="1">
      <c r="A1094" s="782">
        <v>44894.0</v>
      </c>
      <c r="B1094" s="783" t="s">
        <v>6637</v>
      </c>
      <c r="C1094" s="772" t="s">
        <v>3820</v>
      </c>
      <c r="D1094" s="772" t="s">
        <v>1481</v>
      </c>
      <c r="E1094" s="784">
        <v>377183.5</v>
      </c>
      <c r="F1094" s="772" t="s">
        <v>4867</v>
      </c>
      <c r="G1094" s="772" t="s">
        <v>18</v>
      </c>
      <c r="H1094" s="772" t="s">
        <v>19</v>
      </c>
      <c r="I1094" s="772" t="s">
        <v>213</v>
      </c>
      <c r="J1094" s="782">
        <v>44714.0</v>
      </c>
      <c r="K1094" s="772" t="s">
        <v>3840</v>
      </c>
      <c r="L1094" s="781"/>
      <c r="M1094" s="781"/>
      <c r="N1094" s="781"/>
      <c r="O1094" s="781"/>
      <c r="P1094" s="781"/>
      <c r="Q1094" s="781"/>
      <c r="R1094" s="781"/>
      <c r="S1094" s="781"/>
      <c r="T1094" s="781"/>
      <c r="U1094" s="781"/>
      <c r="V1094" s="781"/>
      <c r="W1094" s="781"/>
      <c r="X1094" s="781"/>
      <c r="Y1094" s="781"/>
      <c r="Z1094" s="781"/>
      <c r="AA1094" s="781"/>
      <c r="AB1094" s="781"/>
      <c r="AC1094" s="781"/>
      <c r="AD1094" s="781"/>
      <c r="AE1094" s="781"/>
      <c r="AF1094" s="781"/>
      <c r="AG1094" s="781"/>
      <c r="AH1094" s="781"/>
      <c r="AI1094" s="781"/>
      <c r="AJ1094" s="781"/>
      <c r="AK1094" s="781"/>
      <c r="AL1094" s="781"/>
      <c r="AM1094" s="781"/>
      <c r="AN1094" s="781"/>
      <c r="AO1094" s="781"/>
      <c r="AP1094" s="781"/>
      <c r="AQ1094" s="781"/>
      <c r="AR1094" s="781"/>
      <c r="AS1094" s="781"/>
      <c r="AT1094" s="781"/>
      <c r="AU1094" s="781"/>
    </row>
    <row r="1095" ht="15.75" customHeight="1">
      <c r="A1095" s="782">
        <v>44894.0</v>
      </c>
      <c r="B1095" s="783" t="s">
        <v>6673</v>
      </c>
      <c r="C1095" s="772" t="s">
        <v>3820</v>
      </c>
      <c r="D1095" s="772" t="s">
        <v>6346</v>
      </c>
      <c r="E1095" s="784">
        <v>60000.0</v>
      </c>
      <c r="F1095" s="772" t="s">
        <v>1750</v>
      </c>
      <c r="G1095" s="772" t="s">
        <v>18</v>
      </c>
      <c r="H1095" s="772" t="s">
        <v>19</v>
      </c>
      <c r="I1095" s="772" t="s">
        <v>122</v>
      </c>
      <c r="J1095" s="782">
        <v>44714.0</v>
      </c>
      <c r="K1095" s="772" t="s">
        <v>3836</v>
      </c>
      <c r="L1095" s="781"/>
      <c r="M1095" s="781"/>
      <c r="N1095" s="781"/>
      <c r="O1095" s="781"/>
      <c r="P1095" s="781"/>
      <c r="Q1095" s="781"/>
      <c r="R1095" s="781"/>
      <c r="S1095" s="781"/>
      <c r="T1095" s="781"/>
      <c r="U1095" s="781"/>
      <c r="V1095" s="781"/>
      <c r="W1095" s="781"/>
      <c r="X1095" s="781"/>
      <c r="Y1095" s="781"/>
      <c r="Z1095" s="781"/>
      <c r="AA1095" s="781"/>
      <c r="AB1095" s="781"/>
      <c r="AC1095" s="781"/>
      <c r="AD1095" s="781"/>
      <c r="AE1095" s="781"/>
      <c r="AF1095" s="781"/>
      <c r="AG1095" s="781"/>
      <c r="AH1095" s="781"/>
      <c r="AI1095" s="781"/>
      <c r="AJ1095" s="781"/>
      <c r="AK1095" s="781"/>
      <c r="AL1095" s="781"/>
      <c r="AM1095" s="781"/>
      <c r="AN1095" s="781"/>
      <c r="AO1095" s="781"/>
      <c r="AP1095" s="781"/>
      <c r="AQ1095" s="781"/>
      <c r="AR1095" s="781"/>
      <c r="AS1095" s="781"/>
      <c r="AT1095" s="781"/>
      <c r="AU1095" s="781"/>
    </row>
    <row r="1096" ht="15.75" customHeight="1">
      <c r="A1096" s="782">
        <v>44895.0</v>
      </c>
      <c r="B1096" s="783" t="s">
        <v>6543</v>
      </c>
      <c r="C1096" s="737" t="s">
        <v>3820</v>
      </c>
      <c r="D1096" s="772" t="s">
        <v>6346</v>
      </c>
      <c r="E1096" s="784">
        <v>15000.0</v>
      </c>
      <c r="F1096" s="737" t="s">
        <v>1819</v>
      </c>
      <c r="G1096" s="772" t="s">
        <v>18</v>
      </c>
      <c r="H1096" s="772" t="s">
        <v>19</v>
      </c>
      <c r="I1096" s="772" t="s">
        <v>20</v>
      </c>
      <c r="J1096" s="782">
        <v>44614.0</v>
      </c>
      <c r="K1096" s="810" t="s">
        <v>3828</v>
      </c>
      <c r="L1096" s="781"/>
      <c r="M1096" s="781"/>
      <c r="N1096" s="781"/>
      <c r="O1096" s="781"/>
      <c r="P1096" s="781"/>
      <c r="Q1096" s="781"/>
      <c r="R1096" s="781"/>
      <c r="S1096" s="781"/>
      <c r="T1096" s="781"/>
      <c r="U1096" s="781"/>
      <c r="V1096" s="781"/>
      <c r="W1096" s="781"/>
      <c r="X1096" s="781"/>
      <c r="Y1096" s="781"/>
      <c r="Z1096" s="781"/>
      <c r="AA1096" s="781"/>
      <c r="AB1096" s="781"/>
      <c r="AC1096" s="781"/>
      <c r="AD1096" s="781"/>
      <c r="AE1096" s="781"/>
      <c r="AF1096" s="781"/>
      <c r="AG1096" s="781"/>
      <c r="AH1096" s="781"/>
      <c r="AI1096" s="781"/>
      <c r="AJ1096" s="781"/>
      <c r="AK1096" s="781"/>
      <c r="AL1096" s="781"/>
      <c r="AM1096" s="781"/>
      <c r="AN1096" s="781"/>
      <c r="AO1096" s="781"/>
      <c r="AP1096" s="781"/>
      <c r="AQ1096" s="781"/>
      <c r="AR1096" s="781"/>
      <c r="AS1096" s="781"/>
      <c r="AT1096" s="781"/>
      <c r="AU1096" s="781"/>
    </row>
    <row r="1097" ht="15.75" customHeight="1">
      <c r="A1097" s="782">
        <v>44896.0</v>
      </c>
      <c r="B1097" s="827" t="s">
        <v>6511</v>
      </c>
      <c r="C1097" s="797" t="s">
        <v>3820</v>
      </c>
      <c r="D1097" s="772" t="s">
        <v>6346</v>
      </c>
      <c r="E1097" s="798">
        <v>30000.0</v>
      </c>
      <c r="F1097" s="772" t="s">
        <v>1552</v>
      </c>
      <c r="G1097" s="782" t="s">
        <v>18</v>
      </c>
      <c r="H1097" s="782" t="s">
        <v>29</v>
      </c>
      <c r="I1097" s="782" t="s">
        <v>6338</v>
      </c>
      <c r="J1097" s="782">
        <v>44594.0</v>
      </c>
      <c r="K1097" s="782" t="s">
        <v>3834</v>
      </c>
      <c r="L1097" s="781"/>
      <c r="M1097" s="781"/>
      <c r="N1097" s="781"/>
      <c r="O1097" s="781"/>
      <c r="P1097" s="781"/>
      <c r="Q1097" s="781"/>
      <c r="R1097" s="781"/>
      <c r="S1097" s="781"/>
      <c r="T1097" s="781"/>
      <c r="U1097" s="781"/>
      <c r="V1097" s="781"/>
      <c r="W1097" s="781"/>
      <c r="X1097" s="781"/>
      <c r="Y1097" s="781"/>
      <c r="Z1097" s="781"/>
      <c r="AA1097" s="781"/>
      <c r="AB1097" s="781"/>
      <c r="AC1097" s="781"/>
      <c r="AD1097" s="781"/>
      <c r="AE1097" s="781"/>
      <c r="AF1097" s="781"/>
      <c r="AG1097" s="781"/>
      <c r="AH1097" s="781"/>
      <c r="AI1097" s="781"/>
      <c r="AJ1097" s="781"/>
      <c r="AK1097" s="781"/>
      <c r="AL1097" s="781"/>
      <c r="AM1097" s="781"/>
      <c r="AN1097" s="781"/>
      <c r="AO1097" s="781"/>
      <c r="AP1097" s="781"/>
      <c r="AQ1097" s="781"/>
      <c r="AR1097" s="781"/>
      <c r="AS1097" s="781"/>
      <c r="AT1097" s="781"/>
      <c r="AU1097" s="781"/>
    </row>
    <row r="1098" ht="15.75" customHeight="1">
      <c r="A1098" s="782">
        <v>44896.0</v>
      </c>
      <c r="B1098" s="783" t="s">
        <v>6673</v>
      </c>
      <c r="C1098" s="772" t="s">
        <v>3820</v>
      </c>
      <c r="D1098" s="772" t="s">
        <v>6346</v>
      </c>
      <c r="E1098" s="784">
        <v>60000.0</v>
      </c>
      <c r="F1098" s="772" t="s">
        <v>1750</v>
      </c>
      <c r="G1098" s="772" t="s">
        <v>18</v>
      </c>
      <c r="H1098" s="772" t="s">
        <v>19</v>
      </c>
      <c r="I1098" s="772" t="s">
        <v>122</v>
      </c>
      <c r="J1098" s="782">
        <v>44714.0</v>
      </c>
      <c r="K1098" s="772" t="s">
        <v>3836</v>
      </c>
      <c r="L1098" s="781"/>
      <c r="M1098" s="781"/>
      <c r="N1098" s="781"/>
      <c r="O1098" s="781"/>
      <c r="P1098" s="781"/>
      <c r="Q1098" s="781"/>
      <c r="R1098" s="781"/>
      <c r="S1098" s="781"/>
      <c r="T1098" s="781"/>
      <c r="U1098" s="781"/>
      <c r="V1098" s="781"/>
      <c r="W1098" s="781"/>
      <c r="X1098" s="781"/>
      <c r="Y1098" s="781"/>
      <c r="Z1098" s="781"/>
      <c r="AA1098" s="781"/>
      <c r="AB1098" s="781"/>
      <c r="AC1098" s="781"/>
      <c r="AD1098" s="781"/>
      <c r="AE1098" s="781"/>
      <c r="AF1098" s="781"/>
      <c r="AG1098" s="781"/>
      <c r="AH1098" s="781"/>
      <c r="AI1098" s="781"/>
      <c r="AJ1098" s="781"/>
      <c r="AK1098" s="781"/>
      <c r="AL1098" s="781"/>
      <c r="AM1098" s="781"/>
      <c r="AN1098" s="781"/>
      <c r="AO1098" s="781"/>
      <c r="AP1098" s="781"/>
      <c r="AQ1098" s="781"/>
      <c r="AR1098" s="781"/>
      <c r="AS1098" s="781"/>
      <c r="AT1098" s="781"/>
      <c r="AU1098" s="781"/>
    </row>
    <row r="1099" ht="15.75" customHeight="1">
      <c r="A1099" s="782">
        <v>44897.0</v>
      </c>
      <c r="B1099" s="783" t="s">
        <v>6590</v>
      </c>
      <c r="C1099" s="772" t="s">
        <v>3820</v>
      </c>
      <c r="D1099" s="772" t="s">
        <v>6346</v>
      </c>
      <c r="E1099" s="784">
        <v>30000.0</v>
      </c>
      <c r="F1099" s="772" t="s">
        <v>4118</v>
      </c>
      <c r="G1099" s="772" t="s">
        <v>18</v>
      </c>
      <c r="H1099" s="772" t="s">
        <v>19</v>
      </c>
      <c r="I1099" s="772" t="s">
        <v>5029</v>
      </c>
      <c r="J1099" s="782">
        <v>44445.0</v>
      </c>
      <c r="K1099" s="772" t="s">
        <v>3834</v>
      </c>
      <c r="L1099" s="781"/>
      <c r="M1099" s="781"/>
      <c r="N1099" s="781"/>
      <c r="O1099" s="781"/>
      <c r="P1099" s="781"/>
      <c r="Q1099" s="781"/>
      <c r="R1099" s="781"/>
      <c r="S1099" s="781"/>
      <c r="T1099" s="781"/>
      <c r="U1099" s="781"/>
      <c r="V1099" s="781"/>
      <c r="W1099" s="781"/>
      <c r="X1099" s="781"/>
      <c r="Y1099" s="781"/>
      <c r="Z1099" s="781"/>
      <c r="AA1099" s="781"/>
      <c r="AB1099" s="781"/>
      <c r="AC1099" s="781"/>
      <c r="AD1099" s="781"/>
      <c r="AE1099" s="781"/>
      <c r="AF1099" s="781"/>
      <c r="AG1099" s="781"/>
      <c r="AH1099" s="781"/>
      <c r="AI1099" s="781"/>
      <c r="AJ1099" s="781"/>
      <c r="AK1099" s="781"/>
      <c r="AL1099" s="781"/>
      <c r="AM1099" s="781"/>
      <c r="AN1099" s="781"/>
      <c r="AO1099" s="781"/>
      <c r="AP1099" s="781"/>
      <c r="AQ1099" s="781"/>
      <c r="AR1099" s="781"/>
      <c r="AS1099" s="781"/>
      <c r="AT1099" s="781"/>
      <c r="AU1099" s="781"/>
    </row>
    <row r="1100" ht="15.75" customHeight="1">
      <c r="A1100" s="782">
        <v>44901.0</v>
      </c>
      <c r="B1100" s="875">
        <v>3241823.0</v>
      </c>
      <c r="C1100" s="772" t="s">
        <v>3820</v>
      </c>
      <c r="D1100" s="772" t="s">
        <v>6346</v>
      </c>
      <c r="E1100" s="784">
        <v>1620.0</v>
      </c>
      <c r="F1100" s="772" t="s">
        <v>554</v>
      </c>
      <c r="G1100" s="772" t="s">
        <v>18</v>
      </c>
      <c r="H1100" s="772" t="s">
        <v>29</v>
      </c>
      <c r="I1100" s="772" t="s">
        <v>60</v>
      </c>
      <c r="J1100" s="782">
        <v>44819.0</v>
      </c>
      <c r="K1100" s="772" t="s">
        <v>3836</v>
      </c>
      <c r="L1100" s="781"/>
      <c r="M1100" s="781"/>
      <c r="N1100" s="781"/>
      <c r="O1100" s="781"/>
      <c r="P1100" s="781"/>
      <c r="Q1100" s="781"/>
      <c r="R1100" s="781"/>
      <c r="S1100" s="781"/>
      <c r="T1100" s="781"/>
      <c r="U1100" s="781"/>
      <c r="V1100" s="781"/>
      <c r="W1100" s="781"/>
      <c r="X1100" s="781"/>
      <c r="Y1100" s="781"/>
      <c r="Z1100" s="781"/>
      <c r="AA1100" s="781"/>
      <c r="AB1100" s="781"/>
      <c r="AC1100" s="781"/>
      <c r="AD1100" s="781"/>
      <c r="AE1100" s="781"/>
      <c r="AF1100" s="781"/>
      <c r="AG1100" s="781"/>
      <c r="AH1100" s="781"/>
      <c r="AI1100" s="781"/>
      <c r="AJ1100" s="781"/>
      <c r="AK1100" s="781"/>
      <c r="AL1100" s="781"/>
      <c r="AM1100" s="781"/>
      <c r="AN1100" s="781"/>
      <c r="AO1100" s="781"/>
      <c r="AP1100" s="781"/>
      <c r="AQ1100" s="781"/>
      <c r="AR1100" s="781"/>
      <c r="AS1100" s="781"/>
      <c r="AT1100" s="781"/>
      <c r="AU1100" s="781"/>
    </row>
    <row r="1101" ht="15.75" customHeight="1">
      <c r="A1101" s="782">
        <v>44901.0</v>
      </c>
      <c r="B1101" s="783" t="s">
        <v>6665</v>
      </c>
      <c r="C1101" s="772" t="s">
        <v>3820</v>
      </c>
      <c r="D1101" s="772" t="s">
        <v>6346</v>
      </c>
      <c r="E1101" s="784">
        <v>80000.0</v>
      </c>
      <c r="F1101" s="772" t="s">
        <v>2332</v>
      </c>
      <c r="G1101" s="772" t="s">
        <v>18</v>
      </c>
      <c r="H1101" s="772" t="s">
        <v>29</v>
      </c>
      <c r="I1101" s="772" t="s">
        <v>168</v>
      </c>
      <c r="J1101" s="782">
        <v>44802.0</v>
      </c>
      <c r="K1101" s="772" t="s">
        <v>3834</v>
      </c>
      <c r="L1101" s="781"/>
      <c r="M1101" s="781"/>
      <c r="N1101" s="781"/>
      <c r="O1101" s="781"/>
      <c r="P1101" s="781"/>
      <c r="Q1101" s="781"/>
      <c r="R1101" s="781"/>
      <c r="S1101" s="781"/>
      <c r="T1101" s="781"/>
      <c r="U1101" s="781"/>
      <c r="V1101" s="781"/>
      <c r="W1101" s="781"/>
      <c r="X1101" s="781"/>
      <c r="Y1101" s="781"/>
      <c r="Z1101" s="781"/>
      <c r="AA1101" s="781"/>
      <c r="AB1101" s="781"/>
      <c r="AC1101" s="781"/>
      <c r="AD1101" s="781"/>
      <c r="AE1101" s="781"/>
      <c r="AF1101" s="781"/>
      <c r="AG1101" s="781"/>
      <c r="AH1101" s="781"/>
      <c r="AI1101" s="781"/>
      <c r="AJ1101" s="781"/>
      <c r="AK1101" s="781"/>
      <c r="AL1101" s="781"/>
      <c r="AM1101" s="781"/>
      <c r="AN1101" s="781"/>
      <c r="AO1101" s="781"/>
      <c r="AP1101" s="781"/>
      <c r="AQ1101" s="781"/>
      <c r="AR1101" s="781"/>
      <c r="AS1101" s="781"/>
      <c r="AT1101" s="781"/>
      <c r="AU1101" s="781"/>
    </row>
    <row r="1102" ht="15.75" customHeight="1">
      <c r="A1102" s="782">
        <v>44901.0</v>
      </c>
      <c r="B1102" s="783" t="s">
        <v>6672</v>
      </c>
      <c r="C1102" s="772" t="s">
        <v>3820</v>
      </c>
      <c r="D1102" s="772" t="s">
        <v>6345</v>
      </c>
      <c r="E1102" s="784">
        <v>159092.51</v>
      </c>
      <c r="F1102" s="772" t="s">
        <v>5171</v>
      </c>
      <c r="G1102" s="772" t="s">
        <v>18</v>
      </c>
      <c r="H1102" s="772" t="s">
        <v>19</v>
      </c>
      <c r="I1102" s="772" t="s">
        <v>3660</v>
      </c>
      <c r="J1102" s="782">
        <v>44186.0</v>
      </c>
      <c r="K1102" s="772" t="s">
        <v>3824</v>
      </c>
      <c r="L1102" s="781"/>
      <c r="M1102" s="781"/>
      <c r="N1102" s="781"/>
      <c r="O1102" s="781"/>
      <c r="P1102" s="781"/>
      <c r="Q1102" s="781"/>
      <c r="R1102" s="781"/>
      <c r="S1102" s="781"/>
      <c r="T1102" s="781"/>
      <c r="U1102" s="781"/>
      <c r="V1102" s="781"/>
      <c r="W1102" s="781"/>
      <c r="X1102" s="781"/>
      <c r="Y1102" s="781"/>
      <c r="Z1102" s="781"/>
      <c r="AA1102" s="781"/>
      <c r="AB1102" s="781"/>
      <c r="AC1102" s="781"/>
      <c r="AD1102" s="781"/>
      <c r="AE1102" s="781"/>
      <c r="AF1102" s="781"/>
      <c r="AG1102" s="781"/>
      <c r="AH1102" s="781"/>
      <c r="AI1102" s="781"/>
      <c r="AJ1102" s="781"/>
      <c r="AK1102" s="781"/>
      <c r="AL1102" s="781"/>
      <c r="AM1102" s="781"/>
      <c r="AN1102" s="781"/>
      <c r="AO1102" s="781"/>
      <c r="AP1102" s="781"/>
      <c r="AQ1102" s="781"/>
      <c r="AR1102" s="781"/>
      <c r="AS1102" s="781"/>
      <c r="AT1102" s="781"/>
      <c r="AU1102" s="781"/>
    </row>
    <row r="1103" ht="15.75" customHeight="1">
      <c r="A1103" s="782">
        <v>44907.0</v>
      </c>
      <c r="B1103" s="783">
        <v>4432780.0</v>
      </c>
      <c r="C1103" s="772" t="s">
        <v>3820</v>
      </c>
      <c r="D1103" s="772" t="s">
        <v>1481</v>
      </c>
      <c r="E1103" s="784">
        <v>101114.41</v>
      </c>
      <c r="F1103" s="772" t="s">
        <v>3939</v>
      </c>
      <c r="G1103" s="772" t="s">
        <v>18</v>
      </c>
      <c r="H1103" s="772" t="s">
        <v>6674</v>
      </c>
      <c r="I1103" s="772" t="s">
        <v>6675</v>
      </c>
      <c r="J1103" s="782">
        <v>44078.0</v>
      </c>
      <c r="K1103" s="772" t="s">
        <v>3840</v>
      </c>
      <c r="L1103" s="781"/>
      <c r="M1103" s="781"/>
      <c r="N1103" s="781"/>
      <c r="O1103" s="781"/>
      <c r="P1103" s="781"/>
      <c r="Q1103" s="781"/>
      <c r="R1103" s="781"/>
      <c r="S1103" s="781"/>
      <c r="T1103" s="781"/>
      <c r="U1103" s="781"/>
      <c r="V1103" s="781"/>
      <c r="W1103" s="781"/>
      <c r="X1103" s="781"/>
      <c r="Y1103" s="781"/>
      <c r="Z1103" s="781"/>
      <c r="AA1103" s="781"/>
      <c r="AB1103" s="781"/>
      <c r="AC1103" s="781"/>
      <c r="AD1103" s="781"/>
      <c r="AE1103" s="781"/>
      <c r="AF1103" s="781"/>
      <c r="AG1103" s="781"/>
      <c r="AH1103" s="781"/>
      <c r="AI1103" s="781"/>
      <c r="AJ1103" s="781"/>
      <c r="AK1103" s="781"/>
      <c r="AL1103" s="781"/>
      <c r="AM1103" s="781"/>
      <c r="AN1103" s="781"/>
      <c r="AO1103" s="781"/>
      <c r="AP1103" s="781"/>
      <c r="AQ1103" s="781"/>
      <c r="AR1103" s="781"/>
      <c r="AS1103" s="781"/>
      <c r="AT1103" s="781"/>
      <c r="AU1103" s="781"/>
    </row>
    <row r="1104" ht="15.75" customHeight="1">
      <c r="A1104" s="782">
        <v>44896.0</v>
      </c>
      <c r="B1104" s="783" t="s">
        <v>6676</v>
      </c>
      <c r="C1104" s="772" t="s">
        <v>3820</v>
      </c>
      <c r="D1104" s="772" t="s">
        <v>6345</v>
      </c>
      <c r="E1104" s="784">
        <v>179504.09</v>
      </c>
      <c r="F1104" s="772" t="s">
        <v>4672</v>
      </c>
      <c r="G1104" s="772" t="s">
        <v>105</v>
      </c>
      <c r="H1104" s="772" t="s">
        <v>29</v>
      </c>
      <c r="I1104" s="772" t="s">
        <v>3660</v>
      </c>
      <c r="J1104" s="782">
        <v>44246.0</v>
      </c>
      <c r="K1104" s="772" t="s">
        <v>3828</v>
      </c>
      <c r="L1104" s="781"/>
      <c r="M1104" s="781"/>
      <c r="N1104" s="781"/>
      <c r="O1104" s="781"/>
      <c r="P1104" s="781"/>
      <c r="Q1104" s="781"/>
      <c r="R1104" s="781"/>
      <c r="S1104" s="781"/>
      <c r="T1104" s="781"/>
      <c r="U1104" s="781"/>
      <c r="V1104" s="781"/>
      <c r="W1104" s="781"/>
      <c r="X1104" s="781"/>
      <c r="Y1104" s="781"/>
      <c r="Z1104" s="781"/>
      <c r="AA1104" s="781"/>
      <c r="AB1104" s="781"/>
      <c r="AC1104" s="781"/>
      <c r="AD1104" s="781"/>
      <c r="AE1104" s="781"/>
      <c r="AF1104" s="781"/>
      <c r="AG1104" s="781"/>
      <c r="AH1104" s="781"/>
      <c r="AI1104" s="781"/>
      <c r="AJ1104" s="781"/>
      <c r="AK1104" s="781"/>
      <c r="AL1104" s="781"/>
      <c r="AM1104" s="781"/>
      <c r="AN1104" s="781"/>
      <c r="AO1104" s="781"/>
      <c r="AP1104" s="781"/>
      <c r="AQ1104" s="781"/>
      <c r="AR1104" s="781"/>
      <c r="AS1104" s="781"/>
      <c r="AT1104" s="781"/>
      <c r="AU1104" s="781"/>
    </row>
    <row r="1105" ht="15.75" customHeight="1">
      <c r="A1105" s="782">
        <v>44895.0</v>
      </c>
      <c r="B1105" s="783" t="s">
        <v>6677</v>
      </c>
      <c r="C1105" s="772" t="s">
        <v>3820</v>
      </c>
      <c r="D1105" s="772" t="s">
        <v>6345</v>
      </c>
      <c r="E1105" s="784" t="s">
        <v>6678</v>
      </c>
      <c r="F1105" s="774" t="s">
        <v>5217</v>
      </c>
      <c r="G1105" s="772" t="s">
        <v>18</v>
      </c>
      <c r="H1105" s="772" t="s">
        <v>19</v>
      </c>
      <c r="I1105" s="772" t="s">
        <v>256</v>
      </c>
      <c r="J1105" s="782">
        <v>44390.0</v>
      </c>
      <c r="K1105" s="772" t="s">
        <v>3840</v>
      </c>
      <c r="L1105" s="781"/>
      <c r="M1105" s="781"/>
      <c r="N1105" s="781"/>
      <c r="O1105" s="781"/>
      <c r="P1105" s="781"/>
      <c r="Q1105" s="781"/>
      <c r="R1105" s="781"/>
      <c r="S1105" s="781"/>
      <c r="T1105" s="781"/>
      <c r="U1105" s="781"/>
      <c r="V1105" s="781"/>
      <c r="W1105" s="781"/>
      <c r="X1105" s="781"/>
      <c r="Y1105" s="781"/>
      <c r="Z1105" s="781"/>
      <c r="AA1105" s="781"/>
      <c r="AB1105" s="781"/>
      <c r="AC1105" s="781"/>
      <c r="AD1105" s="781"/>
      <c r="AE1105" s="781"/>
      <c r="AF1105" s="781"/>
      <c r="AG1105" s="781"/>
      <c r="AH1105" s="781"/>
      <c r="AI1105" s="781"/>
      <c r="AJ1105" s="781"/>
      <c r="AK1105" s="781"/>
      <c r="AL1105" s="781"/>
      <c r="AM1105" s="781"/>
      <c r="AN1105" s="781"/>
      <c r="AO1105" s="781"/>
      <c r="AP1105" s="781"/>
      <c r="AQ1105" s="781"/>
      <c r="AR1105" s="781"/>
      <c r="AS1105" s="781"/>
      <c r="AT1105" s="781"/>
      <c r="AU1105" s="781"/>
    </row>
    <row r="1106" ht="15.75" customHeight="1">
      <c r="A1106" s="782">
        <v>44901.0</v>
      </c>
      <c r="B1106" s="783" t="s">
        <v>6672</v>
      </c>
      <c r="C1106" s="772" t="s">
        <v>3820</v>
      </c>
      <c r="D1106" s="772" t="s">
        <v>6345</v>
      </c>
      <c r="E1106" s="784">
        <v>156195.12</v>
      </c>
      <c r="F1106" s="772" t="s">
        <v>5171</v>
      </c>
      <c r="G1106" s="772" t="s">
        <v>105</v>
      </c>
      <c r="H1106" s="772" t="s">
        <v>29</v>
      </c>
      <c r="I1106" s="772" t="s">
        <v>3660</v>
      </c>
      <c r="J1106" s="782">
        <v>44186.0</v>
      </c>
      <c r="K1106" s="772" t="s">
        <v>3824</v>
      </c>
      <c r="L1106" s="781"/>
      <c r="M1106" s="781"/>
      <c r="N1106" s="781"/>
      <c r="O1106" s="781"/>
      <c r="P1106" s="781"/>
      <c r="Q1106" s="781"/>
      <c r="R1106" s="781"/>
      <c r="S1106" s="781"/>
      <c r="T1106" s="781"/>
      <c r="U1106" s="781"/>
      <c r="V1106" s="781"/>
      <c r="W1106" s="781"/>
      <c r="X1106" s="781"/>
      <c r="Y1106" s="781"/>
      <c r="Z1106" s="781"/>
      <c r="AA1106" s="781"/>
      <c r="AB1106" s="781"/>
      <c r="AC1106" s="781"/>
      <c r="AD1106" s="781"/>
      <c r="AE1106" s="781"/>
      <c r="AF1106" s="781"/>
      <c r="AG1106" s="781"/>
      <c r="AH1106" s="781"/>
      <c r="AI1106" s="781"/>
      <c r="AJ1106" s="781"/>
      <c r="AK1106" s="781"/>
      <c r="AL1106" s="781"/>
      <c r="AM1106" s="781"/>
      <c r="AN1106" s="781"/>
      <c r="AO1106" s="781"/>
      <c r="AP1106" s="781"/>
      <c r="AQ1106" s="781"/>
      <c r="AR1106" s="781"/>
      <c r="AS1106" s="781"/>
      <c r="AT1106" s="781"/>
      <c r="AU1106" s="781"/>
    </row>
    <row r="1107" ht="15.75" customHeight="1">
      <c r="A1107" s="782">
        <v>44896.0</v>
      </c>
      <c r="B1107" s="783" t="s">
        <v>6477</v>
      </c>
      <c r="C1107" s="772" t="s">
        <v>3820</v>
      </c>
      <c r="D1107" s="772" t="s">
        <v>6345</v>
      </c>
      <c r="E1107" s="784">
        <v>244812.62</v>
      </c>
      <c r="F1107" s="772" t="s">
        <v>5243</v>
      </c>
      <c r="G1107" s="772" t="s">
        <v>105</v>
      </c>
      <c r="H1107" s="772" t="s">
        <v>19</v>
      </c>
      <c r="I1107" s="772" t="s">
        <v>6675</v>
      </c>
      <c r="J1107" s="782">
        <v>44340.0</v>
      </c>
      <c r="K1107" s="772" t="s">
        <v>3840</v>
      </c>
      <c r="L1107" s="781"/>
      <c r="M1107" s="781"/>
      <c r="N1107" s="781"/>
      <c r="O1107" s="781"/>
      <c r="P1107" s="781"/>
      <c r="Q1107" s="781"/>
      <c r="R1107" s="781"/>
      <c r="S1107" s="781"/>
      <c r="T1107" s="781"/>
      <c r="U1107" s="781"/>
      <c r="V1107" s="781"/>
      <c r="W1107" s="781"/>
      <c r="X1107" s="781"/>
      <c r="Y1107" s="781"/>
      <c r="Z1107" s="781"/>
      <c r="AA1107" s="781"/>
      <c r="AB1107" s="781"/>
      <c r="AC1107" s="781"/>
      <c r="AD1107" s="781"/>
      <c r="AE1107" s="781"/>
      <c r="AF1107" s="781"/>
      <c r="AG1107" s="781"/>
      <c r="AH1107" s="781"/>
      <c r="AI1107" s="781"/>
      <c r="AJ1107" s="781"/>
      <c r="AK1107" s="781"/>
      <c r="AL1107" s="781"/>
      <c r="AM1107" s="781"/>
      <c r="AN1107" s="781"/>
      <c r="AO1107" s="781"/>
      <c r="AP1107" s="781"/>
      <c r="AQ1107" s="781"/>
      <c r="AR1107" s="781"/>
      <c r="AS1107" s="781"/>
      <c r="AT1107" s="781"/>
      <c r="AU1107" s="781"/>
    </row>
    <row r="1108" ht="15.75" customHeight="1">
      <c r="A1108" s="782">
        <v>44543.0</v>
      </c>
      <c r="B1108" s="783" t="s">
        <v>6679</v>
      </c>
      <c r="C1108" s="772" t="s">
        <v>3820</v>
      </c>
      <c r="D1108" s="772" t="s">
        <v>6346</v>
      </c>
      <c r="E1108" s="784">
        <v>5000.0</v>
      </c>
      <c r="F1108" s="772" t="s">
        <v>5165</v>
      </c>
      <c r="G1108" s="772" t="s">
        <v>105</v>
      </c>
      <c r="H1108" s="772" t="s">
        <v>29</v>
      </c>
      <c r="I1108" s="772" t="s">
        <v>3873</v>
      </c>
      <c r="J1108" s="782">
        <v>44421.0</v>
      </c>
      <c r="K1108" s="772" t="s">
        <v>3840</v>
      </c>
      <c r="L1108" s="781"/>
      <c r="M1108" s="781"/>
      <c r="N1108" s="781"/>
      <c r="O1108" s="781"/>
      <c r="P1108" s="781"/>
      <c r="Q1108" s="781"/>
      <c r="R1108" s="781"/>
      <c r="S1108" s="781"/>
      <c r="T1108" s="781"/>
      <c r="U1108" s="781"/>
      <c r="V1108" s="781"/>
      <c r="W1108" s="781"/>
      <c r="X1108" s="781"/>
      <c r="Y1108" s="781"/>
      <c r="Z1108" s="781"/>
      <c r="AA1108" s="781"/>
      <c r="AB1108" s="781"/>
      <c r="AC1108" s="781"/>
      <c r="AD1108" s="781"/>
      <c r="AE1108" s="781"/>
      <c r="AF1108" s="781"/>
      <c r="AG1108" s="781"/>
      <c r="AH1108" s="781"/>
      <c r="AI1108" s="781"/>
      <c r="AJ1108" s="781"/>
      <c r="AK1108" s="781"/>
      <c r="AL1108" s="781"/>
      <c r="AM1108" s="781"/>
      <c r="AN1108" s="781"/>
      <c r="AO1108" s="781"/>
      <c r="AP1108" s="781"/>
      <c r="AQ1108" s="781"/>
      <c r="AR1108" s="781"/>
      <c r="AS1108" s="781"/>
      <c r="AT1108" s="781"/>
      <c r="AU1108" s="781"/>
    </row>
    <row r="1109" ht="15.75" customHeight="1">
      <c r="A1109" s="782">
        <v>44908.0</v>
      </c>
      <c r="B1109" s="783" t="s">
        <v>6680</v>
      </c>
      <c r="C1109" s="772" t="s">
        <v>3820</v>
      </c>
      <c r="D1109" s="772" t="s">
        <v>6346</v>
      </c>
      <c r="E1109" s="784">
        <v>25000.0</v>
      </c>
      <c r="F1109" s="772" t="s">
        <v>5367</v>
      </c>
      <c r="G1109" s="772" t="s">
        <v>18</v>
      </c>
      <c r="H1109" s="772" t="s">
        <v>19</v>
      </c>
      <c r="I1109" s="772" t="s">
        <v>20</v>
      </c>
      <c r="J1109" s="782">
        <v>44655.0</v>
      </c>
      <c r="K1109" s="772" t="s">
        <v>3834</v>
      </c>
      <c r="L1109" s="781"/>
      <c r="M1109" s="781"/>
      <c r="N1109" s="781"/>
      <c r="O1109" s="781"/>
      <c r="P1109" s="781"/>
      <c r="Q1109" s="781"/>
      <c r="R1109" s="781"/>
      <c r="S1109" s="781"/>
      <c r="T1109" s="781"/>
      <c r="U1109" s="781"/>
      <c r="V1109" s="781"/>
      <c r="W1109" s="781"/>
      <c r="X1109" s="781"/>
      <c r="Y1109" s="781"/>
      <c r="Z1109" s="781"/>
      <c r="AA1109" s="781"/>
      <c r="AB1109" s="781"/>
      <c r="AC1109" s="781"/>
      <c r="AD1109" s="781"/>
      <c r="AE1109" s="781"/>
      <c r="AF1109" s="781"/>
      <c r="AG1109" s="781"/>
      <c r="AH1109" s="781"/>
      <c r="AI1109" s="781"/>
      <c r="AJ1109" s="781"/>
      <c r="AK1109" s="781"/>
      <c r="AL1109" s="781"/>
      <c r="AM1109" s="781"/>
      <c r="AN1109" s="781"/>
      <c r="AO1109" s="781"/>
      <c r="AP1109" s="781"/>
      <c r="AQ1109" s="781"/>
      <c r="AR1109" s="781"/>
      <c r="AS1109" s="781"/>
      <c r="AT1109" s="781"/>
      <c r="AU1109" s="781"/>
    </row>
    <row r="1110" ht="15.75" customHeight="1">
      <c r="A1110" s="782">
        <v>44908.0</v>
      </c>
      <c r="B1110" s="783" t="s">
        <v>3585</v>
      </c>
      <c r="C1110" s="772" t="s">
        <v>2547</v>
      </c>
      <c r="D1110" s="772" t="s">
        <v>6345</v>
      </c>
      <c r="E1110" s="876">
        <v>70026.76</v>
      </c>
      <c r="F1110" s="775" t="s">
        <v>3584</v>
      </c>
      <c r="G1110" s="772" t="s">
        <v>18</v>
      </c>
      <c r="H1110" s="772" t="s">
        <v>176</v>
      </c>
      <c r="I1110" s="772" t="s">
        <v>2634</v>
      </c>
      <c r="J1110" s="877">
        <v>44267.0</v>
      </c>
      <c r="K1110" s="772" t="s">
        <v>3828</v>
      </c>
      <c r="L1110" s="781"/>
      <c r="M1110" s="781"/>
      <c r="N1110" s="781"/>
      <c r="O1110" s="781"/>
      <c r="P1110" s="781"/>
      <c r="Q1110" s="781"/>
      <c r="R1110" s="781"/>
      <c r="S1110" s="781"/>
      <c r="T1110" s="781"/>
      <c r="U1110" s="781"/>
      <c r="V1110" s="781"/>
      <c r="W1110" s="781"/>
      <c r="X1110" s="781"/>
      <c r="Y1110" s="781"/>
      <c r="Z1110" s="781"/>
      <c r="AA1110" s="781"/>
      <c r="AB1110" s="781"/>
      <c r="AC1110" s="781"/>
      <c r="AD1110" s="781"/>
      <c r="AE1110" s="781"/>
      <c r="AF1110" s="781"/>
      <c r="AG1110" s="781"/>
      <c r="AH1110" s="781"/>
      <c r="AI1110" s="781"/>
      <c r="AJ1110" s="781"/>
      <c r="AK1110" s="781"/>
      <c r="AL1110" s="781"/>
      <c r="AM1110" s="781"/>
      <c r="AN1110" s="781"/>
      <c r="AO1110" s="781"/>
      <c r="AP1110" s="781"/>
      <c r="AQ1110" s="781"/>
      <c r="AR1110" s="781"/>
      <c r="AS1110" s="781"/>
      <c r="AT1110" s="781"/>
      <c r="AU1110" s="781"/>
    </row>
    <row r="1111" ht="15.75" customHeight="1">
      <c r="A1111" s="782">
        <v>44908.0</v>
      </c>
      <c r="B1111" s="783" t="s">
        <v>2600</v>
      </c>
      <c r="C1111" s="772" t="s">
        <v>2547</v>
      </c>
      <c r="D1111" s="772" t="s">
        <v>6345</v>
      </c>
      <c r="E1111" s="784">
        <v>0.0</v>
      </c>
      <c r="F1111" s="774" t="s">
        <v>3584</v>
      </c>
      <c r="G1111" s="772" t="s">
        <v>18</v>
      </c>
      <c r="H1111" s="772" t="s">
        <v>176</v>
      </c>
      <c r="I1111" s="772" t="s">
        <v>2634</v>
      </c>
      <c r="J1111" s="772" t="s">
        <v>2600</v>
      </c>
      <c r="K1111" s="772" t="s">
        <v>6645</v>
      </c>
      <c r="L1111" s="781"/>
      <c r="M1111" s="781"/>
      <c r="N1111" s="781"/>
      <c r="O1111" s="781"/>
      <c r="P1111" s="781"/>
      <c r="Q1111" s="781"/>
      <c r="R1111" s="781"/>
      <c r="S1111" s="781"/>
      <c r="T1111" s="781"/>
      <c r="U1111" s="781"/>
      <c r="V1111" s="781"/>
      <c r="W1111" s="781"/>
      <c r="X1111" s="781"/>
      <c r="Y1111" s="781"/>
      <c r="Z1111" s="781"/>
      <c r="AA1111" s="781"/>
      <c r="AB1111" s="781"/>
      <c r="AC1111" s="781"/>
      <c r="AD1111" s="781"/>
      <c r="AE1111" s="781"/>
      <c r="AF1111" s="781"/>
      <c r="AG1111" s="781"/>
      <c r="AH1111" s="781"/>
      <c r="AI1111" s="781"/>
      <c r="AJ1111" s="781"/>
      <c r="AK1111" s="781"/>
      <c r="AL1111" s="781"/>
      <c r="AM1111" s="781"/>
      <c r="AN1111" s="781"/>
      <c r="AO1111" s="781"/>
      <c r="AP1111" s="781"/>
      <c r="AQ1111" s="781"/>
      <c r="AR1111" s="781"/>
      <c r="AS1111" s="781"/>
      <c r="AT1111" s="781"/>
      <c r="AU1111" s="781"/>
    </row>
    <row r="1112" ht="15.75" customHeight="1">
      <c r="A1112" s="782">
        <v>44907.0</v>
      </c>
      <c r="B1112" s="783" t="s">
        <v>6681</v>
      </c>
      <c r="C1112" s="772" t="s">
        <v>2547</v>
      </c>
      <c r="D1112" s="772" t="s">
        <v>6345</v>
      </c>
      <c r="E1112" s="784" t="s">
        <v>6682</v>
      </c>
      <c r="F1112" s="772" t="s">
        <v>6683</v>
      </c>
      <c r="G1112" s="772" t="s">
        <v>18</v>
      </c>
      <c r="H1112" s="772" t="s">
        <v>176</v>
      </c>
      <c r="I1112" s="772" t="s">
        <v>2634</v>
      </c>
      <c r="J1112" s="782">
        <v>44733.0</v>
      </c>
      <c r="K1112" s="772" t="s">
        <v>3834</v>
      </c>
      <c r="L1112" s="781"/>
      <c r="M1112" s="781"/>
      <c r="N1112" s="781"/>
      <c r="O1112" s="781"/>
      <c r="P1112" s="781"/>
      <c r="Q1112" s="781"/>
      <c r="R1112" s="781"/>
      <c r="S1112" s="781"/>
      <c r="T1112" s="781"/>
      <c r="U1112" s="781"/>
      <c r="V1112" s="781"/>
      <c r="W1112" s="781"/>
      <c r="X1112" s="781"/>
      <c r="Y1112" s="781"/>
      <c r="Z1112" s="781"/>
      <c r="AA1112" s="781"/>
      <c r="AB1112" s="781"/>
      <c r="AC1112" s="781"/>
      <c r="AD1112" s="781"/>
      <c r="AE1112" s="781"/>
      <c r="AF1112" s="781"/>
      <c r="AG1112" s="781"/>
      <c r="AH1112" s="781"/>
      <c r="AI1112" s="781"/>
      <c r="AJ1112" s="781"/>
      <c r="AK1112" s="781"/>
      <c r="AL1112" s="781"/>
      <c r="AM1112" s="781"/>
      <c r="AN1112" s="781"/>
      <c r="AO1112" s="781"/>
      <c r="AP1112" s="781"/>
      <c r="AQ1112" s="781"/>
      <c r="AR1112" s="781"/>
      <c r="AS1112" s="781"/>
      <c r="AT1112" s="781"/>
      <c r="AU1112" s="781"/>
    </row>
    <row r="1113" ht="15.75" customHeight="1">
      <c r="A1113" s="782">
        <v>44890.0</v>
      </c>
      <c r="B1113" s="783" t="s">
        <v>6594</v>
      </c>
      <c r="C1113" s="772" t="s">
        <v>3820</v>
      </c>
      <c r="D1113" s="772" t="s">
        <v>6345</v>
      </c>
      <c r="E1113" s="784">
        <v>251143.6</v>
      </c>
      <c r="F1113" s="772" t="s">
        <v>4761</v>
      </c>
      <c r="G1113" s="772" t="s">
        <v>18</v>
      </c>
      <c r="H1113" s="772" t="s">
        <v>19</v>
      </c>
      <c r="I1113" s="772" t="s">
        <v>256</v>
      </c>
      <c r="J1113" s="782"/>
      <c r="K1113" s="782"/>
      <c r="L1113" s="781"/>
      <c r="M1113" s="781"/>
      <c r="N1113" s="781"/>
      <c r="O1113" s="781"/>
      <c r="P1113" s="781"/>
      <c r="Q1113" s="781"/>
      <c r="R1113" s="781"/>
      <c r="S1113" s="781"/>
      <c r="T1113" s="781"/>
      <c r="U1113" s="781"/>
      <c r="V1113" s="781"/>
      <c r="W1113" s="781"/>
      <c r="X1113" s="781"/>
      <c r="Y1113" s="781"/>
      <c r="Z1113" s="781"/>
      <c r="AA1113" s="781"/>
      <c r="AB1113" s="781"/>
      <c r="AC1113" s="781"/>
      <c r="AD1113" s="781"/>
      <c r="AE1113" s="781"/>
      <c r="AF1113" s="781"/>
      <c r="AG1113" s="781"/>
      <c r="AH1113" s="781"/>
      <c r="AI1113" s="781"/>
      <c r="AJ1113" s="781"/>
      <c r="AK1113" s="781"/>
      <c r="AL1113" s="781"/>
      <c r="AM1113" s="781"/>
      <c r="AN1113" s="781"/>
      <c r="AO1113" s="781"/>
      <c r="AP1113" s="781"/>
      <c r="AQ1113" s="781"/>
      <c r="AR1113" s="781"/>
      <c r="AS1113" s="781"/>
      <c r="AT1113" s="781"/>
      <c r="AU1113" s="781"/>
    </row>
    <row r="1114" ht="15.75" customHeight="1">
      <c r="A1114" s="811">
        <v>44909.0</v>
      </c>
      <c r="B1114" s="812" t="s">
        <v>6518</v>
      </c>
      <c r="C1114" s="813" t="s">
        <v>3820</v>
      </c>
      <c r="D1114" s="814" t="s">
        <v>6346</v>
      </c>
      <c r="E1114" s="815">
        <v>10000.0</v>
      </c>
      <c r="F1114" s="814" t="s">
        <v>3867</v>
      </c>
      <c r="G1114" s="814" t="s">
        <v>18</v>
      </c>
      <c r="H1114" s="814" t="s">
        <v>19</v>
      </c>
      <c r="I1114" s="814" t="s">
        <v>20</v>
      </c>
      <c r="J1114" s="816">
        <v>44609.0</v>
      </c>
      <c r="K1114" s="813" t="s">
        <v>3836</v>
      </c>
      <c r="L1114" s="781"/>
      <c r="M1114" s="781"/>
      <c r="N1114" s="781"/>
      <c r="O1114" s="781"/>
      <c r="P1114" s="781"/>
      <c r="Q1114" s="781"/>
      <c r="R1114" s="781"/>
      <c r="S1114" s="781"/>
      <c r="T1114" s="781"/>
      <c r="U1114" s="781"/>
      <c r="V1114" s="781"/>
      <c r="W1114" s="781"/>
      <c r="X1114" s="781"/>
      <c r="Y1114" s="781"/>
      <c r="Z1114" s="781"/>
      <c r="AA1114" s="781"/>
      <c r="AB1114" s="781"/>
      <c r="AC1114" s="781"/>
      <c r="AD1114" s="781"/>
      <c r="AE1114" s="781"/>
      <c r="AF1114" s="781"/>
      <c r="AG1114" s="781"/>
      <c r="AH1114" s="781"/>
      <c r="AI1114" s="781"/>
      <c r="AJ1114" s="781"/>
      <c r="AK1114" s="781"/>
      <c r="AL1114" s="781"/>
      <c r="AM1114" s="781"/>
      <c r="AN1114" s="781"/>
      <c r="AO1114" s="781"/>
      <c r="AP1114" s="781"/>
      <c r="AQ1114" s="781"/>
      <c r="AR1114" s="781"/>
      <c r="AS1114" s="781"/>
      <c r="AT1114" s="781"/>
      <c r="AU1114" s="781"/>
    </row>
    <row r="1115" ht="15.75" customHeight="1">
      <c r="A1115" s="782">
        <v>44911.0</v>
      </c>
      <c r="B1115" s="783" t="s">
        <v>6386</v>
      </c>
      <c r="C1115" s="813" t="s">
        <v>3820</v>
      </c>
      <c r="D1115" s="772" t="s">
        <v>6345</v>
      </c>
      <c r="E1115" s="784">
        <v>115969.72</v>
      </c>
      <c r="F1115" s="772" t="s">
        <v>5341</v>
      </c>
      <c r="G1115" s="772" t="s">
        <v>105</v>
      </c>
      <c r="H1115" s="772" t="s">
        <v>29</v>
      </c>
      <c r="I1115" s="772" t="s">
        <v>6684</v>
      </c>
      <c r="J1115" s="819">
        <v>44203.0</v>
      </c>
      <c r="K1115" s="772" t="s">
        <v>3828</v>
      </c>
      <c r="L1115" s="781"/>
      <c r="M1115" s="781"/>
      <c r="N1115" s="781"/>
      <c r="O1115" s="781"/>
      <c r="P1115" s="781"/>
      <c r="Q1115" s="781"/>
      <c r="R1115" s="781"/>
      <c r="S1115" s="781"/>
      <c r="T1115" s="781"/>
      <c r="U1115" s="781"/>
      <c r="V1115" s="781"/>
      <c r="W1115" s="781"/>
      <c r="X1115" s="781"/>
      <c r="Y1115" s="781"/>
      <c r="Z1115" s="781"/>
      <c r="AA1115" s="781"/>
      <c r="AB1115" s="781"/>
      <c r="AC1115" s="781"/>
      <c r="AD1115" s="781"/>
      <c r="AE1115" s="781"/>
      <c r="AF1115" s="781"/>
      <c r="AG1115" s="781"/>
      <c r="AH1115" s="781"/>
      <c r="AI1115" s="781"/>
      <c r="AJ1115" s="781"/>
      <c r="AK1115" s="781"/>
      <c r="AL1115" s="781"/>
      <c r="AM1115" s="781"/>
      <c r="AN1115" s="781"/>
      <c r="AO1115" s="781"/>
      <c r="AP1115" s="781"/>
      <c r="AQ1115" s="781"/>
      <c r="AR1115" s="781"/>
      <c r="AS1115" s="781"/>
      <c r="AT1115" s="781"/>
      <c r="AU1115" s="781"/>
    </row>
    <row r="1116" ht="15.75" customHeight="1">
      <c r="A1116" s="782">
        <v>44911.0</v>
      </c>
      <c r="B1116" s="783" t="s">
        <v>2938</v>
      </c>
      <c r="C1116" s="772" t="s">
        <v>2547</v>
      </c>
      <c r="D1116" s="772" t="s">
        <v>6345</v>
      </c>
      <c r="E1116" s="876">
        <v>6543.8</v>
      </c>
      <c r="F1116" s="772" t="s">
        <v>6685</v>
      </c>
      <c r="G1116" s="772" t="s">
        <v>18</v>
      </c>
      <c r="H1116" s="772" t="s">
        <v>176</v>
      </c>
      <c r="I1116" s="772" t="s">
        <v>177</v>
      </c>
      <c r="J1116" s="782">
        <v>44263.0</v>
      </c>
      <c r="K1116" s="772" t="s">
        <v>3824</v>
      </c>
      <c r="L1116" s="781"/>
      <c r="M1116" s="781"/>
      <c r="N1116" s="781"/>
      <c r="O1116" s="781"/>
      <c r="P1116" s="781"/>
      <c r="Q1116" s="781"/>
      <c r="R1116" s="781"/>
      <c r="S1116" s="781"/>
      <c r="T1116" s="781"/>
      <c r="U1116" s="781"/>
      <c r="V1116" s="781"/>
      <c r="W1116" s="781"/>
      <c r="X1116" s="781"/>
      <c r="Y1116" s="781"/>
      <c r="Z1116" s="781"/>
      <c r="AA1116" s="781"/>
      <c r="AB1116" s="781"/>
      <c r="AC1116" s="781"/>
      <c r="AD1116" s="781"/>
      <c r="AE1116" s="781"/>
      <c r="AF1116" s="781"/>
      <c r="AG1116" s="781"/>
      <c r="AH1116" s="781"/>
      <c r="AI1116" s="781"/>
      <c r="AJ1116" s="781"/>
      <c r="AK1116" s="781"/>
      <c r="AL1116" s="781"/>
      <c r="AM1116" s="781"/>
      <c r="AN1116" s="781"/>
      <c r="AO1116" s="781"/>
      <c r="AP1116" s="781"/>
      <c r="AQ1116" s="781"/>
      <c r="AR1116" s="781"/>
      <c r="AS1116" s="781"/>
      <c r="AT1116" s="781"/>
      <c r="AU1116" s="781"/>
    </row>
    <row r="1117" ht="15.75" customHeight="1">
      <c r="A1117" s="782">
        <v>44914.0</v>
      </c>
      <c r="B1117" s="783">
        <v>6604192.0</v>
      </c>
      <c r="C1117" s="772" t="s">
        <v>3820</v>
      </c>
      <c r="D1117" s="772" t="s">
        <v>6346</v>
      </c>
      <c r="E1117" s="876">
        <v>3700.0</v>
      </c>
      <c r="F1117" s="772" t="s">
        <v>4894</v>
      </c>
      <c r="G1117" s="772" t="s">
        <v>18</v>
      </c>
      <c r="H1117" s="772" t="s">
        <v>29</v>
      </c>
      <c r="I1117" s="772" t="s">
        <v>704</v>
      </c>
      <c r="J1117" s="782">
        <v>44460.0</v>
      </c>
      <c r="K1117" s="772" t="s">
        <v>3834</v>
      </c>
      <c r="L1117" s="781"/>
      <c r="M1117" s="781"/>
      <c r="N1117" s="781"/>
      <c r="O1117" s="781"/>
      <c r="P1117" s="781"/>
      <c r="Q1117" s="781"/>
      <c r="R1117" s="781"/>
      <c r="S1117" s="781"/>
      <c r="T1117" s="781"/>
      <c r="U1117" s="781"/>
      <c r="V1117" s="781"/>
      <c r="W1117" s="781"/>
      <c r="X1117" s="781"/>
      <c r="Y1117" s="781"/>
      <c r="Z1117" s="781"/>
      <c r="AA1117" s="781"/>
      <c r="AB1117" s="781"/>
      <c r="AC1117" s="781"/>
      <c r="AD1117" s="781"/>
      <c r="AE1117" s="781"/>
      <c r="AF1117" s="781"/>
      <c r="AG1117" s="781"/>
      <c r="AH1117" s="781"/>
      <c r="AI1117" s="781"/>
      <c r="AJ1117" s="781"/>
      <c r="AK1117" s="781"/>
      <c r="AL1117" s="781"/>
      <c r="AM1117" s="781"/>
      <c r="AN1117" s="781"/>
      <c r="AO1117" s="781"/>
      <c r="AP1117" s="781"/>
      <c r="AQ1117" s="781"/>
      <c r="AR1117" s="781"/>
      <c r="AS1117" s="781"/>
      <c r="AT1117" s="781"/>
      <c r="AU1117" s="781"/>
    </row>
    <row r="1118" ht="15.75" customHeight="1">
      <c r="A1118" s="782">
        <v>44917.0</v>
      </c>
      <c r="B1118" s="783">
        <v>5371919.0</v>
      </c>
      <c r="C1118" s="772" t="s">
        <v>3820</v>
      </c>
      <c r="D1118" s="772" t="s">
        <v>6346</v>
      </c>
      <c r="E1118" s="876">
        <v>250000.0</v>
      </c>
      <c r="F1118" s="772" t="s">
        <v>5223</v>
      </c>
      <c r="G1118" s="772" t="s">
        <v>105</v>
      </c>
      <c r="H1118" s="772" t="s">
        <v>29</v>
      </c>
      <c r="I1118" s="772" t="s">
        <v>6337</v>
      </c>
      <c r="J1118" s="819">
        <v>44714.0</v>
      </c>
      <c r="K1118" s="774" t="s">
        <v>3836</v>
      </c>
      <c r="L1118" s="781"/>
      <c r="M1118" s="781"/>
      <c r="N1118" s="781"/>
      <c r="O1118" s="781"/>
      <c r="P1118" s="781"/>
      <c r="Q1118" s="781"/>
      <c r="R1118" s="781"/>
      <c r="S1118" s="781"/>
      <c r="T1118" s="781"/>
      <c r="U1118" s="781"/>
      <c r="V1118" s="781"/>
      <c r="W1118" s="781"/>
      <c r="X1118" s="781"/>
      <c r="Y1118" s="781"/>
      <c r="Z1118" s="781"/>
      <c r="AA1118" s="781"/>
      <c r="AB1118" s="781"/>
      <c r="AC1118" s="781"/>
      <c r="AD1118" s="781"/>
      <c r="AE1118" s="781"/>
      <c r="AF1118" s="781"/>
      <c r="AG1118" s="781"/>
      <c r="AH1118" s="781"/>
      <c r="AI1118" s="781"/>
      <c r="AJ1118" s="781"/>
      <c r="AK1118" s="781"/>
      <c r="AL1118" s="781"/>
      <c r="AM1118" s="781"/>
      <c r="AN1118" s="781"/>
      <c r="AO1118" s="781"/>
      <c r="AP1118" s="781"/>
      <c r="AQ1118" s="781"/>
      <c r="AR1118" s="781"/>
      <c r="AS1118" s="781"/>
      <c r="AT1118" s="781"/>
      <c r="AU1118" s="781"/>
    </row>
    <row r="1119" ht="15.75" customHeight="1">
      <c r="A1119" s="782">
        <v>44917.0</v>
      </c>
      <c r="B1119" s="783">
        <v>3730315.0</v>
      </c>
      <c r="C1119" s="772" t="s">
        <v>3820</v>
      </c>
      <c r="D1119" s="772" t="s">
        <v>6346</v>
      </c>
      <c r="E1119" s="876">
        <v>150000.0</v>
      </c>
      <c r="F1119" s="772" t="s">
        <v>5220</v>
      </c>
      <c r="G1119" s="772" t="s">
        <v>105</v>
      </c>
      <c r="H1119" s="772" t="s">
        <v>29</v>
      </c>
      <c r="I1119" s="772" t="s">
        <v>6337</v>
      </c>
      <c r="J1119" s="819">
        <v>44714.0</v>
      </c>
      <c r="K1119" s="774" t="s">
        <v>3836</v>
      </c>
      <c r="L1119" s="781"/>
      <c r="M1119" s="781"/>
      <c r="N1119" s="781"/>
      <c r="O1119" s="781"/>
      <c r="P1119" s="781"/>
      <c r="Q1119" s="781"/>
      <c r="R1119" s="781"/>
      <c r="S1119" s="781"/>
      <c r="T1119" s="781"/>
      <c r="U1119" s="781"/>
      <c r="V1119" s="781"/>
      <c r="W1119" s="781"/>
      <c r="X1119" s="781"/>
      <c r="Y1119" s="781"/>
      <c r="Z1119" s="781"/>
      <c r="AA1119" s="781"/>
      <c r="AB1119" s="781"/>
      <c r="AC1119" s="781"/>
      <c r="AD1119" s="781"/>
      <c r="AE1119" s="781"/>
      <c r="AF1119" s="781"/>
      <c r="AG1119" s="781"/>
      <c r="AH1119" s="781"/>
      <c r="AI1119" s="781"/>
      <c r="AJ1119" s="781"/>
      <c r="AK1119" s="781"/>
      <c r="AL1119" s="781"/>
      <c r="AM1119" s="781"/>
      <c r="AN1119" s="781"/>
      <c r="AO1119" s="781"/>
      <c r="AP1119" s="781"/>
      <c r="AQ1119" s="781"/>
      <c r="AR1119" s="781"/>
      <c r="AS1119" s="781"/>
      <c r="AT1119" s="781"/>
      <c r="AU1119" s="781"/>
    </row>
    <row r="1120" ht="15.75" customHeight="1">
      <c r="A1120" s="782">
        <v>44918.0</v>
      </c>
      <c r="B1120" s="783" t="s">
        <v>6686</v>
      </c>
      <c r="C1120" s="772" t="s">
        <v>3820</v>
      </c>
      <c r="D1120" s="772" t="s">
        <v>6346</v>
      </c>
      <c r="E1120" s="784">
        <v>54000.0</v>
      </c>
      <c r="F1120" s="772" t="s">
        <v>5398</v>
      </c>
      <c r="G1120" s="772" t="s">
        <v>105</v>
      </c>
      <c r="H1120" s="772" t="s">
        <v>29</v>
      </c>
      <c r="I1120" s="772" t="s">
        <v>4087</v>
      </c>
      <c r="J1120" s="782">
        <v>44134.0</v>
      </c>
      <c r="K1120" s="772" t="s">
        <v>3824</v>
      </c>
      <c r="L1120" s="781"/>
      <c r="M1120" s="781"/>
      <c r="N1120" s="781"/>
      <c r="O1120" s="781"/>
      <c r="P1120" s="781"/>
      <c r="Q1120" s="781"/>
      <c r="R1120" s="781"/>
      <c r="S1120" s="781"/>
      <c r="T1120" s="781"/>
      <c r="U1120" s="781"/>
      <c r="V1120" s="781"/>
      <c r="W1120" s="781"/>
      <c r="X1120" s="781"/>
      <c r="Y1120" s="781"/>
      <c r="Z1120" s="781"/>
      <c r="AA1120" s="781"/>
      <c r="AB1120" s="781"/>
      <c r="AC1120" s="781"/>
      <c r="AD1120" s="781"/>
      <c r="AE1120" s="781"/>
      <c r="AF1120" s="781"/>
      <c r="AG1120" s="781"/>
      <c r="AH1120" s="781"/>
      <c r="AI1120" s="781"/>
      <c r="AJ1120" s="781"/>
      <c r="AK1120" s="781"/>
      <c r="AL1120" s="781"/>
      <c r="AM1120" s="781"/>
      <c r="AN1120" s="781"/>
      <c r="AO1120" s="781"/>
      <c r="AP1120" s="781"/>
      <c r="AQ1120" s="781"/>
      <c r="AR1120" s="781"/>
      <c r="AS1120" s="781"/>
      <c r="AT1120" s="781"/>
      <c r="AU1120" s="781"/>
    </row>
    <row r="1121" ht="15.75" customHeight="1">
      <c r="A1121" s="782">
        <v>44918.0</v>
      </c>
      <c r="B1121" s="783" t="s">
        <v>6687</v>
      </c>
      <c r="C1121" s="772" t="s">
        <v>3820</v>
      </c>
      <c r="D1121" s="772" t="s">
        <v>1481</v>
      </c>
      <c r="E1121" s="784">
        <v>105535.73</v>
      </c>
      <c r="F1121" s="772" t="s">
        <v>6688</v>
      </c>
      <c r="G1121" s="772" t="s">
        <v>105</v>
      </c>
      <c r="H1121" s="772" t="s">
        <v>29</v>
      </c>
      <c r="I1121" s="772" t="s">
        <v>4201</v>
      </c>
      <c r="J1121" s="878">
        <v>44361.0</v>
      </c>
      <c r="K1121" s="772" t="s">
        <v>3836</v>
      </c>
      <c r="L1121" s="781"/>
      <c r="M1121" s="781"/>
      <c r="N1121" s="781"/>
      <c r="O1121" s="781"/>
      <c r="P1121" s="781"/>
      <c r="Q1121" s="781"/>
      <c r="R1121" s="781"/>
      <c r="S1121" s="781"/>
      <c r="T1121" s="781"/>
      <c r="U1121" s="781"/>
      <c r="V1121" s="781"/>
      <c r="W1121" s="781"/>
      <c r="X1121" s="781"/>
      <c r="Y1121" s="781"/>
      <c r="Z1121" s="781"/>
      <c r="AA1121" s="781"/>
      <c r="AB1121" s="781"/>
      <c r="AC1121" s="781"/>
      <c r="AD1121" s="781"/>
      <c r="AE1121" s="781"/>
      <c r="AF1121" s="781"/>
      <c r="AG1121" s="781"/>
      <c r="AH1121" s="781"/>
      <c r="AI1121" s="781"/>
      <c r="AJ1121" s="781"/>
      <c r="AK1121" s="781"/>
      <c r="AL1121" s="781"/>
      <c r="AM1121" s="781"/>
      <c r="AN1121" s="781"/>
      <c r="AO1121" s="781"/>
      <c r="AP1121" s="781"/>
      <c r="AQ1121" s="781"/>
      <c r="AR1121" s="781"/>
      <c r="AS1121" s="781"/>
      <c r="AT1121" s="781"/>
      <c r="AU1121" s="781"/>
    </row>
    <row r="1122" ht="15.75" customHeight="1">
      <c r="A1122" s="782">
        <v>44918.0</v>
      </c>
      <c r="B1122" s="783" t="s">
        <v>6511</v>
      </c>
      <c r="C1122" s="772" t="s">
        <v>3820</v>
      </c>
      <c r="D1122" s="772" t="s">
        <v>6346</v>
      </c>
      <c r="E1122" s="784">
        <v>30000.0</v>
      </c>
      <c r="F1122" s="772" t="s">
        <v>1552</v>
      </c>
      <c r="G1122" s="782" t="s">
        <v>18</v>
      </c>
      <c r="H1122" s="782" t="s">
        <v>29</v>
      </c>
      <c r="I1122" s="782" t="s">
        <v>6338</v>
      </c>
      <c r="J1122" s="782">
        <v>44594.0</v>
      </c>
      <c r="K1122" s="782" t="s">
        <v>3834</v>
      </c>
      <c r="L1122" s="781"/>
      <c r="M1122" s="781"/>
      <c r="N1122" s="781"/>
      <c r="O1122" s="781"/>
      <c r="P1122" s="781"/>
      <c r="Q1122" s="781"/>
      <c r="R1122" s="781"/>
      <c r="S1122" s="781"/>
      <c r="T1122" s="781"/>
      <c r="U1122" s="781"/>
      <c r="V1122" s="781"/>
      <c r="W1122" s="781"/>
      <c r="X1122" s="781"/>
      <c r="Y1122" s="781"/>
      <c r="Z1122" s="781"/>
      <c r="AA1122" s="781"/>
      <c r="AB1122" s="781"/>
      <c r="AC1122" s="781"/>
      <c r="AD1122" s="781"/>
      <c r="AE1122" s="781"/>
      <c r="AF1122" s="781"/>
      <c r="AG1122" s="781"/>
      <c r="AH1122" s="781"/>
      <c r="AI1122" s="781"/>
      <c r="AJ1122" s="781"/>
      <c r="AK1122" s="781"/>
      <c r="AL1122" s="781"/>
      <c r="AM1122" s="781"/>
      <c r="AN1122" s="781"/>
      <c r="AO1122" s="781"/>
      <c r="AP1122" s="781"/>
      <c r="AQ1122" s="781"/>
      <c r="AR1122" s="781"/>
      <c r="AS1122" s="781"/>
      <c r="AT1122" s="781"/>
      <c r="AU1122" s="781"/>
    </row>
    <row r="1123" ht="15.75" customHeight="1">
      <c r="A1123" s="782">
        <v>44921.0</v>
      </c>
      <c r="B1123" s="783" t="s">
        <v>6607</v>
      </c>
      <c r="C1123" s="772" t="s">
        <v>3820</v>
      </c>
      <c r="D1123" s="772" t="s">
        <v>6346</v>
      </c>
      <c r="E1123" s="784">
        <v>11000.0</v>
      </c>
      <c r="F1123" s="772" t="s">
        <v>4735</v>
      </c>
      <c r="G1123" s="772" t="s">
        <v>18</v>
      </c>
      <c r="H1123" s="772" t="s">
        <v>29</v>
      </c>
      <c r="I1123" s="772" t="s">
        <v>2803</v>
      </c>
      <c r="J1123" s="782">
        <v>44393.0</v>
      </c>
      <c r="K1123" s="772" t="s">
        <v>3824</v>
      </c>
      <c r="L1123" s="781"/>
      <c r="M1123" s="781"/>
      <c r="N1123" s="781"/>
      <c r="O1123" s="781"/>
      <c r="P1123" s="781"/>
      <c r="Q1123" s="781"/>
      <c r="R1123" s="781"/>
      <c r="S1123" s="781"/>
      <c r="T1123" s="781"/>
      <c r="U1123" s="781"/>
      <c r="V1123" s="781"/>
      <c r="W1123" s="781"/>
      <c r="X1123" s="781"/>
      <c r="Y1123" s="781"/>
      <c r="Z1123" s="781"/>
      <c r="AA1123" s="781"/>
      <c r="AB1123" s="781"/>
      <c r="AC1123" s="781"/>
      <c r="AD1123" s="781"/>
      <c r="AE1123" s="781"/>
      <c r="AF1123" s="781"/>
      <c r="AG1123" s="781"/>
      <c r="AH1123" s="781"/>
      <c r="AI1123" s="781"/>
      <c r="AJ1123" s="781"/>
      <c r="AK1123" s="781"/>
      <c r="AL1123" s="781"/>
      <c r="AM1123" s="781"/>
      <c r="AN1123" s="781"/>
      <c r="AO1123" s="781"/>
      <c r="AP1123" s="781"/>
      <c r="AQ1123" s="781"/>
      <c r="AR1123" s="781"/>
      <c r="AS1123" s="781"/>
      <c r="AT1123" s="781"/>
      <c r="AU1123" s="781"/>
    </row>
    <row r="1124" ht="15.75" customHeight="1">
      <c r="A1124" s="782">
        <v>44921.0</v>
      </c>
      <c r="B1124" s="783" t="s">
        <v>6689</v>
      </c>
      <c r="C1124" s="772" t="s">
        <v>3820</v>
      </c>
      <c r="D1124" s="772" t="s">
        <v>6346</v>
      </c>
      <c r="E1124" s="784">
        <v>12000.0</v>
      </c>
      <c r="F1124" s="772" t="s">
        <v>6690</v>
      </c>
      <c r="G1124" s="772" t="s">
        <v>18</v>
      </c>
      <c r="H1124" s="772" t="s">
        <v>29</v>
      </c>
      <c r="I1124" s="772" t="s">
        <v>294</v>
      </c>
      <c r="J1124" s="782">
        <v>44076.0</v>
      </c>
      <c r="K1124" s="772" t="s">
        <v>3836</v>
      </c>
      <c r="L1124" s="781"/>
      <c r="M1124" s="781"/>
      <c r="N1124" s="781"/>
      <c r="O1124" s="781"/>
      <c r="P1124" s="781"/>
      <c r="Q1124" s="781"/>
      <c r="R1124" s="781"/>
      <c r="S1124" s="781"/>
      <c r="T1124" s="781"/>
      <c r="U1124" s="781"/>
      <c r="V1124" s="781"/>
      <c r="W1124" s="781"/>
      <c r="X1124" s="781"/>
      <c r="Y1124" s="781"/>
      <c r="Z1124" s="781"/>
      <c r="AA1124" s="781"/>
      <c r="AB1124" s="781"/>
      <c r="AC1124" s="781"/>
      <c r="AD1124" s="781"/>
      <c r="AE1124" s="781"/>
      <c r="AF1124" s="781"/>
      <c r="AG1124" s="781"/>
      <c r="AH1124" s="781"/>
      <c r="AI1124" s="781"/>
      <c r="AJ1124" s="781"/>
      <c r="AK1124" s="781"/>
      <c r="AL1124" s="781"/>
      <c r="AM1124" s="781"/>
      <c r="AN1124" s="781"/>
      <c r="AO1124" s="781"/>
      <c r="AP1124" s="781"/>
      <c r="AQ1124" s="781"/>
      <c r="AR1124" s="781"/>
      <c r="AS1124" s="781"/>
      <c r="AT1124" s="781"/>
      <c r="AU1124" s="781"/>
    </row>
    <row r="1125" ht="15.75" customHeight="1">
      <c r="A1125" s="782">
        <v>44921.0</v>
      </c>
      <c r="B1125" s="783" t="s">
        <v>6691</v>
      </c>
      <c r="C1125" s="772" t="s">
        <v>3820</v>
      </c>
      <c r="D1125" s="772" t="s">
        <v>6346</v>
      </c>
      <c r="E1125" s="784">
        <v>36019.28</v>
      </c>
      <c r="F1125" s="772" t="s">
        <v>4412</v>
      </c>
      <c r="G1125" s="782" t="s">
        <v>18</v>
      </c>
      <c r="H1125" s="782" t="s">
        <v>19</v>
      </c>
      <c r="I1125" s="782" t="s">
        <v>5029</v>
      </c>
      <c r="J1125" s="782">
        <v>44511.0</v>
      </c>
      <c r="K1125" s="782" t="s">
        <v>3828</v>
      </c>
      <c r="L1125" s="781"/>
      <c r="M1125" s="781"/>
      <c r="N1125" s="781"/>
      <c r="O1125" s="781"/>
      <c r="P1125" s="781"/>
      <c r="Q1125" s="781"/>
      <c r="R1125" s="781"/>
      <c r="S1125" s="781"/>
      <c r="T1125" s="781"/>
      <c r="U1125" s="781"/>
      <c r="V1125" s="781"/>
      <c r="W1125" s="781"/>
      <c r="X1125" s="781"/>
      <c r="Y1125" s="781"/>
      <c r="Z1125" s="781"/>
      <c r="AA1125" s="781"/>
      <c r="AB1125" s="781"/>
      <c r="AC1125" s="781"/>
      <c r="AD1125" s="781"/>
      <c r="AE1125" s="781"/>
      <c r="AF1125" s="781"/>
      <c r="AG1125" s="781"/>
      <c r="AH1125" s="781"/>
      <c r="AI1125" s="781"/>
      <c r="AJ1125" s="781"/>
      <c r="AK1125" s="781"/>
      <c r="AL1125" s="781"/>
      <c r="AM1125" s="781"/>
      <c r="AN1125" s="781"/>
      <c r="AO1125" s="781"/>
      <c r="AP1125" s="781"/>
      <c r="AQ1125" s="781"/>
      <c r="AR1125" s="781"/>
      <c r="AS1125" s="781"/>
      <c r="AT1125" s="781"/>
      <c r="AU1125" s="781"/>
    </row>
    <row r="1126" ht="15.75" customHeight="1">
      <c r="A1126" s="782">
        <v>44922.0</v>
      </c>
      <c r="B1126" s="783" t="s">
        <v>6593</v>
      </c>
      <c r="C1126" s="772" t="s">
        <v>3820</v>
      </c>
      <c r="D1126" s="772" t="s">
        <v>6346</v>
      </c>
      <c r="E1126" s="784">
        <v>10000.0</v>
      </c>
      <c r="F1126" s="772" t="s">
        <v>1416</v>
      </c>
      <c r="G1126" s="814" t="s">
        <v>18</v>
      </c>
      <c r="H1126" s="814" t="s">
        <v>19</v>
      </c>
      <c r="I1126" s="814" t="s">
        <v>122</v>
      </c>
      <c r="J1126" s="816">
        <v>44568.0</v>
      </c>
      <c r="K1126" s="813" t="s">
        <v>4479</v>
      </c>
      <c r="L1126" s="781"/>
      <c r="M1126" s="781"/>
      <c r="N1126" s="781"/>
      <c r="O1126" s="781"/>
      <c r="P1126" s="781"/>
      <c r="Q1126" s="781"/>
      <c r="R1126" s="781"/>
      <c r="S1126" s="781"/>
      <c r="T1126" s="781"/>
      <c r="U1126" s="781"/>
      <c r="V1126" s="781"/>
      <c r="W1126" s="781"/>
      <c r="X1126" s="781"/>
      <c r="Y1126" s="781"/>
      <c r="Z1126" s="781"/>
      <c r="AA1126" s="781"/>
      <c r="AB1126" s="781"/>
      <c r="AC1126" s="781"/>
      <c r="AD1126" s="781"/>
      <c r="AE1126" s="781"/>
      <c r="AF1126" s="781"/>
      <c r="AG1126" s="781"/>
      <c r="AH1126" s="781"/>
      <c r="AI1126" s="781"/>
      <c r="AJ1126" s="781"/>
      <c r="AK1126" s="781"/>
      <c r="AL1126" s="781"/>
      <c r="AM1126" s="781"/>
      <c r="AN1126" s="781"/>
      <c r="AO1126" s="781"/>
      <c r="AP1126" s="781"/>
      <c r="AQ1126" s="781"/>
      <c r="AR1126" s="781"/>
      <c r="AS1126" s="781"/>
      <c r="AT1126" s="781"/>
      <c r="AU1126" s="781"/>
    </row>
    <row r="1127" ht="15.75" customHeight="1">
      <c r="A1127" s="782">
        <v>44922.0</v>
      </c>
      <c r="B1127" s="783" t="s">
        <v>6649</v>
      </c>
      <c r="C1127" s="772" t="s">
        <v>3820</v>
      </c>
      <c r="D1127" s="772" t="s">
        <v>1481</v>
      </c>
      <c r="E1127" s="784">
        <v>44803.44</v>
      </c>
      <c r="F1127" s="772" t="s">
        <v>3865</v>
      </c>
      <c r="G1127" s="772" t="s">
        <v>18</v>
      </c>
      <c r="H1127" s="772" t="s">
        <v>29</v>
      </c>
      <c r="I1127" s="772" t="s">
        <v>168</v>
      </c>
      <c r="J1127" s="879">
        <v>44652.0</v>
      </c>
      <c r="K1127" s="772" t="s">
        <v>3834</v>
      </c>
      <c r="L1127" s="781"/>
      <c r="M1127" s="781"/>
      <c r="N1127" s="781"/>
      <c r="O1127" s="781"/>
      <c r="P1127" s="781"/>
      <c r="Q1127" s="781"/>
      <c r="R1127" s="781"/>
      <c r="S1127" s="781"/>
      <c r="T1127" s="781"/>
      <c r="U1127" s="781"/>
      <c r="V1127" s="781"/>
      <c r="W1127" s="781"/>
      <c r="X1127" s="781"/>
      <c r="Y1127" s="781"/>
      <c r="Z1127" s="781"/>
      <c r="AA1127" s="781"/>
      <c r="AB1127" s="781"/>
      <c r="AC1127" s="781"/>
      <c r="AD1127" s="781"/>
      <c r="AE1127" s="781"/>
      <c r="AF1127" s="781"/>
      <c r="AG1127" s="781"/>
      <c r="AH1127" s="781"/>
      <c r="AI1127" s="781"/>
      <c r="AJ1127" s="781"/>
      <c r="AK1127" s="781"/>
      <c r="AL1127" s="781"/>
      <c r="AM1127" s="781"/>
      <c r="AN1127" s="781"/>
      <c r="AO1127" s="781"/>
      <c r="AP1127" s="781"/>
      <c r="AQ1127" s="781"/>
      <c r="AR1127" s="781"/>
      <c r="AS1127" s="781"/>
      <c r="AT1127" s="781"/>
      <c r="AU1127" s="781"/>
    </row>
    <row r="1128" ht="15.75" customHeight="1">
      <c r="A1128" s="782">
        <v>44922.0</v>
      </c>
      <c r="B1128" s="783" t="s">
        <v>6478</v>
      </c>
      <c r="C1128" s="772" t="s">
        <v>3820</v>
      </c>
      <c r="D1128" s="772" t="s">
        <v>1481</v>
      </c>
      <c r="E1128" s="784">
        <v>25323.14</v>
      </c>
      <c r="F1128" s="772" t="s">
        <v>6692</v>
      </c>
      <c r="G1128" s="772" t="s">
        <v>18</v>
      </c>
      <c r="H1128" s="772" t="s">
        <v>29</v>
      </c>
      <c r="I1128" s="772" t="s">
        <v>2803</v>
      </c>
      <c r="J1128" s="819">
        <v>44399.0</v>
      </c>
      <c r="K1128" s="772" t="s">
        <v>3828</v>
      </c>
      <c r="L1128" s="781"/>
      <c r="M1128" s="781"/>
      <c r="N1128" s="781"/>
      <c r="O1128" s="781"/>
      <c r="P1128" s="781"/>
      <c r="Q1128" s="781"/>
      <c r="R1128" s="781"/>
      <c r="S1128" s="781"/>
      <c r="T1128" s="781"/>
      <c r="U1128" s="781"/>
      <c r="V1128" s="781"/>
      <c r="W1128" s="781"/>
      <c r="X1128" s="781"/>
      <c r="Y1128" s="781"/>
      <c r="Z1128" s="781"/>
      <c r="AA1128" s="781"/>
      <c r="AB1128" s="781"/>
      <c r="AC1128" s="781"/>
      <c r="AD1128" s="781"/>
      <c r="AE1128" s="781"/>
      <c r="AF1128" s="781"/>
      <c r="AG1128" s="781"/>
      <c r="AH1128" s="781"/>
      <c r="AI1128" s="781"/>
      <c r="AJ1128" s="781"/>
      <c r="AK1128" s="781"/>
      <c r="AL1128" s="781"/>
      <c r="AM1128" s="781"/>
      <c r="AN1128" s="781"/>
      <c r="AO1128" s="781"/>
      <c r="AP1128" s="781"/>
      <c r="AQ1128" s="781"/>
      <c r="AR1128" s="781"/>
      <c r="AS1128" s="781"/>
      <c r="AT1128" s="781"/>
      <c r="AU1128" s="781"/>
    </row>
    <row r="1129" ht="15.75" customHeight="1">
      <c r="A1129" s="782">
        <v>44930.0</v>
      </c>
      <c r="B1129" s="783" t="s">
        <v>6666</v>
      </c>
      <c r="C1129" s="772" t="s">
        <v>3820</v>
      </c>
      <c r="D1129" s="772" t="s">
        <v>6346</v>
      </c>
      <c r="E1129" s="784">
        <v>5000.0</v>
      </c>
      <c r="F1129" s="772" t="s">
        <v>336</v>
      </c>
      <c r="G1129" s="772" t="s">
        <v>18</v>
      </c>
      <c r="H1129" s="772" t="s">
        <v>19</v>
      </c>
      <c r="I1129" s="772" t="s">
        <v>122</v>
      </c>
      <c r="J1129" s="816">
        <v>44767.0</v>
      </c>
      <c r="K1129" s="811" t="s">
        <v>3834</v>
      </c>
      <c r="L1129" s="781"/>
      <c r="M1129" s="781"/>
      <c r="N1129" s="781"/>
      <c r="O1129" s="781"/>
      <c r="P1129" s="781"/>
      <c r="Q1129" s="781"/>
      <c r="R1129" s="781"/>
      <c r="S1129" s="781"/>
      <c r="T1129" s="781"/>
      <c r="U1129" s="781"/>
      <c r="V1129" s="781"/>
      <c r="W1129" s="781"/>
      <c r="X1129" s="781"/>
      <c r="Y1129" s="781"/>
      <c r="Z1129" s="781"/>
      <c r="AA1129" s="781"/>
      <c r="AB1129" s="781"/>
      <c r="AC1129" s="781"/>
      <c r="AD1129" s="781"/>
      <c r="AE1129" s="781"/>
      <c r="AF1129" s="781"/>
      <c r="AG1129" s="781"/>
      <c r="AH1129" s="781"/>
      <c r="AI1129" s="781"/>
      <c r="AJ1129" s="781"/>
      <c r="AK1129" s="781"/>
      <c r="AL1129" s="781"/>
      <c r="AM1129" s="781"/>
      <c r="AN1129" s="781"/>
      <c r="AO1129" s="781"/>
      <c r="AP1129" s="781"/>
      <c r="AQ1129" s="781"/>
      <c r="AR1129" s="781"/>
      <c r="AS1129" s="781"/>
      <c r="AT1129" s="781"/>
      <c r="AU1129" s="781"/>
    </row>
    <row r="1130" ht="15.75" customHeight="1">
      <c r="A1130" s="782">
        <v>44930.0</v>
      </c>
      <c r="B1130" s="783" t="s">
        <v>6371</v>
      </c>
      <c r="C1130" s="772" t="s">
        <v>3820</v>
      </c>
      <c r="D1130" s="772" t="s">
        <v>6345</v>
      </c>
      <c r="E1130" s="784">
        <v>47562.04</v>
      </c>
      <c r="F1130" s="772" t="s">
        <v>6693</v>
      </c>
      <c r="G1130" s="772" t="s">
        <v>18</v>
      </c>
      <c r="H1130" s="772" t="s">
        <v>29</v>
      </c>
      <c r="I1130" s="772" t="s">
        <v>168</v>
      </c>
      <c r="J1130" s="782">
        <v>44089.0</v>
      </c>
      <c r="K1130" s="772" t="s">
        <v>3834</v>
      </c>
      <c r="L1130" s="781"/>
      <c r="M1130" s="781"/>
      <c r="N1130" s="781"/>
      <c r="O1130" s="781"/>
      <c r="P1130" s="781"/>
      <c r="Q1130" s="781"/>
      <c r="R1130" s="781"/>
      <c r="S1130" s="781"/>
      <c r="T1130" s="781"/>
      <c r="U1130" s="781"/>
      <c r="V1130" s="781"/>
      <c r="W1130" s="781"/>
      <c r="X1130" s="781"/>
      <c r="Y1130" s="781"/>
      <c r="Z1130" s="781"/>
      <c r="AA1130" s="781"/>
      <c r="AB1130" s="781"/>
      <c r="AC1130" s="781"/>
      <c r="AD1130" s="781"/>
      <c r="AE1130" s="781"/>
      <c r="AF1130" s="781"/>
      <c r="AG1130" s="781"/>
      <c r="AH1130" s="781"/>
      <c r="AI1130" s="781"/>
      <c r="AJ1130" s="781"/>
      <c r="AK1130" s="781"/>
      <c r="AL1130" s="781"/>
      <c r="AM1130" s="781"/>
      <c r="AN1130" s="781"/>
      <c r="AO1130" s="781"/>
      <c r="AP1130" s="781"/>
      <c r="AQ1130" s="781"/>
      <c r="AR1130" s="781"/>
      <c r="AS1130" s="781"/>
      <c r="AT1130" s="781"/>
      <c r="AU1130" s="781"/>
    </row>
    <row r="1131" ht="15.75" customHeight="1">
      <c r="A1131" s="782">
        <v>44932.0</v>
      </c>
      <c r="B1131" s="783" t="s">
        <v>6694</v>
      </c>
      <c r="C1131" s="772" t="s">
        <v>3820</v>
      </c>
      <c r="D1131" s="772" t="s">
        <v>6346</v>
      </c>
      <c r="E1131" s="784">
        <v>39735.11</v>
      </c>
      <c r="F1131" s="814" t="s">
        <v>6530</v>
      </c>
      <c r="G1131" s="814" t="s">
        <v>18</v>
      </c>
      <c r="H1131" s="814" t="s">
        <v>19</v>
      </c>
      <c r="I1131" s="814" t="s">
        <v>20</v>
      </c>
      <c r="J1131" s="816">
        <v>44645.0</v>
      </c>
      <c r="K1131" s="813" t="s">
        <v>3828</v>
      </c>
      <c r="L1131" s="781"/>
      <c r="M1131" s="781"/>
      <c r="N1131" s="781"/>
      <c r="O1131" s="781"/>
      <c r="P1131" s="781"/>
      <c r="Q1131" s="781"/>
      <c r="R1131" s="781"/>
      <c r="S1131" s="781"/>
      <c r="T1131" s="781"/>
      <c r="U1131" s="781"/>
      <c r="V1131" s="781"/>
      <c r="W1131" s="781"/>
      <c r="X1131" s="781"/>
      <c r="Y1131" s="781"/>
      <c r="Z1131" s="781"/>
      <c r="AA1131" s="781"/>
      <c r="AB1131" s="781"/>
      <c r="AC1131" s="781"/>
      <c r="AD1131" s="781"/>
      <c r="AE1131" s="781"/>
      <c r="AF1131" s="781"/>
      <c r="AG1131" s="781"/>
      <c r="AH1131" s="781"/>
      <c r="AI1131" s="781"/>
      <c r="AJ1131" s="781"/>
      <c r="AK1131" s="781"/>
      <c r="AL1131" s="781"/>
      <c r="AM1131" s="781"/>
      <c r="AN1131" s="781"/>
      <c r="AO1131" s="781"/>
      <c r="AP1131" s="781"/>
      <c r="AQ1131" s="781"/>
      <c r="AR1131" s="781"/>
      <c r="AS1131" s="781"/>
      <c r="AT1131" s="781"/>
      <c r="AU1131" s="781"/>
    </row>
    <row r="1132" ht="15.75" customHeight="1">
      <c r="A1132" s="782">
        <v>44565.0</v>
      </c>
      <c r="B1132" s="783" t="s">
        <v>6607</v>
      </c>
      <c r="C1132" s="772" t="s">
        <v>3820</v>
      </c>
      <c r="D1132" s="772" t="s">
        <v>6346</v>
      </c>
      <c r="E1132" s="784">
        <v>18000.0</v>
      </c>
      <c r="F1132" s="772" t="s">
        <v>4735</v>
      </c>
      <c r="G1132" s="772" t="s">
        <v>18</v>
      </c>
      <c r="H1132" s="772" t="s">
        <v>29</v>
      </c>
      <c r="I1132" s="772" t="s">
        <v>2803</v>
      </c>
      <c r="J1132" s="782">
        <v>44393.0</v>
      </c>
      <c r="K1132" s="772" t="s">
        <v>3824</v>
      </c>
      <c r="L1132" s="781"/>
      <c r="M1132" s="781"/>
      <c r="N1132" s="781"/>
      <c r="O1132" s="781"/>
      <c r="P1132" s="781"/>
      <c r="Q1132" s="781"/>
      <c r="R1132" s="781"/>
      <c r="S1132" s="781"/>
      <c r="T1132" s="781"/>
      <c r="U1132" s="781"/>
      <c r="V1132" s="781"/>
      <c r="W1132" s="781"/>
      <c r="X1132" s="781"/>
      <c r="Y1132" s="781"/>
      <c r="Z1132" s="781"/>
      <c r="AA1132" s="781"/>
      <c r="AB1132" s="781"/>
      <c r="AC1132" s="781"/>
      <c r="AD1132" s="781"/>
      <c r="AE1132" s="781"/>
      <c r="AF1132" s="781"/>
      <c r="AG1132" s="781"/>
      <c r="AH1132" s="781"/>
      <c r="AI1132" s="781"/>
      <c r="AJ1132" s="781"/>
      <c r="AK1132" s="781"/>
      <c r="AL1132" s="781"/>
      <c r="AM1132" s="781"/>
      <c r="AN1132" s="781"/>
      <c r="AO1132" s="781"/>
      <c r="AP1132" s="781"/>
      <c r="AQ1132" s="781"/>
      <c r="AR1132" s="781"/>
      <c r="AS1132" s="781"/>
      <c r="AT1132" s="781"/>
      <c r="AU1132" s="781"/>
    </row>
    <row r="1133" ht="15.75" customHeight="1">
      <c r="A1133" s="782">
        <v>44935.0</v>
      </c>
      <c r="B1133" s="783" t="s">
        <v>1828</v>
      </c>
      <c r="C1133" s="772" t="s">
        <v>43</v>
      </c>
      <c r="D1133" s="772" t="s">
        <v>6346</v>
      </c>
      <c r="E1133" s="784">
        <v>51409.52</v>
      </c>
      <c r="F1133" s="772" t="s">
        <v>1827</v>
      </c>
      <c r="G1133" s="772" t="s">
        <v>18</v>
      </c>
      <c r="H1133" s="772" t="s">
        <v>19</v>
      </c>
      <c r="I1133" s="772" t="s">
        <v>213</v>
      </c>
      <c r="J1133" s="782">
        <v>44951.0</v>
      </c>
      <c r="K1133" s="772" t="s">
        <v>3834</v>
      </c>
      <c r="L1133" s="781"/>
      <c r="M1133" s="781"/>
      <c r="N1133" s="781"/>
      <c r="O1133" s="781"/>
      <c r="P1133" s="781"/>
      <c r="Q1133" s="781"/>
      <c r="R1133" s="781"/>
      <c r="S1133" s="781"/>
      <c r="T1133" s="781"/>
      <c r="U1133" s="781"/>
      <c r="V1133" s="781"/>
      <c r="W1133" s="781"/>
      <c r="X1133" s="781"/>
      <c r="Y1133" s="781"/>
      <c r="Z1133" s="781"/>
      <c r="AA1133" s="781"/>
      <c r="AB1133" s="781"/>
      <c r="AC1133" s="781"/>
      <c r="AD1133" s="781"/>
      <c r="AE1133" s="781"/>
      <c r="AF1133" s="781"/>
      <c r="AG1133" s="781"/>
      <c r="AH1133" s="781"/>
      <c r="AI1133" s="781"/>
      <c r="AJ1133" s="781"/>
      <c r="AK1133" s="781"/>
      <c r="AL1133" s="781"/>
      <c r="AM1133" s="781"/>
      <c r="AN1133" s="781"/>
      <c r="AO1133" s="781"/>
      <c r="AP1133" s="781"/>
      <c r="AQ1133" s="781"/>
      <c r="AR1133" s="781"/>
      <c r="AS1133" s="781"/>
      <c r="AT1133" s="781"/>
      <c r="AU1133" s="781"/>
    </row>
    <row r="1134" ht="15.75" customHeight="1">
      <c r="A1134" s="782"/>
      <c r="B1134" s="783" t="s">
        <v>708</v>
      </c>
      <c r="C1134" s="772" t="s">
        <v>43</v>
      </c>
      <c r="D1134" s="772" t="s">
        <v>6346</v>
      </c>
      <c r="E1134" s="784">
        <v>9000.0</v>
      </c>
      <c r="F1134" s="772" t="s">
        <v>6695</v>
      </c>
      <c r="G1134" s="772" t="s">
        <v>18</v>
      </c>
      <c r="H1134" s="772" t="s">
        <v>29</v>
      </c>
      <c r="I1134" s="772" t="s">
        <v>168</v>
      </c>
      <c r="J1134" s="782">
        <v>44888.0</v>
      </c>
      <c r="K1134" s="772" t="s">
        <v>3834</v>
      </c>
      <c r="L1134" s="781"/>
      <c r="M1134" s="781"/>
      <c r="N1134" s="781"/>
      <c r="O1134" s="781"/>
      <c r="P1134" s="781"/>
      <c r="Q1134" s="781"/>
      <c r="R1134" s="781"/>
      <c r="S1134" s="781"/>
      <c r="T1134" s="781"/>
      <c r="U1134" s="781"/>
      <c r="V1134" s="781"/>
      <c r="W1134" s="781"/>
      <c r="X1134" s="781"/>
      <c r="Y1134" s="781"/>
      <c r="Z1134" s="781"/>
      <c r="AA1134" s="781"/>
      <c r="AB1134" s="781"/>
      <c r="AC1134" s="781"/>
      <c r="AD1134" s="781"/>
      <c r="AE1134" s="781"/>
      <c r="AF1134" s="781"/>
      <c r="AG1134" s="781"/>
      <c r="AH1134" s="781"/>
      <c r="AI1134" s="781"/>
      <c r="AJ1134" s="781"/>
      <c r="AK1134" s="781"/>
      <c r="AL1134" s="781"/>
      <c r="AM1134" s="781"/>
      <c r="AN1134" s="781"/>
      <c r="AO1134" s="781"/>
      <c r="AP1134" s="781"/>
      <c r="AQ1134" s="781"/>
      <c r="AR1134" s="781"/>
      <c r="AS1134" s="781"/>
      <c r="AT1134" s="781"/>
      <c r="AU1134" s="781"/>
    </row>
    <row r="1135" ht="15.75" customHeight="1">
      <c r="A1135" s="782">
        <v>44565.0</v>
      </c>
      <c r="B1135" s="783" t="s">
        <v>6607</v>
      </c>
      <c r="C1135" s="772" t="s">
        <v>3820</v>
      </c>
      <c r="D1135" s="772" t="s">
        <v>6346</v>
      </c>
      <c r="E1135" s="784">
        <v>9500.0</v>
      </c>
      <c r="F1135" s="772" t="s">
        <v>4735</v>
      </c>
      <c r="G1135" s="772" t="s">
        <v>18</v>
      </c>
      <c r="H1135" s="772" t="s">
        <v>29</v>
      </c>
      <c r="I1135" s="772" t="s">
        <v>2803</v>
      </c>
      <c r="J1135" s="782">
        <v>44393.0</v>
      </c>
      <c r="K1135" s="772" t="s">
        <v>3824</v>
      </c>
      <c r="L1135" s="781"/>
      <c r="M1135" s="781"/>
      <c r="N1135" s="781"/>
      <c r="O1135" s="781"/>
      <c r="P1135" s="781"/>
      <c r="Q1135" s="781"/>
      <c r="R1135" s="781"/>
      <c r="S1135" s="781"/>
      <c r="T1135" s="781"/>
      <c r="U1135" s="781"/>
      <c r="V1135" s="781"/>
      <c r="W1135" s="781"/>
      <c r="X1135" s="781"/>
      <c r="Y1135" s="781"/>
      <c r="Z1135" s="781"/>
      <c r="AA1135" s="781"/>
      <c r="AB1135" s="781"/>
      <c r="AC1135" s="781"/>
      <c r="AD1135" s="781"/>
      <c r="AE1135" s="781"/>
      <c r="AF1135" s="781"/>
      <c r="AG1135" s="781"/>
      <c r="AH1135" s="781"/>
      <c r="AI1135" s="781"/>
      <c r="AJ1135" s="781"/>
      <c r="AK1135" s="781"/>
      <c r="AL1135" s="781"/>
      <c r="AM1135" s="781"/>
      <c r="AN1135" s="781"/>
      <c r="AO1135" s="781"/>
      <c r="AP1135" s="781"/>
      <c r="AQ1135" s="781"/>
      <c r="AR1135" s="781"/>
      <c r="AS1135" s="781"/>
      <c r="AT1135" s="781"/>
      <c r="AU1135" s="781"/>
    </row>
    <row r="1136" ht="15.75" customHeight="1">
      <c r="A1136" s="782">
        <v>44937.0</v>
      </c>
      <c r="B1136" s="783" t="s">
        <v>3649</v>
      </c>
      <c r="C1136" s="772" t="s">
        <v>3632</v>
      </c>
      <c r="D1136" s="772" t="s">
        <v>6346</v>
      </c>
      <c r="E1136" s="784">
        <v>10000.0</v>
      </c>
      <c r="F1136" s="772" t="s">
        <v>6696</v>
      </c>
      <c r="G1136" s="772" t="s">
        <v>18</v>
      </c>
      <c r="H1136" s="772" t="s">
        <v>29</v>
      </c>
      <c r="I1136" s="772" t="s">
        <v>2803</v>
      </c>
      <c r="J1136" s="782">
        <v>43934.0</v>
      </c>
      <c r="K1136" s="772" t="s">
        <v>3824</v>
      </c>
      <c r="L1136" s="781"/>
      <c r="M1136" s="781"/>
      <c r="N1136" s="781"/>
      <c r="O1136" s="781"/>
      <c r="P1136" s="781"/>
      <c r="Q1136" s="781"/>
      <c r="R1136" s="781"/>
      <c r="S1136" s="781"/>
      <c r="T1136" s="781"/>
      <c r="U1136" s="781"/>
      <c r="V1136" s="781"/>
      <c r="W1136" s="781"/>
      <c r="X1136" s="781"/>
      <c r="Y1136" s="781"/>
      <c r="Z1136" s="781"/>
      <c r="AA1136" s="781"/>
      <c r="AB1136" s="781"/>
      <c r="AC1136" s="781"/>
      <c r="AD1136" s="781"/>
      <c r="AE1136" s="781"/>
      <c r="AF1136" s="781"/>
      <c r="AG1136" s="781"/>
      <c r="AH1136" s="781"/>
      <c r="AI1136" s="781"/>
      <c r="AJ1136" s="781"/>
      <c r="AK1136" s="781"/>
      <c r="AL1136" s="781"/>
      <c r="AM1136" s="781"/>
      <c r="AN1136" s="781"/>
      <c r="AO1136" s="781"/>
      <c r="AP1136" s="781"/>
      <c r="AQ1136" s="781"/>
      <c r="AR1136" s="781"/>
      <c r="AS1136" s="781"/>
      <c r="AT1136" s="781"/>
      <c r="AU1136" s="781"/>
    </row>
    <row r="1137" ht="15.75" customHeight="1">
      <c r="A1137" s="782">
        <v>44935.0</v>
      </c>
      <c r="B1137" s="783" t="s">
        <v>6697</v>
      </c>
      <c r="C1137" s="772" t="s">
        <v>3820</v>
      </c>
      <c r="D1137" s="772" t="s">
        <v>1481</v>
      </c>
      <c r="E1137" s="784" t="s">
        <v>6698</v>
      </c>
      <c r="F1137" s="776" t="s">
        <v>5353</v>
      </c>
      <c r="G1137" s="772" t="s">
        <v>18</v>
      </c>
      <c r="H1137" s="772" t="s">
        <v>19</v>
      </c>
      <c r="I1137" s="772" t="s">
        <v>256</v>
      </c>
      <c r="J1137" s="772" t="s">
        <v>6699</v>
      </c>
      <c r="K1137" s="772" t="s">
        <v>3828</v>
      </c>
      <c r="L1137" s="781"/>
      <c r="M1137" s="781"/>
      <c r="N1137" s="781"/>
      <c r="O1137" s="781"/>
      <c r="P1137" s="781"/>
      <c r="Q1137" s="781"/>
      <c r="R1137" s="781"/>
      <c r="S1137" s="781"/>
      <c r="T1137" s="781"/>
      <c r="U1137" s="781"/>
      <c r="V1137" s="781"/>
      <c r="W1137" s="781"/>
      <c r="X1137" s="781"/>
      <c r="Y1137" s="781"/>
      <c r="Z1137" s="781"/>
      <c r="AA1137" s="781"/>
      <c r="AB1137" s="781"/>
      <c r="AC1137" s="781"/>
      <c r="AD1137" s="781"/>
      <c r="AE1137" s="781"/>
      <c r="AF1137" s="781"/>
      <c r="AG1137" s="781"/>
      <c r="AH1137" s="781"/>
      <c r="AI1137" s="781"/>
      <c r="AJ1137" s="781"/>
      <c r="AK1137" s="781"/>
      <c r="AL1137" s="781"/>
      <c r="AM1137" s="781"/>
      <c r="AN1137" s="781"/>
      <c r="AO1137" s="781"/>
      <c r="AP1137" s="781"/>
      <c r="AQ1137" s="781"/>
      <c r="AR1137" s="781"/>
      <c r="AS1137" s="781"/>
      <c r="AT1137" s="781"/>
      <c r="AU1137" s="781"/>
    </row>
    <row r="1138" ht="15.75" customHeight="1">
      <c r="A1138" s="782">
        <v>44949.0</v>
      </c>
      <c r="B1138" s="783" t="s">
        <v>6593</v>
      </c>
      <c r="C1138" s="772" t="s">
        <v>3820</v>
      </c>
      <c r="D1138" s="772" t="s">
        <v>1481</v>
      </c>
      <c r="E1138" s="784">
        <v>4119326.59</v>
      </c>
      <c r="F1138" s="772" t="s">
        <v>1416</v>
      </c>
      <c r="G1138" s="814" t="s">
        <v>18</v>
      </c>
      <c r="H1138" s="814" t="s">
        <v>19</v>
      </c>
      <c r="I1138" s="814" t="s">
        <v>122</v>
      </c>
      <c r="J1138" s="816">
        <v>44568.0</v>
      </c>
      <c r="K1138" s="813" t="s">
        <v>4479</v>
      </c>
      <c r="L1138" s="781"/>
      <c r="M1138" s="781"/>
      <c r="N1138" s="781"/>
      <c r="O1138" s="781"/>
      <c r="P1138" s="781"/>
      <c r="Q1138" s="781"/>
      <c r="R1138" s="781"/>
      <c r="S1138" s="781"/>
      <c r="T1138" s="781"/>
      <c r="U1138" s="781"/>
      <c r="V1138" s="781"/>
      <c r="W1138" s="781"/>
      <c r="X1138" s="781"/>
      <c r="Y1138" s="781"/>
      <c r="Z1138" s="781"/>
      <c r="AA1138" s="781"/>
      <c r="AB1138" s="781"/>
      <c r="AC1138" s="781"/>
      <c r="AD1138" s="781"/>
      <c r="AE1138" s="781"/>
      <c r="AF1138" s="781"/>
      <c r="AG1138" s="781"/>
      <c r="AH1138" s="781"/>
      <c r="AI1138" s="781"/>
      <c r="AJ1138" s="781"/>
      <c r="AK1138" s="781"/>
      <c r="AL1138" s="781"/>
      <c r="AM1138" s="781"/>
      <c r="AN1138" s="781"/>
      <c r="AO1138" s="781"/>
      <c r="AP1138" s="781"/>
      <c r="AQ1138" s="781"/>
      <c r="AR1138" s="781"/>
      <c r="AS1138" s="781"/>
      <c r="AT1138" s="781"/>
      <c r="AU1138" s="781"/>
    </row>
    <row r="1139" ht="15.75" customHeight="1">
      <c r="A1139" s="782">
        <v>44931.0</v>
      </c>
      <c r="B1139" s="880" t="s">
        <v>6384</v>
      </c>
      <c r="C1139" s="772" t="s">
        <v>3820</v>
      </c>
      <c r="D1139" s="772" t="s">
        <v>1481</v>
      </c>
      <c r="E1139" s="784">
        <v>97046.39</v>
      </c>
      <c r="F1139" s="775" t="s">
        <v>5098</v>
      </c>
      <c r="G1139" s="772" t="s">
        <v>105</v>
      </c>
      <c r="H1139" s="772" t="s">
        <v>29</v>
      </c>
      <c r="I1139" s="772" t="s">
        <v>3887</v>
      </c>
      <c r="J1139" s="782">
        <v>44180.0</v>
      </c>
      <c r="K1139" s="772" t="s">
        <v>3828</v>
      </c>
      <c r="L1139" s="781"/>
      <c r="M1139" s="781"/>
      <c r="N1139" s="781"/>
      <c r="O1139" s="781"/>
      <c r="P1139" s="781"/>
      <c r="Q1139" s="781"/>
      <c r="R1139" s="781"/>
      <c r="S1139" s="781"/>
      <c r="T1139" s="781"/>
      <c r="U1139" s="781"/>
      <c r="V1139" s="781"/>
      <c r="W1139" s="781"/>
      <c r="X1139" s="781"/>
      <c r="Y1139" s="781"/>
      <c r="Z1139" s="781"/>
      <c r="AA1139" s="781"/>
      <c r="AB1139" s="781"/>
      <c r="AC1139" s="781"/>
      <c r="AD1139" s="781"/>
      <c r="AE1139" s="781"/>
      <c r="AF1139" s="781"/>
      <c r="AG1139" s="781"/>
      <c r="AH1139" s="781"/>
      <c r="AI1139" s="781"/>
      <c r="AJ1139" s="781"/>
      <c r="AK1139" s="781"/>
      <c r="AL1139" s="781"/>
      <c r="AM1139" s="781"/>
      <c r="AN1139" s="781"/>
      <c r="AO1139" s="781"/>
      <c r="AP1139" s="781"/>
      <c r="AQ1139" s="781"/>
      <c r="AR1139" s="781"/>
      <c r="AS1139" s="781"/>
      <c r="AT1139" s="781"/>
      <c r="AU1139" s="781"/>
    </row>
    <row r="1140" ht="15.75" customHeight="1">
      <c r="A1140" s="782">
        <v>44938.0</v>
      </c>
      <c r="B1140" s="783" t="s">
        <v>1018</v>
      </c>
      <c r="C1140" s="772" t="s">
        <v>43</v>
      </c>
      <c r="D1140" s="772" t="s">
        <v>6346</v>
      </c>
      <c r="E1140" s="784">
        <v>13092.93</v>
      </c>
      <c r="F1140" s="772" t="s">
        <v>6700</v>
      </c>
      <c r="G1140" s="772" t="s">
        <v>18</v>
      </c>
      <c r="H1140" s="772" t="s">
        <v>19</v>
      </c>
      <c r="I1140" s="772" t="s">
        <v>256</v>
      </c>
      <c r="J1140" s="879">
        <v>44951.0</v>
      </c>
      <c r="K1140" s="772" t="s">
        <v>3834</v>
      </c>
      <c r="L1140" s="781"/>
      <c r="M1140" s="781"/>
      <c r="N1140" s="781"/>
      <c r="O1140" s="781"/>
      <c r="P1140" s="781"/>
      <c r="Q1140" s="781"/>
      <c r="R1140" s="781"/>
      <c r="S1140" s="781"/>
      <c r="T1140" s="781"/>
      <c r="U1140" s="781"/>
      <c r="V1140" s="781"/>
      <c r="W1140" s="781"/>
      <c r="X1140" s="781"/>
      <c r="Y1140" s="781"/>
      <c r="Z1140" s="781"/>
      <c r="AA1140" s="781"/>
      <c r="AB1140" s="781"/>
      <c r="AC1140" s="781"/>
      <c r="AD1140" s="781"/>
      <c r="AE1140" s="781"/>
      <c r="AF1140" s="781"/>
      <c r="AG1140" s="781"/>
      <c r="AH1140" s="781"/>
      <c r="AI1140" s="781"/>
      <c r="AJ1140" s="781"/>
      <c r="AK1140" s="781"/>
      <c r="AL1140" s="781"/>
      <c r="AM1140" s="781"/>
      <c r="AN1140" s="781"/>
      <c r="AO1140" s="781"/>
      <c r="AP1140" s="781"/>
      <c r="AQ1140" s="781"/>
      <c r="AR1140" s="781"/>
      <c r="AS1140" s="781"/>
      <c r="AT1140" s="781"/>
      <c r="AU1140" s="781"/>
    </row>
    <row r="1141" ht="15.75" customHeight="1">
      <c r="A1141" s="782">
        <v>44939.0</v>
      </c>
      <c r="B1141" s="783" t="s">
        <v>6666</v>
      </c>
      <c r="C1141" s="772" t="s">
        <v>3820</v>
      </c>
      <c r="D1141" s="772" t="s">
        <v>6346</v>
      </c>
      <c r="E1141" s="784">
        <v>1000.0</v>
      </c>
      <c r="F1141" s="772" t="s">
        <v>336</v>
      </c>
      <c r="G1141" s="772" t="s">
        <v>18</v>
      </c>
      <c r="H1141" s="772" t="s">
        <v>19</v>
      </c>
      <c r="I1141" s="772" t="s">
        <v>122</v>
      </c>
      <c r="J1141" s="879">
        <v>44767.0</v>
      </c>
      <c r="K1141" s="772" t="s">
        <v>3834</v>
      </c>
      <c r="L1141" s="781"/>
      <c r="M1141" s="781"/>
      <c r="N1141" s="781"/>
      <c r="O1141" s="781"/>
      <c r="P1141" s="781"/>
      <c r="Q1141" s="781"/>
      <c r="R1141" s="781"/>
      <c r="S1141" s="781"/>
      <c r="T1141" s="781"/>
      <c r="U1141" s="781"/>
      <c r="V1141" s="781"/>
      <c r="W1141" s="781"/>
      <c r="X1141" s="781"/>
      <c r="Y1141" s="781"/>
      <c r="Z1141" s="781"/>
      <c r="AA1141" s="781"/>
      <c r="AB1141" s="781"/>
      <c r="AC1141" s="781"/>
      <c r="AD1141" s="781"/>
      <c r="AE1141" s="781"/>
      <c r="AF1141" s="781"/>
      <c r="AG1141" s="781"/>
      <c r="AH1141" s="781"/>
      <c r="AI1141" s="781"/>
      <c r="AJ1141" s="781"/>
      <c r="AK1141" s="781"/>
      <c r="AL1141" s="781"/>
      <c r="AM1141" s="781"/>
      <c r="AN1141" s="781"/>
      <c r="AO1141" s="781"/>
      <c r="AP1141" s="781"/>
      <c r="AQ1141" s="781"/>
      <c r="AR1141" s="781"/>
      <c r="AS1141" s="781"/>
      <c r="AT1141" s="781"/>
      <c r="AU1141" s="781"/>
    </row>
    <row r="1142" ht="15.75" customHeight="1">
      <c r="A1142" s="809"/>
      <c r="B1142" s="792"/>
      <c r="C1142" s="801"/>
      <c r="D1142" s="801"/>
      <c r="E1142" s="791"/>
      <c r="F1142" s="809"/>
      <c r="G1142" s="809"/>
      <c r="H1142" s="809"/>
      <c r="I1142" s="809"/>
      <c r="J1142" s="809"/>
      <c r="K1142" s="809"/>
      <c r="L1142" s="781"/>
      <c r="M1142" s="781"/>
      <c r="N1142" s="781"/>
      <c r="O1142" s="781"/>
      <c r="P1142" s="781"/>
      <c r="Q1142" s="781"/>
      <c r="R1142" s="781"/>
      <c r="S1142" s="781"/>
      <c r="T1142" s="781"/>
      <c r="U1142" s="781"/>
      <c r="V1142" s="781"/>
      <c r="W1142" s="781"/>
      <c r="X1142" s="781"/>
      <c r="Y1142" s="781"/>
      <c r="Z1142" s="781"/>
      <c r="AA1142" s="781"/>
      <c r="AB1142" s="781"/>
      <c r="AC1142" s="781"/>
      <c r="AD1142" s="781"/>
      <c r="AE1142" s="781"/>
      <c r="AF1142" s="781"/>
      <c r="AG1142" s="781"/>
      <c r="AH1142" s="781"/>
      <c r="AI1142" s="781"/>
      <c r="AJ1142" s="781"/>
      <c r="AK1142" s="781"/>
      <c r="AL1142" s="781"/>
      <c r="AM1142" s="781"/>
      <c r="AN1142" s="781"/>
      <c r="AO1142" s="781"/>
      <c r="AP1142" s="781"/>
      <c r="AQ1142" s="781"/>
      <c r="AR1142" s="781"/>
      <c r="AS1142" s="781"/>
      <c r="AT1142" s="781"/>
      <c r="AU1142" s="781"/>
    </row>
    <row r="1143" ht="15.75" customHeight="1">
      <c r="A1143" s="809"/>
      <c r="B1143" s="792"/>
      <c r="C1143" s="801"/>
      <c r="D1143" s="801"/>
      <c r="E1143" s="791"/>
      <c r="F1143" s="809"/>
      <c r="G1143" s="809"/>
      <c r="H1143" s="809"/>
      <c r="I1143" s="809"/>
      <c r="J1143" s="809"/>
      <c r="K1143" s="809"/>
      <c r="L1143" s="781"/>
      <c r="M1143" s="781"/>
      <c r="N1143" s="781"/>
      <c r="O1143" s="781"/>
      <c r="P1143" s="781"/>
      <c r="Q1143" s="781"/>
      <c r="R1143" s="781"/>
      <c r="S1143" s="781"/>
      <c r="T1143" s="781"/>
      <c r="U1143" s="781"/>
      <c r="V1143" s="781"/>
      <c r="W1143" s="781"/>
      <c r="X1143" s="781"/>
      <c r="Y1143" s="781"/>
      <c r="Z1143" s="781"/>
      <c r="AA1143" s="781"/>
      <c r="AB1143" s="781"/>
      <c r="AC1143" s="781"/>
      <c r="AD1143" s="781"/>
      <c r="AE1143" s="781"/>
      <c r="AF1143" s="781"/>
      <c r="AG1143" s="781"/>
      <c r="AH1143" s="781"/>
      <c r="AI1143" s="781"/>
      <c r="AJ1143" s="781"/>
      <c r="AK1143" s="781"/>
      <c r="AL1143" s="781"/>
      <c r="AM1143" s="781"/>
      <c r="AN1143" s="781"/>
      <c r="AO1143" s="781"/>
      <c r="AP1143" s="781"/>
      <c r="AQ1143" s="781"/>
      <c r="AR1143" s="781"/>
      <c r="AS1143" s="781"/>
      <c r="AT1143" s="781"/>
      <c r="AU1143" s="781"/>
    </row>
    <row r="1144" ht="15.75" customHeight="1">
      <c r="A1144" s="809"/>
      <c r="B1144" s="792"/>
      <c r="C1144" s="801"/>
      <c r="D1144" s="801"/>
      <c r="E1144" s="791"/>
      <c r="F1144" s="809"/>
      <c r="G1144" s="809"/>
      <c r="H1144" s="809"/>
      <c r="I1144" s="809"/>
      <c r="J1144" s="809"/>
      <c r="K1144" s="809"/>
      <c r="L1144" s="781"/>
      <c r="M1144" s="781"/>
      <c r="N1144" s="781"/>
      <c r="O1144" s="781"/>
      <c r="P1144" s="781"/>
      <c r="Q1144" s="781"/>
      <c r="R1144" s="781"/>
      <c r="S1144" s="781"/>
      <c r="T1144" s="781"/>
      <c r="U1144" s="781"/>
      <c r="V1144" s="781"/>
      <c r="W1144" s="781"/>
      <c r="X1144" s="781"/>
      <c r="Y1144" s="781"/>
      <c r="Z1144" s="781"/>
      <c r="AA1144" s="781"/>
      <c r="AB1144" s="781"/>
      <c r="AC1144" s="781"/>
      <c r="AD1144" s="781"/>
      <c r="AE1144" s="781"/>
      <c r="AF1144" s="781"/>
      <c r="AG1144" s="781"/>
      <c r="AH1144" s="781"/>
      <c r="AI1144" s="781"/>
      <c r="AJ1144" s="781"/>
      <c r="AK1144" s="781"/>
      <c r="AL1144" s="781"/>
      <c r="AM1144" s="781"/>
      <c r="AN1144" s="781"/>
      <c r="AO1144" s="781"/>
      <c r="AP1144" s="781"/>
      <c r="AQ1144" s="781"/>
      <c r="AR1144" s="781"/>
      <c r="AS1144" s="781"/>
      <c r="AT1144" s="781"/>
      <c r="AU1144" s="781"/>
    </row>
    <row r="1145" ht="15.75" customHeight="1">
      <c r="A1145" s="809"/>
      <c r="B1145" s="792"/>
      <c r="C1145" s="801"/>
      <c r="D1145" s="801"/>
      <c r="E1145" s="791"/>
      <c r="F1145" s="809"/>
      <c r="G1145" s="809"/>
      <c r="H1145" s="809"/>
      <c r="I1145" s="809"/>
      <c r="J1145" s="809"/>
      <c r="K1145" s="809"/>
      <c r="L1145" s="781"/>
      <c r="M1145" s="781"/>
      <c r="N1145" s="781"/>
      <c r="O1145" s="781"/>
      <c r="P1145" s="781"/>
      <c r="Q1145" s="781"/>
      <c r="R1145" s="781"/>
      <c r="S1145" s="781"/>
      <c r="T1145" s="781"/>
      <c r="U1145" s="781"/>
      <c r="V1145" s="781"/>
      <c r="W1145" s="781"/>
      <c r="X1145" s="781"/>
      <c r="Y1145" s="781"/>
      <c r="Z1145" s="781"/>
      <c r="AA1145" s="781"/>
      <c r="AB1145" s="781"/>
      <c r="AC1145" s="781"/>
      <c r="AD1145" s="781"/>
      <c r="AE1145" s="781"/>
      <c r="AF1145" s="781"/>
      <c r="AG1145" s="781"/>
      <c r="AH1145" s="781"/>
      <c r="AI1145" s="781"/>
      <c r="AJ1145" s="781"/>
      <c r="AK1145" s="781"/>
      <c r="AL1145" s="781"/>
      <c r="AM1145" s="781"/>
      <c r="AN1145" s="781"/>
      <c r="AO1145" s="781"/>
      <c r="AP1145" s="781"/>
      <c r="AQ1145" s="781"/>
      <c r="AR1145" s="781"/>
      <c r="AS1145" s="781"/>
      <c r="AT1145" s="781"/>
      <c r="AU1145" s="781"/>
    </row>
    <row r="1146" ht="15.75" customHeight="1">
      <c r="A1146" s="809"/>
      <c r="B1146" s="792"/>
      <c r="C1146" s="801"/>
      <c r="D1146" s="801"/>
      <c r="E1146" s="791"/>
      <c r="F1146" s="809"/>
      <c r="G1146" s="809"/>
      <c r="H1146" s="809"/>
      <c r="I1146" s="809"/>
      <c r="J1146" s="809"/>
      <c r="K1146" s="809"/>
      <c r="L1146" s="781"/>
      <c r="M1146" s="781"/>
      <c r="N1146" s="781"/>
      <c r="O1146" s="781"/>
      <c r="P1146" s="781"/>
      <c r="Q1146" s="781"/>
      <c r="R1146" s="781"/>
      <c r="S1146" s="781"/>
      <c r="T1146" s="781"/>
      <c r="U1146" s="781"/>
      <c r="V1146" s="781"/>
      <c r="W1146" s="781"/>
      <c r="X1146" s="781"/>
      <c r="Y1146" s="781"/>
      <c r="Z1146" s="781"/>
      <c r="AA1146" s="781"/>
      <c r="AB1146" s="781"/>
      <c r="AC1146" s="781"/>
      <c r="AD1146" s="781"/>
      <c r="AE1146" s="781"/>
      <c r="AF1146" s="781"/>
      <c r="AG1146" s="781"/>
      <c r="AH1146" s="781"/>
      <c r="AI1146" s="781"/>
      <c r="AJ1146" s="781"/>
      <c r="AK1146" s="781"/>
      <c r="AL1146" s="781"/>
      <c r="AM1146" s="781"/>
      <c r="AN1146" s="781"/>
      <c r="AO1146" s="781"/>
      <c r="AP1146" s="781"/>
      <c r="AQ1146" s="781"/>
      <c r="AR1146" s="781"/>
      <c r="AS1146" s="781"/>
      <c r="AT1146" s="781"/>
      <c r="AU1146" s="781"/>
    </row>
    <row r="1147" ht="15.75" customHeight="1">
      <c r="A1147" s="809"/>
      <c r="B1147" s="792"/>
      <c r="C1147" s="801"/>
      <c r="D1147" s="801"/>
      <c r="E1147" s="791"/>
      <c r="F1147" s="809"/>
      <c r="G1147" s="809"/>
      <c r="H1147" s="809"/>
      <c r="I1147" s="809"/>
      <c r="J1147" s="809"/>
      <c r="K1147" s="809"/>
      <c r="L1147" s="781"/>
      <c r="M1147" s="781"/>
      <c r="N1147" s="781"/>
      <c r="O1147" s="781"/>
      <c r="P1147" s="781"/>
      <c r="Q1147" s="781"/>
      <c r="R1147" s="781"/>
      <c r="S1147" s="781"/>
      <c r="T1147" s="781"/>
      <c r="U1147" s="781"/>
      <c r="V1147" s="781"/>
      <c r="W1147" s="781"/>
      <c r="X1147" s="781"/>
      <c r="Y1147" s="781"/>
      <c r="Z1147" s="781"/>
      <c r="AA1147" s="781"/>
      <c r="AB1147" s="781"/>
      <c r="AC1147" s="781"/>
      <c r="AD1147" s="781"/>
      <c r="AE1147" s="781"/>
      <c r="AF1147" s="781"/>
      <c r="AG1147" s="781"/>
      <c r="AH1147" s="781"/>
      <c r="AI1147" s="781"/>
      <c r="AJ1147" s="781"/>
      <c r="AK1147" s="781"/>
      <c r="AL1147" s="781"/>
      <c r="AM1147" s="781"/>
      <c r="AN1147" s="781"/>
      <c r="AO1147" s="781"/>
      <c r="AP1147" s="781"/>
      <c r="AQ1147" s="781"/>
      <c r="AR1147" s="781"/>
      <c r="AS1147" s="781"/>
      <c r="AT1147" s="781"/>
      <c r="AU1147" s="781"/>
    </row>
    <row r="1148" ht="15.75" customHeight="1">
      <c r="A1148" s="809"/>
      <c r="B1148" s="792"/>
      <c r="C1148" s="801"/>
      <c r="D1148" s="801"/>
      <c r="E1148" s="791"/>
      <c r="F1148" s="809"/>
      <c r="G1148" s="809"/>
      <c r="H1148" s="809"/>
      <c r="I1148" s="809"/>
      <c r="J1148" s="809"/>
      <c r="K1148" s="809"/>
      <c r="L1148" s="781"/>
      <c r="M1148" s="781"/>
      <c r="N1148" s="781"/>
      <c r="O1148" s="781"/>
      <c r="P1148" s="781"/>
      <c r="Q1148" s="781"/>
      <c r="R1148" s="781"/>
      <c r="S1148" s="781"/>
      <c r="T1148" s="781"/>
      <c r="U1148" s="781"/>
      <c r="V1148" s="781"/>
      <c r="W1148" s="781"/>
      <c r="X1148" s="781"/>
      <c r="Y1148" s="781"/>
      <c r="Z1148" s="781"/>
      <c r="AA1148" s="781"/>
      <c r="AB1148" s="781"/>
      <c r="AC1148" s="781"/>
      <c r="AD1148" s="781"/>
      <c r="AE1148" s="781"/>
      <c r="AF1148" s="781"/>
      <c r="AG1148" s="781"/>
      <c r="AH1148" s="781"/>
      <c r="AI1148" s="781"/>
      <c r="AJ1148" s="781"/>
      <c r="AK1148" s="781"/>
      <c r="AL1148" s="781"/>
      <c r="AM1148" s="781"/>
      <c r="AN1148" s="781"/>
      <c r="AO1148" s="781"/>
      <c r="AP1148" s="781"/>
      <c r="AQ1148" s="781"/>
      <c r="AR1148" s="781"/>
      <c r="AS1148" s="781"/>
      <c r="AT1148" s="781"/>
      <c r="AU1148" s="781"/>
    </row>
    <row r="1149" ht="15.75" customHeight="1">
      <c r="A1149" s="809"/>
      <c r="B1149" s="792"/>
      <c r="C1149" s="801"/>
      <c r="D1149" s="801"/>
      <c r="E1149" s="791"/>
      <c r="F1149" s="809"/>
      <c r="G1149" s="809"/>
      <c r="H1149" s="809"/>
      <c r="I1149" s="809"/>
      <c r="J1149" s="809"/>
      <c r="K1149" s="809"/>
      <c r="L1149" s="781"/>
      <c r="M1149" s="781"/>
      <c r="N1149" s="781"/>
      <c r="O1149" s="781"/>
      <c r="P1149" s="781"/>
      <c r="Q1149" s="781"/>
      <c r="R1149" s="781"/>
      <c r="S1149" s="781"/>
      <c r="T1149" s="781"/>
      <c r="U1149" s="781"/>
      <c r="V1149" s="781"/>
      <c r="W1149" s="781"/>
      <c r="X1149" s="781"/>
      <c r="Y1149" s="781"/>
      <c r="Z1149" s="781"/>
      <c r="AA1149" s="781"/>
      <c r="AB1149" s="781"/>
      <c r="AC1149" s="781"/>
      <c r="AD1149" s="781"/>
      <c r="AE1149" s="781"/>
      <c r="AF1149" s="781"/>
      <c r="AG1149" s="781"/>
      <c r="AH1149" s="781"/>
      <c r="AI1149" s="781"/>
      <c r="AJ1149" s="781"/>
      <c r="AK1149" s="781"/>
      <c r="AL1149" s="781"/>
      <c r="AM1149" s="781"/>
      <c r="AN1149" s="781"/>
      <c r="AO1149" s="781"/>
      <c r="AP1149" s="781"/>
      <c r="AQ1149" s="781"/>
      <c r="AR1149" s="781"/>
      <c r="AS1149" s="781"/>
      <c r="AT1149" s="781"/>
      <c r="AU1149" s="781"/>
    </row>
    <row r="1150" ht="15.75" customHeight="1">
      <c r="A1150" s="809"/>
      <c r="B1150" s="792"/>
      <c r="C1150" s="801"/>
      <c r="D1150" s="801"/>
      <c r="E1150" s="791"/>
      <c r="F1150" s="809"/>
      <c r="G1150" s="809"/>
      <c r="H1150" s="809"/>
      <c r="I1150" s="809"/>
      <c r="J1150" s="809"/>
      <c r="K1150" s="809"/>
      <c r="L1150" s="781"/>
      <c r="M1150" s="781"/>
      <c r="N1150" s="781"/>
      <c r="O1150" s="781"/>
      <c r="P1150" s="781"/>
      <c r="Q1150" s="781"/>
      <c r="R1150" s="781"/>
      <c r="S1150" s="781"/>
      <c r="T1150" s="781"/>
      <c r="U1150" s="781"/>
      <c r="V1150" s="781"/>
      <c r="W1150" s="781"/>
      <c r="X1150" s="781"/>
      <c r="Y1150" s="781"/>
      <c r="Z1150" s="781"/>
      <c r="AA1150" s="781"/>
      <c r="AB1150" s="781"/>
      <c r="AC1150" s="781"/>
      <c r="AD1150" s="781"/>
      <c r="AE1150" s="781"/>
      <c r="AF1150" s="781"/>
      <c r="AG1150" s="781"/>
      <c r="AH1150" s="781"/>
      <c r="AI1150" s="781"/>
      <c r="AJ1150" s="781"/>
      <c r="AK1150" s="781"/>
      <c r="AL1150" s="781"/>
      <c r="AM1150" s="781"/>
      <c r="AN1150" s="781"/>
      <c r="AO1150" s="781"/>
      <c r="AP1150" s="781"/>
      <c r="AQ1150" s="781"/>
      <c r="AR1150" s="781"/>
      <c r="AS1150" s="781"/>
      <c r="AT1150" s="781"/>
      <c r="AU1150" s="781"/>
    </row>
    <row r="1151" ht="15.75" customHeight="1">
      <c r="A1151" s="809"/>
      <c r="B1151" s="792"/>
      <c r="C1151" s="801"/>
      <c r="D1151" s="801"/>
      <c r="E1151" s="791"/>
      <c r="F1151" s="809"/>
      <c r="G1151" s="809"/>
      <c r="H1151" s="809"/>
      <c r="I1151" s="809"/>
      <c r="J1151" s="809"/>
      <c r="K1151" s="809"/>
      <c r="L1151" s="781"/>
      <c r="M1151" s="781"/>
      <c r="N1151" s="781"/>
      <c r="O1151" s="781"/>
      <c r="P1151" s="781"/>
      <c r="Q1151" s="781"/>
      <c r="R1151" s="781"/>
      <c r="S1151" s="781"/>
      <c r="T1151" s="781"/>
      <c r="U1151" s="781"/>
      <c r="V1151" s="781"/>
      <c r="W1151" s="781"/>
      <c r="X1151" s="781"/>
      <c r="Y1151" s="781"/>
      <c r="Z1151" s="781"/>
      <c r="AA1151" s="781"/>
      <c r="AB1151" s="781"/>
      <c r="AC1151" s="781"/>
      <c r="AD1151" s="781"/>
      <c r="AE1151" s="781"/>
      <c r="AF1151" s="781"/>
      <c r="AG1151" s="781"/>
      <c r="AH1151" s="781"/>
      <c r="AI1151" s="781"/>
      <c r="AJ1151" s="781"/>
      <c r="AK1151" s="781"/>
      <c r="AL1151" s="781"/>
      <c r="AM1151" s="781"/>
      <c r="AN1151" s="781"/>
      <c r="AO1151" s="781"/>
      <c r="AP1151" s="781"/>
      <c r="AQ1151" s="781"/>
      <c r="AR1151" s="781"/>
      <c r="AS1151" s="781"/>
      <c r="AT1151" s="781"/>
      <c r="AU1151" s="781"/>
    </row>
    <row r="1152" ht="15.75" customHeight="1">
      <c r="A1152" s="809"/>
      <c r="B1152" s="792"/>
      <c r="C1152" s="801"/>
      <c r="D1152" s="801"/>
      <c r="E1152" s="791"/>
      <c r="F1152" s="809"/>
      <c r="G1152" s="809"/>
      <c r="H1152" s="809"/>
      <c r="I1152" s="809"/>
      <c r="J1152" s="809"/>
      <c r="K1152" s="809"/>
      <c r="L1152" s="781"/>
      <c r="M1152" s="781"/>
      <c r="N1152" s="781"/>
      <c r="O1152" s="781"/>
      <c r="P1152" s="781"/>
      <c r="Q1152" s="781"/>
      <c r="R1152" s="781"/>
      <c r="S1152" s="781"/>
      <c r="T1152" s="781"/>
      <c r="U1152" s="781"/>
      <c r="V1152" s="781"/>
      <c r="W1152" s="781"/>
      <c r="X1152" s="781"/>
      <c r="Y1152" s="781"/>
      <c r="Z1152" s="781"/>
      <c r="AA1152" s="781"/>
      <c r="AB1152" s="781"/>
      <c r="AC1152" s="781"/>
      <c r="AD1152" s="781"/>
      <c r="AE1152" s="781"/>
      <c r="AF1152" s="781"/>
      <c r="AG1152" s="781"/>
      <c r="AH1152" s="781"/>
      <c r="AI1152" s="781"/>
      <c r="AJ1152" s="781"/>
      <c r="AK1152" s="781"/>
      <c r="AL1152" s="781"/>
      <c r="AM1152" s="781"/>
      <c r="AN1152" s="781"/>
      <c r="AO1152" s="781"/>
      <c r="AP1152" s="781"/>
      <c r="AQ1152" s="781"/>
      <c r="AR1152" s="781"/>
      <c r="AS1152" s="781"/>
      <c r="AT1152" s="781"/>
      <c r="AU1152" s="781"/>
    </row>
    <row r="1153" ht="15.75" customHeight="1">
      <c r="A1153" s="809"/>
      <c r="B1153" s="792"/>
      <c r="C1153" s="801"/>
      <c r="D1153" s="801"/>
      <c r="E1153" s="791"/>
      <c r="F1153" s="809"/>
      <c r="G1153" s="809"/>
      <c r="H1153" s="809"/>
      <c r="I1153" s="809"/>
      <c r="J1153" s="809"/>
      <c r="K1153" s="809"/>
      <c r="L1153" s="781"/>
      <c r="M1153" s="781"/>
      <c r="N1153" s="781"/>
      <c r="O1153" s="781"/>
      <c r="P1153" s="781"/>
      <c r="Q1153" s="781"/>
      <c r="R1153" s="781"/>
      <c r="S1153" s="781"/>
      <c r="T1153" s="781"/>
      <c r="U1153" s="781"/>
      <c r="V1153" s="781"/>
      <c r="W1153" s="781"/>
      <c r="X1153" s="781"/>
      <c r="Y1153" s="781"/>
      <c r="Z1153" s="781"/>
      <c r="AA1153" s="781"/>
      <c r="AB1153" s="781"/>
      <c r="AC1153" s="781"/>
      <c r="AD1153" s="781"/>
      <c r="AE1153" s="781"/>
      <c r="AF1153" s="781"/>
      <c r="AG1153" s="781"/>
      <c r="AH1153" s="781"/>
      <c r="AI1153" s="781"/>
      <c r="AJ1153" s="781"/>
      <c r="AK1153" s="781"/>
      <c r="AL1153" s="781"/>
      <c r="AM1153" s="781"/>
      <c r="AN1153" s="781"/>
      <c r="AO1153" s="781"/>
      <c r="AP1153" s="781"/>
      <c r="AQ1153" s="781"/>
      <c r="AR1153" s="781"/>
      <c r="AS1153" s="781"/>
      <c r="AT1153" s="781"/>
      <c r="AU1153" s="781"/>
    </row>
    <row r="1154" ht="15.75" customHeight="1">
      <c r="A1154" s="809"/>
      <c r="B1154" s="792"/>
      <c r="C1154" s="801"/>
      <c r="D1154" s="801"/>
      <c r="E1154" s="791"/>
      <c r="F1154" s="809"/>
      <c r="G1154" s="809"/>
      <c r="H1154" s="809"/>
      <c r="I1154" s="809"/>
      <c r="J1154" s="809"/>
      <c r="K1154" s="809"/>
      <c r="L1154" s="781"/>
      <c r="M1154" s="781"/>
      <c r="N1154" s="781"/>
      <c r="O1154" s="781"/>
      <c r="P1154" s="781"/>
      <c r="Q1154" s="781"/>
      <c r="R1154" s="781"/>
      <c r="S1154" s="781"/>
      <c r="T1154" s="781"/>
      <c r="U1154" s="781"/>
      <c r="V1154" s="781"/>
      <c r="W1154" s="781"/>
      <c r="X1154" s="781"/>
      <c r="Y1154" s="781"/>
      <c r="Z1154" s="781"/>
      <c r="AA1154" s="781"/>
      <c r="AB1154" s="781"/>
      <c r="AC1154" s="781"/>
      <c r="AD1154" s="781"/>
      <c r="AE1154" s="781"/>
      <c r="AF1154" s="781"/>
      <c r="AG1154" s="781"/>
      <c r="AH1154" s="781"/>
      <c r="AI1154" s="781"/>
      <c r="AJ1154" s="781"/>
      <c r="AK1154" s="781"/>
      <c r="AL1154" s="781"/>
      <c r="AM1154" s="781"/>
      <c r="AN1154" s="781"/>
      <c r="AO1154" s="781"/>
      <c r="AP1154" s="781"/>
      <c r="AQ1154" s="781"/>
      <c r="AR1154" s="781"/>
      <c r="AS1154" s="781"/>
      <c r="AT1154" s="781"/>
      <c r="AU1154" s="781"/>
    </row>
    <row r="1155" ht="15.75" customHeight="1">
      <c r="A1155" s="809"/>
      <c r="B1155" s="792"/>
      <c r="C1155" s="801"/>
      <c r="D1155" s="801"/>
      <c r="E1155" s="791"/>
      <c r="F1155" s="809"/>
      <c r="G1155" s="809"/>
      <c r="H1155" s="809"/>
      <c r="I1155" s="809"/>
      <c r="J1155" s="809"/>
      <c r="K1155" s="809"/>
      <c r="L1155" s="781"/>
      <c r="M1155" s="781"/>
      <c r="N1155" s="781"/>
      <c r="O1155" s="781"/>
      <c r="P1155" s="781"/>
      <c r="Q1155" s="781"/>
      <c r="R1155" s="781"/>
      <c r="S1155" s="781"/>
      <c r="T1155" s="781"/>
      <c r="U1155" s="781"/>
      <c r="V1155" s="781"/>
      <c r="W1155" s="781"/>
      <c r="X1155" s="781"/>
      <c r="Y1155" s="781"/>
      <c r="Z1155" s="781"/>
      <c r="AA1155" s="781"/>
      <c r="AB1155" s="781"/>
      <c r="AC1155" s="781"/>
      <c r="AD1155" s="781"/>
      <c r="AE1155" s="781"/>
      <c r="AF1155" s="781"/>
      <c r="AG1155" s="781"/>
      <c r="AH1155" s="781"/>
      <c r="AI1155" s="781"/>
      <c r="AJ1155" s="781"/>
      <c r="AK1155" s="781"/>
      <c r="AL1155" s="781"/>
      <c r="AM1155" s="781"/>
      <c r="AN1155" s="781"/>
      <c r="AO1155" s="781"/>
      <c r="AP1155" s="781"/>
      <c r="AQ1155" s="781"/>
      <c r="AR1155" s="781"/>
      <c r="AS1155" s="781"/>
      <c r="AT1155" s="781"/>
      <c r="AU1155" s="781"/>
    </row>
    <row r="1156" ht="15.75" customHeight="1">
      <c r="A1156" s="809"/>
      <c r="B1156" s="792"/>
      <c r="C1156" s="801"/>
      <c r="D1156" s="801"/>
      <c r="E1156" s="791"/>
      <c r="F1156" s="809"/>
      <c r="G1156" s="809"/>
      <c r="H1156" s="809"/>
      <c r="I1156" s="809"/>
      <c r="J1156" s="809"/>
      <c r="K1156" s="809"/>
      <c r="L1156" s="781"/>
      <c r="M1156" s="781"/>
      <c r="N1156" s="781"/>
      <c r="O1156" s="781"/>
      <c r="P1156" s="781"/>
      <c r="Q1156" s="781"/>
      <c r="R1156" s="781"/>
      <c r="S1156" s="781"/>
      <c r="T1156" s="781"/>
      <c r="U1156" s="781"/>
      <c r="V1156" s="781"/>
      <c r="W1156" s="781"/>
      <c r="X1156" s="781"/>
      <c r="Y1156" s="781"/>
      <c r="Z1156" s="781"/>
      <c r="AA1156" s="781"/>
      <c r="AB1156" s="781"/>
      <c r="AC1156" s="781"/>
      <c r="AD1156" s="781"/>
      <c r="AE1156" s="781"/>
      <c r="AF1156" s="781"/>
      <c r="AG1156" s="781"/>
      <c r="AH1156" s="781"/>
      <c r="AI1156" s="781"/>
      <c r="AJ1156" s="781"/>
      <c r="AK1156" s="781"/>
      <c r="AL1156" s="781"/>
      <c r="AM1156" s="781"/>
      <c r="AN1156" s="781"/>
      <c r="AO1156" s="781"/>
      <c r="AP1156" s="781"/>
      <c r="AQ1156" s="781"/>
      <c r="AR1156" s="781"/>
      <c r="AS1156" s="781"/>
      <c r="AT1156" s="781"/>
      <c r="AU1156" s="781"/>
    </row>
    <row r="1157" ht="15.75" customHeight="1">
      <c r="A1157" s="809"/>
      <c r="B1157" s="792"/>
      <c r="C1157" s="801"/>
      <c r="D1157" s="801"/>
      <c r="E1157" s="791"/>
      <c r="F1157" s="809"/>
      <c r="G1157" s="809"/>
      <c r="H1157" s="809"/>
      <c r="I1157" s="809"/>
      <c r="J1157" s="809"/>
      <c r="K1157" s="809"/>
      <c r="L1157" s="781"/>
      <c r="M1157" s="781"/>
      <c r="N1157" s="781"/>
      <c r="O1157" s="781"/>
      <c r="P1157" s="781"/>
      <c r="Q1157" s="781"/>
      <c r="R1157" s="781"/>
      <c r="S1157" s="781"/>
      <c r="T1157" s="781"/>
      <c r="U1157" s="781"/>
      <c r="V1157" s="781"/>
      <c r="W1157" s="781"/>
      <c r="X1157" s="781"/>
      <c r="Y1157" s="781"/>
      <c r="Z1157" s="781"/>
      <c r="AA1157" s="781"/>
      <c r="AB1157" s="781"/>
      <c r="AC1157" s="781"/>
      <c r="AD1157" s="781"/>
      <c r="AE1157" s="781"/>
      <c r="AF1157" s="781"/>
      <c r="AG1157" s="781"/>
      <c r="AH1157" s="781"/>
      <c r="AI1157" s="781"/>
      <c r="AJ1157" s="781"/>
      <c r="AK1157" s="781"/>
      <c r="AL1157" s="781"/>
      <c r="AM1157" s="781"/>
      <c r="AN1157" s="781"/>
      <c r="AO1157" s="781"/>
      <c r="AP1157" s="781"/>
      <c r="AQ1157" s="781"/>
      <c r="AR1157" s="781"/>
      <c r="AS1157" s="781"/>
      <c r="AT1157" s="781"/>
      <c r="AU1157" s="781"/>
    </row>
    <row r="1158" ht="15.75" customHeight="1">
      <c r="A1158" s="809"/>
      <c r="B1158" s="792"/>
      <c r="C1158" s="801"/>
      <c r="D1158" s="801"/>
      <c r="E1158" s="791"/>
      <c r="F1158" s="809"/>
      <c r="G1158" s="809"/>
      <c r="H1158" s="809"/>
      <c r="I1158" s="809"/>
      <c r="J1158" s="809"/>
      <c r="K1158" s="809"/>
      <c r="L1158" s="781"/>
      <c r="M1158" s="781"/>
      <c r="N1158" s="781"/>
      <c r="O1158" s="781"/>
      <c r="P1158" s="781"/>
      <c r="Q1158" s="781"/>
      <c r="R1158" s="781"/>
      <c r="S1158" s="781"/>
      <c r="T1158" s="781"/>
      <c r="U1158" s="781"/>
      <c r="V1158" s="781"/>
      <c r="W1158" s="781"/>
      <c r="X1158" s="781"/>
      <c r="Y1158" s="781"/>
      <c r="Z1158" s="781"/>
      <c r="AA1158" s="781"/>
      <c r="AB1158" s="781"/>
      <c r="AC1158" s="781"/>
      <c r="AD1158" s="781"/>
      <c r="AE1158" s="781"/>
      <c r="AF1158" s="781"/>
      <c r="AG1158" s="781"/>
      <c r="AH1158" s="781"/>
      <c r="AI1158" s="781"/>
      <c r="AJ1158" s="781"/>
      <c r="AK1158" s="781"/>
      <c r="AL1158" s="781"/>
      <c r="AM1158" s="781"/>
      <c r="AN1158" s="781"/>
      <c r="AO1158" s="781"/>
      <c r="AP1158" s="781"/>
      <c r="AQ1158" s="781"/>
      <c r="AR1158" s="781"/>
      <c r="AS1158" s="781"/>
      <c r="AT1158" s="781"/>
      <c r="AU1158" s="781"/>
    </row>
    <row r="1159" ht="15.75" customHeight="1">
      <c r="A1159" s="809"/>
      <c r="B1159" s="792"/>
      <c r="C1159" s="801"/>
      <c r="D1159" s="801"/>
      <c r="E1159" s="791"/>
      <c r="F1159" s="809"/>
      <c r="G1159" s="809"/>
      <c r="H1159" s="809"/>
      <c r="I1159" s="809"/>
      <c r="J1159" s="809"/>
      <c r="K1159" s="809"/>
      <c r="L1159" s="781"/>
      <c r="M1159" s="781"/>
      <c r="N1159" s="781"/>
      <c r="O1159" s="781"/>
      <c r="P1159" s="781"/>
      <c r="Q1159" s="781"/>
      <c r="R1159" s="781"/>
      <c r="S1159" s="781"/>
      <c r="T1159" s="781"/>
      <c r="U1159" s="781"/>
      <c r="V1159" s="781"/>
      <c r="W1159" s="781"/>
      <c r="X1159" s="781"/>
      <c r="Y1159" s="781"/>
      <c r="Z1159" s="781"/>
      <c r="AA1159" s="781"/>
      <c r="AB1159" s="781"/>
      <c r="AC1159" s="781"/>
      <c r="AD1159" s="781"/>
      <c r="AE1159" s="781"/>
      <c r="AF1159" s="781"/>
      <c r="AG1159" s="781"/>
      <c r="AH1159" s="781"/>
      <c r="AI1159" s="781"/>
      <c r="AJ1159" s="781"/>
      <c r="AK1159" s="781"/>
      <c r="AL1159" s="781"/>
      <c r="AM1159" s="781"/>
      <c r="AN1159" s="781"/>
      <c r="AO1159" s="781"/>
      <c r="AP1159" s="781"/>
      <c r="AQ1159" s="781"/>
      <c r="AR1159" s="781"/>
      <c r="AS1159" s="781"/>
      <c r="AT1159" s="781"/>
      <c r="AU1159" s="781"/>
    </row>
    <row r="1160" ht="15.75" customHeight="1">
      <c r="A1160" s="809"/>
      <c r="B1160" s="792"/>
      <c r="C1160" s="801"/>
      <c r="D1160" s="801"/>
      <c r="E1160" s="791"/>
      <c r="F1160" s="809"/>
      <c r="G1160" s="809"/>
      <c r="H1160" s="809"/>
      <c r="I1160" s="809"/>
      <c r="J1160" s="809"/>
      <c r="K1160" s="809"/>
      <c r="L1160" s="781"/>
      <c r="M1160" s="781"/>
      <c r="N1160" s="781"/>
      <c r="O1160" s="781"/>
      <c r="P1160" s="781"/>
      <c r="Q1160" s="781"/>
      <c r="R1160" s="781"/>
      <c r="S1160" s="781"/>
      <c r="T1160" s="781"/>
      <c r="U1160" s="781"/>
      <c r="V1160" s="781"/>
      <c r="W1160" s="781"/>
      <c r="X1160" s="781"/>
      <c r="Y1160" s="781"/>
      <c r="Z1160" s="781"/>
      <c r="AA1160" s="781"/>
      <c r="AB1160" s="781"/>
      <c r="AC1160" s="781"/>
      <c r="AD1160" s="781"/>
      <c r="AE1160" s="781"/>
      <c r="AF1160" s="781"/>
      <c r="AG1160" s="781"/>
      <c r="AH1160" s="781"/>
      <c r="AI1160" s="781"/>
      <c r="AJ1160" s="781"/>
      <c r="AK1160" s="781"/>
      <c r="AL1160" s="781"/>
      <c r="AM1160" s="781"/>
      <c r="AN1160" s="781"/>
      <c r="AO1160" s="781"/>
      <c r="AP1160" s="781"/>
      <c r="AQ1160" s="781"/>
      <c r="AR1160" s="781"/>
      <c r="AS1160" s="781"/>
      <c r="AT1160" s="781"/>
      <c r="AU1160" s="781"/>
    </row>
    <row r="1161" ht="15.75" customHeight="1">
      <c r="A1161" s="809"/>
      <c r="B1161" s="792"/>
      <c r="C1161" s="801"/>
      <c r="D1161" s="801"/>
      <c r="E1161" s="791"/>
      <c r="F1161" s="809"/>
      <c r="G1161" s="809"/>
      <c r="H1161" s="809"/>
      <c r="I1161" s="809"/>
      <c r="J1161" s="809"/>
      <c r="K1161" s="809"/>
      <c r="L1161" s="781"/>
      <c r="M1161" s="781"/>
      <c r="N1161" s="781"/>
      <c r="O1161" s="781"/>
      <c r="P1161" s="781"/>
      <c r="Q1161" s="781"/>
      <c r="R1161" s="781"/>
      <c r="S1161" s="781"/>
      <c r="T1161" s="781"/>
      <c r="U1161" s="781"/>
      <c r="V1161" s="781"/>
      <c r="W1161" s="781"/>
      <c r="X1161" s="781"/>
      <c r="Y1161" s="781"/>
      <c r="Z1161" s="781"/>
      <c r="AA1161" s="781"/>
      <c r="AB1161" s="781"/>
      <c r="AC1161" s="781"/>
      <c r="AD1161" s="781"/>
      <c r="AE1161" s="781"/>
      <c r="AF1161" s="781"/>
      <c r="AG1161" s="781"/>
      <c r="AH1161" s="781"/>
      <c r="AI1161" s="781"/>
      <c r="AJ1161" s="781"/>
      <c r="AK1161" s="781"/>
      <c r="AL1161" s="781"/>
      <c r="AM1161" s="781"/>
      <c r="AN1161" s="781"/>
      <c r="AO1161" s="781"/>
      <c r="AP1161" s="781"/>
      <c r="AQ1161" s="781"/>
      <c r="AR1161" s="781"/>
      <c r="AS1161" s="781"/>
      <c r="AT1161" s="781"/>
      <c r="AU1161" s="781"/>
    </row>
    <row r="1162" ht="15.75" customHeight="1">
      <c r="A1162" s="809"/>
      <c r="B1162" s="792"/>
      <c r="C1162" s="801"/>
      <c r="D1162" s="801"/>
      <c r="E1162" s="791"/>
      <c r="F1162" s="809"/>
      <c r="G1162" s="809"/>
      <c r="H1162" s="809"/>
      <c r="I1162" s="809"/>
      <c r="J1162" s="809"/>
      <c r="K1162" s="809"/>
      <c r="L1162" s="781"/>
      <c r="M1162" s="781"/>
      <c r="N1162" s="781"/>
      <c r="O1162" s="781"/>
      <c r="P1162" s="781"/>
      <c r="Q1162" s="781"/>
      <c r="R1162" s="781"/>
      <c r="S1162" s="781"/>
      <c r="T1162" s="781"/>
      <c r="U1162" s="781"/>
      <c r="V1162" s="781"/>
      <c r="W1162" s="781"/>
      <c r="X1162" s="781"/>
      <c r="Y1162" s="781"/>
      <c r="Z1162" s="781"/>
      <c r="AA1162" s="781"/>
      <c r="AB1162" s="781"/>
      <c r="AC1162" s="781"/>
      <c r="AD1162" s="781"/>
      <c r="AE1162" s="781"/>
      <c r="AF1162" s="781"/>
      <c r="AG1162" s="781"/>
      <c r="AH1162" s="781"/>
      <c r="AI1162" s="781"/>
      <c r="AJ1162" s="781"/>
      <c r="AK1162" s="781"/>
      <c r="AL1162" s="781"/>
      <c r="AM1162" s="781"/>
      <c r="AN1162" s="781"/>
      <c r="AO1162" s="781"/>
      <c r="AP1162" s="781"/>
      <c r="AQ1162" s="781"/>
      <c r="AR1162" s="781"/>
      <c r="AS1162" s="781"/>
      <c r="AT1162" s="781"/>
      <c r="AU1162" s="781"/>
    </row>
    <row r="1163" ht="15.75" customHeight="1">
      <c r="A1163" s="809"/>
      <c r="B1163" s="792"/>
      <c r="C1163" s="801"/>
      <c r="D1163" s="801"/>
      <c r="E1163" s="791"/>
      <c r="F1163" s="809"/>
      <c r="G1163" s="809"/>
      <c r="H1163" s="809"/>
      <c r="I1163" s="809"/>
      <c r="J1163" s="809"/>
      <c r="K1163" s="809"/>
      <c r="L1163" s="781"/>
      <c r="M1163" s="781"/>
      <c r="N1163" s="781"/>
      <c r="O1163" s="781"/>
      <c r="P1163" s="781"/>
      <c r="Q1163" s="781"/>
      <c r="R1163" s="781"/>
      <c r="S1163" s="781"/>
      <c r="T1163" s="781"/>
      <c r="U1163" s="781"/>
      <c r="V1163" s="781"/>
      <c r="W1163" s="781"/>
      <c r="X1163" s="781"/>
      <c r="Y1163" s="781"/>
      <c r="Z1163" s="781"/>
      <c r="AA1163" s="781"/>
      <c r="AB1163" s="781"/>
      <c r="AC1163" s="781"/>
      <c r="AD1163" s="781"/>
      <c r="AE1163" s="781"/>
      <c r="AF1163" s="781"/>
      <c r="AG1163" s="781"/>
      <c r="AH1163" s="781"/>
      <c r="AI1163" s="781"/>
      <c r="AJ1163" s="781"/>
      <c r="AK1163" s="781"/>
      <c r="AL1163" s="781"/>
      <c r="AM1163" s="781"/>
      <c r="AN1163" s="781"/>
      <c r="AO1163" s="781"/>
      <c r="AP1163" s="781"/>
      <c r="AQ1163" s="781"/>
      <c r="AR1163" s="781"/>
      <c r="AS1163" s="781"/>
      <c r="AT1163" s="781"/>
      <c r="AU1163" s="781"/>
    </row>
    <row r="1164" ht="15.75" customHeight="1">
      <c r="A1164" s="809"/>
      <c r="B1164" s="792"/>
      <c r="C1164" s="801"/>
      <c r="D1164" s="801"/>
      <c r="E1164" s="791"/>
      <c r="F1164" s="809"/>
      <c r="G1164" s="809"/>
      <c r="H1164" s="809"/>
      <c r="I1164" s="809"/>
      <c r="J1164" s="809"/>
      <c r="K1164" s="809"/>
      <c r="L1164" s="781"/>
      <c r="M1164" s="781"/>
      <c r="N1164" s="781"/>
      <c r="O1164" s="781"/>
      <c r="P1164" s="781"/>
      <c r="Q1164" s="781"/>
      <c r="R1164" s="781"/>
      <c r="S1164" s="781"/>
      <c r="T1164" s="781"/>
      <c r="U1164" s="781"/>
      <c r="V1164" s="781"/>
      <c r="W1164" s="781"/>
      <c r="X1164" s="781"/>
      <c r="Y1164" s="781"/>
      <c r="Z1164" s="781"/>
      <c r="AA1164" s="781"/>
      <c r="AB1164" s="781"/>
      <c r="AC1164" s="781"/>
      <c r="AD1164" s="781"/>
      <c r="AE1164" s="781"/>
      <c r="AF1164" s="781"/>
      <c r="AG1164" s="781"/>
      <c r="AH1164" s="781"/>
      <c r="AI1164" s="781"/>
      <c r="AJ1164" s="781"/>
      <c r="AK1164" s="781"/>
      <c r="AL1164" s="781"/>
      <c r="AM1164" s="781"/>
      <c r="AN1164" s="781"/>
      <c r="AO1164" s="781"/>
      <c r="AP1164" s="781"/>
      <c r="AQ1164" s="781"/>
      <c r="AR1164" s="781"/>
      <c r="AS1164" s="781"/>
      <c r="AT1164" s="781"/>
      <c r="AU1164" s="781"/>
    </row>
    <row r="1165" ht="15.75" customHeight="1">
      <c r="A1165" s="809"/>
      <c r="B1165" s="792"/>
      <c r="C1165" s="801"/>
      <c r="D1165" s="801"/>
      <c r="E1165" s="791"/>
      <c r="F1165" s="809"/>
      <c r="G1165" s="809"/>
      <c r="H1165" s="809"/>
      <c r="I1165" s="809"/>
      <c r="J1165" s="809"/>
      <c r="K1165" s="809"/>
      <c r="L1165" s="781"/>
      <c r="M1165" s="781"/>
      <c r="N1165" s="781"/>
      <c r="O1165" s="781"/>
      <c r="P1165" s="781"/>
      <c r="Q1165" s="781"/>
      <c r="R1165" s="781"/>
      <c r="S1165" s="781"/>
      <c r="T1165" s="781"/>
      <c r="U1165" s="781"/>
      <c r="V1165" s="781"/>
      <c r="W1165" s="781"/>
      <c r="X1165" s="781"/>
      <c r="Y1165" s="781"/>
      <c r="Z1165" s="781"/>
      <c r="AA1165" s="781"/>
      <c r="AB1165" s="781"/>
      <c r="AC1165" s="781"/>
      <c r="AD1165" s="781"/>
      <c r="AE1165" s="781"/>
      <c r="AF1165" s="781"/>
      <c r="AG1165" s="781"/>
      <c r="AH1165" s="781"/>
      <c r="AI1165" s="781"/>
      <c r="AJ1165" s="781"/>
      <c r="AK1165" s="781"/>
      <c r="AL1165" s="781"/>
      <c r="AM1165" s="781"/>
      <c r="AN1165" s="781"/>
      <c r="AO1165" s="781"/>
      <c r="AP1165" s="781"/>
      <c r="AQ1165" s="781"/>
      <c r="AR1165" s="781"/>
      <c r="AS1165" s="781"/>
      <c r="AT1165" s="781"/>
      <c r="AU1165" s="781"/>
    </row>
    <row r="1166" ht="15.75" customHeight="1">
      <c r="A1166" s="809"/>
      <c r="B1166" s="792"/>
      <c r="C1166" s="801"/>
      <c r="D1166" s="801"/>
      <c r="E1166" s="791"/>
      <c r="F1166" s="809"/>
      <c r="G1166" s="809"/>
      <c r="H1166" s="809"/>
      <c r="I1166" s="809"/>
      <c r="J1166" s="809"/>
      <c r="K1166" s="809"/>
      <c r="L1166" s="781"/>
      <c r="M1166" s="781"/>
      <c r="N1166" s="781"/>
      <c r="O1166" s="781"/>
      <c r="P1166" s="781"/>
      <c r="Q1166" s="781"/>
      <c r="R1166" s="781"/>
      <c r="S1166" s="781"/>
      <c r="T1166" s="781"/>
      <c r="U1166" s="781"/>
      <c r="V1166" s="781"/>
      <c r="W1166" s="781"/>
      <c r="X1166" s="781"/>
      <c r="Y1166" s="781"/>
      <c r="Z1166" s="781"/>
      <c r="AA1166" s="781"/>
      <c r="AB1166" s="781"/>
      <c r="AC1166" s="781"/>
      <c r="AD1166" s="781"/>
      <c r="AE1166" s="781"/>
      <c r="AF1166" s="781"/>
      <c r="AG1166" s="781"/>
      <c r="AH1166" s="781"/>
      <c r="AI1166" s="781"/>
      <c r="AJ1166" s="781"/>
      <c r="AK1166" s="781"/>
      <c r="AL1166" s="781"/>
      <c r="AM1166" s="781"/>
      <c r="AN1166" s="781"/>
      <c r="AO1166" s="781"/>
      <c r="AP1166" s="781"/>
      <c r="AQ1166" s="781"/>
      <c r="AR1166" s="781"/>
      <c r="AS1166" s="781"/>
      <c r="AT1166" s="781"/>
      <c r="AU1166" s="781"/>
    </row>
    <row r="1167" ht="15.75" customHeight="1">
      <c r="A1167" s="809"/>
      <c r="B1167" s="792"/>
      <c r="C1167" s="801"/>
      <c r="D1167" s="801"/>
      <c r="E1167" s="791"/>
      <c r="F1167" s="809"/>
      <c r="G1167" s="809"/>
      <c r="H1167" s="809"/>
      <c r="I1167" s="809"/>
      <c r="J1167" s="809"/>
      <c r="K1167" s="809"/>
      <c r="L1167" s="781"/>
      <c r="M1167" s="781"/>
      <c r="N1167" s="781"/>
      <c r="O1167" s="781"/>
      <c r="P1167" s="781"/>
      <c r="Q1167" s="781"/>
      <c r="R1167" s="781"/>
      <c r="S1167" s="781"/>
      <c r="T1167" s="781"/>
      <c r="U1167" s="781"/>
      <c r="V1167" s="781"/>
      <c r="W1167" s="781"/>
      <c r="X1167" s="781"/>
      <c r="Y1167" s="781"/>
      <c r="Z1167" s="781"/>
      <c r="AA1167" s="781"/>
      <c r="AB1167" s="781"/>
      <c r="AC1167" s="781"/>
      <c r="AD1167" s="781"/>
      <c r="AE1167" s="781"/>
      <c r="AF1167" s="781"/>
      <c r="AG1167" s="781"/>
      <c r="AH1167" s="781"/>
      <c r="AI1167" s="781"/>
      <c r="AJ1167" s="781"/>
      <c r="AK1167" s="781"/>
      <c r="AL1167" s="781"/>
      <c r="AM1167" s="781"/>
      <c r="AN1167" s="781"/>
      <c r="AO1167" s="781"/>
      <c r="AP1167" s="781"/>
      <c r="AQ1167" s="781"/>
      <c r="AR1167" s="781"/>
      <c r="AS1167" s="781"/>
      <c r="AT1167" s="781"/>
      <c r="AU1167" s="781"/>
    </row>
    <row r="1168" ht="15.75" customHeight="1">
      <c r="A1168" s="809"/>
      <c r="B1168" s="792"/>
      <c r="C1168" s="801"/>
      <c r="D1168" s="801"/>
      <c r="E1168" s="791"/>
      <c r="F1168" s="809"/>
      <c r="G1168" s="809"/>
      <c r="H1168" s="809"/>
      <c r="I1168" s="809"/>
      <c r="J1168" s="809"/>
      <c r="K1168" s="809"/>
      <c r="L1168" s="781"/>
      <c r="M1168" s="781"/>
      <c r="N1168" s="781"/>
      <c r="O1168" s="781"/>
      <c r="P1168" s="781"/>
      <c r="Q1168" s="781"/>
      <c r="R1168" s="781"/>
      <c r="S1168" s="781"/>
      <c r="T1168" s="781"/>
      <c r="U1168" s="781"/>
      <c r="V1168" s="781"/>
      <c r="W1168" s="781"/>
      <c r="X1168" s="781"/>
      <c r="Y1168" s="781"/>
      <c r="Z1168" s="781"/>
      <c r="AA1168" s="781"/>
      <c r="AB1168" s="781"/>
      <c r="AC1168" s="781"/>
      <c r="AD1168" s="781"/>
      <c r="AE1168" s="781"/>
      <c r="AF1168" s="781"/>
      <c r="AG1168" s="781"/>
      <c r="AH1168" s="781"/>
      <c r="AI1168" s="781"/>
      <c r="AJ1168" s="781"/>
      <c r="AK1168" s="781"/>
      <c r="AL1168" s="781"/>
      <c r="AM1168" s="781"/>
      <c r="AN1168" s="781"/>
      <c r="AO1168" s="781"/>
      <c r="AP1168" s="781"/>
      <c r="AQ1168" s="781"/>
      <c r="AR1168" s="781"/>
      <c r="AS1168" s="781"/>
      <c r="AT1168" s="781"/>
      <c r="AU1168" s="781"/>
    </row>
    <row r="1169" ht="15.75" customHeight="1">
      <c r="A1169" s="809"/>
      <c r="B1169" s="792"/>
      <c r="C1169" s="801"/>
      <c r="D1169" s="801"/>
      <c r="E1169" s="791"/>
      <c r="F1169" s="809"/>
      <c r="G1169" s="809"/>
      <c r="H1169" s="809"/>
      <c r="I1169" s="809"/>
      <c r="J1169" s="809"/>
      <c r="K1169" s="809"/>
      <c r="L1169" s="781"/>
      <c r="M1169" s="781"/>
      <c r="N1169" s="781"/>
      <c r="O1169" s="781"/>
      <c r="P1169" s="781"/>
      <c r="Q1169" s="781"/>
      <c r="R1169" s="781"/>
      <c r="S1169" s="781"/>
      <c r="T1169" s="781"/>
      <c r="U1169" s="781"/>
      <c r="V1169" s="781"/>
      <c r="W1169" s="781"/>
      <c r="X1169" s="781"/>
      <c r="Y1169" s="781"/>
      <c r="Z1169" s="781"/>
      <c r="AA1169" s="781"/>
      <c r="AB1169" s="781"/>
      <c r="AC1169" s="781"/>
      <c r="AD1169" s="781"/>
      <c r="AE1169" s="781"/>
      <c r="AF1169" s="781"/>
      <c r="AG1169" s="781"/>
      <c r="AH1169" s="781"/>
      <c r="AI1169" s="781"/>
      <c r="AJ1169" s="781"/>
      <c r="AK1169" s="781"/>
      <c r="AL1169" s="781"/>
      <c r="AM1169" s="781"/>
      <c r="AN1169" s="781"/>
      <c r="AO1169" s="781"/>
      <c r="AP1169" s="781"/>
      <c r="AQ1169" s="781"/>
      <c r="AR1169" s="781"/>
      <c r="AS1169" s="781"/>
      <c r="AT1169" s="781"/>
      <c r="AU1169" s="781"/>
    </row>
    <row r="1170" ht="15.75" customHeight="1">
      <c r="A1170" s="809"/>
      <c r="B1170" s="792"/>
      <c r="C1170" s="801"/>
      <c r="D1170" s="801"/>
      <c r="E1170" s="791"/>
      <c r="F1170" s="809"/>
      <c r="G1170" s="809"/>
      <c r="H1170" s="809"/>
      <c r="I1170" s="809"/>
      <c r="J1170" s="809"/>
      <c r="K1170" s="809"/>
      <c r="L1170" s="781"/>
      <c r="M1170" s="781"/>
      <c r="N1170" s="781"/>
      <c r="O1170" s="781"/>
      <c r="P1170" s="781"/>
      <c r="Q1170" s="781"/>
      <c r="R1170" s="781"/>
      <c r="S1170" s="781"/>
      <c r="T1170" s="781"/>
      <c r="U1170" s="781"/>
      <c r="V1170" s="781"/>
      <c r="W1170" s="781"/>
      <c r="X1170" s="781"/>
      <c r="Y1170" s="781"/>
      <c r="Z1170" s="781"/>
      <c r="AA1170" s="781"/>
      <c r="AB1170" s="781"/>
      <c r="AC1170" s="781"/>
      <c r="AD1170" s="781"/>
      <c r="AE1170" s="781"/>
      <c r="AF1170" s="781"/>
      <c r="AG1170" s="781"/>
      <c r="AH1170" s="781"/>
      <c r="AI1170" s="781"/>
      <c r="AJ1170" s="781"/>
      <c r="AK1170" s="781"/>
      <c r="AL1170" s="781"/>
      <c r="AM1170" s="781"/>
      <c r="AN1170" s="781"/>
      <c r="AO1170" s="781"/>
      <c r="AP1170" s="781"/>
      <c r="AQ1170" s="781"/>
      <c r="AR1170" s="781"/>
      <c r="AS1170" s="781"/>
      <c r="AT1170" s="781"/>
      <c r="AU1170" s="781"/>
    </row>
    <row r="1171" ht="15.75" customHeight="1">
      <c r="A1171" s="809"/>
      <c r="B1171" s="792"/>
      <c r="C1171" s="801"/>
      <c r="D1171" s="801"/>
      <c r="E1171" s="791"/>
      <c r="F1171" s="809"/>
      <c r="G1171" s="809"/>
      <c r="H1171" s="809"/>
      <c r="I1171" s="809"/>
      <c r="J1171" s="809"/>
      <c r="K1171" s="809"/>
      <c r="L1171" s="781"/>
      <c r="M1171" s="781"/>
      <c r="N1171" s="781"/>
      <c r="O1171" s="781"/>
      <c r="P1171" s="781"/>
      <c r="Q1171" s="781"/>
      <c r="R1171" s="781"/>
      <c r="S1171" s="781"/>
      <c r="T1171" s="781"/>
      <c r="U1171" s="781"/>
      <c r="V1171" s="781"/>
      <c r="W1171" s="781"/>
      <c r="X1171" s="781"/>
      <c r="Y1171" s="781"/>
      <c r="Z1171" s="781"/>
      <c r="AA1171" s="781"/>
      <c r="AB1171" s="781"/>
      <c r="AC1171" s="781"/>
      <c r="AD1171" s="781"/>
      <c r="AE1171" s="781"/>
      <c r="AF1171" s="781"/>
      <c r="AG1171" s="781"/>
      <c r="AH1171" s="781"/>
      <c r="AI1171" s="781"/>
      <c r="AJ1171" s="781"/>
      <c r="AK1171" s="781"/>
      <c r="AL1171" s="781"/>
      <c r="AM1171" s="781"/>
      <c r="AN1171" s="781"/>
      <c r="AO1171" s="781"/>
      <c r="AP1171" s="781"/>
      <c r="AQ1171" s="781"/>
      <c r="AR1171" s="781"/>
      <c r="AS1171" s="781"/>
      <c r="AT1171" s="781"/>
      <c r="AU1171" s="781"/>
    </row>
    <row r="1172" ht="15.75" customHeight="1">
      <c r="A1172" s="809"/>
      <c r="B1172" s="792"/>
      <c r="C1172" s="801"/>
      <c r="D1172" s="801"/>
      <c r="E1172" s="791"/>
      <c r="F1172" s="809"/>
      <c r="G1172" s="809"/>
      <c r="H1172" s="809"/>
      <c r="I1172" s="809"/>
      <c r="J1172" s="809"/>
      <c r="K1172" s="809"/>
      <c r="L1172" s="781"/>
      <c r="M1172" s="781"/>
      <c r="N1172" s="781"/>
      <c r="O1172" s="781"/>
      <c r="P1172" s="781"/>
      <c r="Q1172" s="781"/>
      <c r="R1172" s="781"/>
      <c r="S1172" s="781"/>
      <c r="T1172" s="781"/>
      <c r="U1172" s="781"/>
      <c r="V1172" s="781"/>
      <c r="W1172" s="781"/>
      <c r="X1172" s="781"/>
      <c r="Y1172" s="781"/>
      <c r="Z1172" s="781"/>
      <c r="AA1172" s="781"/>
      <c r="AB1172" s="781"/>
      <c r="AC1172" s="781"/>
      <c r="AD1172" s="781"/>
      <c r="AE1172" s="781"/>
      <c r="AF1172" s="781"/>
      <c r="AG1172" s="781"/>
      <c r="AH1172" s="781"/>
      <c r="AI1172" s="781"/>
      <c r="AJ1172" s="781"/>
      <c r="AK1172" s="781"/>
      <c r="AL1172" s="781"/>
      <c r="AM1172" s="781"/>
      <c r="AN1172" s="781"/>
      <c r="AO1172" s="781"/>
      <c r="AP1172" s="781"/>
      <c r="AQ1172" s="781"/>
      <c r="AR1172" s="781"/>
      <c r="AS1172" s="781"/>
      <c r="AT1172" s="781"/>
      <c r="AU1172" s="781"/>
    </row>
    <row r="1173" ht="15.75" customHeight="1">
      <c r="A1173" s="809"/>
      <c r="B1173" s="792"/>
      <c r="C1173" s="801"/>
      <c r="D1173" s="801"/>
      <c r="E1173" s="791"/>
      <c r="F1173" s="809"/>
      <c r="G1173" s="809"/>
      <c r="H1173" s="809"/>
      <c r="I1173" s="809"/>
      <c r="J1173" s="809"/>
      <c r="K1173" s="809"/>
      <c r="L1173" s="781"/>
      <c r="M1173" s="781"/>
      <c r="N1173" s="781"/>
      <c r="O1173" s="781"/>
      <c r="P1173" s="781"/>
      <c r="Q1173" s="781"/>
      <c r="R1173" s="781"/>
      <c r="S1173" s="781"/>
      <c r="T1173" s="781"/>
      <c r="U1173" s="781"/>
      <c r="V1173" s="781"/>
      <c r="W1173" s="781"/>
      <c r="X1173" s="781"/>
      <c r="Y1173" s="781"/>
      <c r="Z1173" s="781"/>
      <c r="AA1173" s="781"/>
      <c r="AB1173" s="781"/>
      <c r="AC1173" s="781"/>
      <c r="AD1173" s="781"/>
      <c r="AE1173" s="781"/>
      <c r="AF1173" s="781"/>
      <c r="AG1173" s="781"/>
      <c r="AH1173" s="781"/>
      <c r="AI1173" s="781"/>
      <c r="AJ1173" s="781"/>
      <c r="AK1173" s="781"/>
      <c r="AL1173" s="781"/>
      <c r="AM1173" s="781"/>
      <c r="AN1173" s="781"/>
      <c r="AO1173" s="781"/>
      <c r="AP1173" s="781"/>
      <c r="AQ1173" s="781"/>
      <c r="AR1173" s="781"/>
      <c r="AS1173" s="781"/>
      <c r="AT1173" s="781"/>
      <c r="AU1173" s="781"/>
    </row>
    <row r="1174" ht="15.75" customHeight="1">
      <c r="A1174" s="809"/>
      <c r="B1174" s="792"/>
      <c r="C1174" s="801"/>
      <c r="D1174" s="801"/>
      <c r="E1174" s="791"/>
      <c r="F1174" s="809"/>
      <c r="G1174" s="809"/>
      <c r="H1174" s="809"/>
      <c r="I1174" s="809"/>
      <c r="J1174" s="809"/>
      <c r="K1174" s="809"/>
      <c r="L1174" s="781"/>
      <c r="M1174" s="781"/>
      <c r="N1174" s="781"/>
      <c r="O1174" s="781"/>
      <c r="P1174" s="781"/>
      <c r="Q1174" s="781"/>
      <c r="R1174" s="781"/>
      <c r="S1174" s="781"/>
      <c r="T1174" s="781"/>
      <c r="U1174" s="781"/>
      <c r="V1174" s="781"/>
      <c r="W1174" s="781"/>
      <c r="X1174" s="781"/>
      <c r="Y1174" s="781"/>
      <c r="Z1174" s="781"/>
      <c r="AA1174" s="781"/>
      <c r="AB1174" s="781"/>
      <c r="AC1174" s="781"/>
      <c r="AD1174" s="781"/>
      <c r="AE1174" s="781"/>
      <c r="AF1174" s="781"/>
      <c r="AG1174" s="781"/>
      <c r="AH1174" s="781"/>
      <c r="AI1174" s="781"/>
      <c r="AJ1174" s="781"/>
      <c r="AK1174" s="781"/>
      <c r="AL1174" s="781"/>
      <c r="AM1174" s="781"/>
      <c r="AN1174" s="781"/>
      <c r="AO1174" s="781"/>
      <c r="AP1174" s="781"/>
      <c r="AQ1174" s="781"/>
      <c r="AR1174" s="781"/>
      <c r="AS1174" s="781"/>
      <c r="AT1174" s="781"/>
      <c r="AU1174" s="781"/>
    </row>
    <row r="1175" ht="15.75" customHeight="1">
      <c r="A1175" s="809"/>
      <c r="B1175" s="792"/>
      <c r="C1175" s="801"/>
      <c r="D1175" s="801"/>
      <c r="E1175" s="791"/>
      <c r="F1175" s="809"/>
      <c r="G1175" s="809"/>
      <c r="H1175" s="809"/>
      <c r="I1175" s="809"/>
      <c r="J1175" s="809"/>
      <c r="K1175" s="809"/>
      <c r="L1175" s="781"/>
      <c r="M1175" s="781"/>
      <c r="N1175" s="781"/>
      <c r="O1175" s="781"/>
      <c r="P1175" s="781"/>
      <c r="Q1175" s="781"/>
      <c r="R1175" s="781"/>
      <c r="S1175" s="781"/>
      <c r="T1175" s="781"/>
      <c r="U1175" s="781"/>
      <c r="V1175" s="781"/>
      <c r="W1175" s="781"/>
      <c r="X1175" s="781"/>
      <c r="Y1175" s="781"/>
      <c r="Z1175" s="781"/>
      <c r="AA1175" s="781"/>
      <c r="AB1175" s="781"/>
      <c r="AC1175" s="781"/>
      <c r="AD1175" s="781"/>
      <c r="AE1175" s="781"/>
      <c r="AF1175" s="781"/>
      <c r="AG1175" s="781"/>
      <c r="AH1175" s="781"/>
      <c r="AI1175" s="781"/>
      <c r="AJ1175" s="781"/>
      <c r="AK1175" s="781"/>
      <c r="AL1175" s="781"/>
      <c r="AM1175" s="781"/>
      <c r="AN1175" s="781"/>
      <c r="AO1175" s="781"/>
      <c r="AP1175" s="781"/>
      <c r="AQ1175" s="781"/>
      <c r="AR1175" s="781"/>
      <c r="AS1175" s="781"/>
      <c r="AT1175" s="781"/>
      <c r="AU1175" s="781"/>
    </row>
    <row r="1176" ht="15.75" customHeight="1">
      <c r="A1176" s="809"/>
      <c r="B1176" s="792"/>
      <c r="C1176" s="801"/>
      <c r="D1176" s="801"/>
      <c r="E1176" s="791"/>
      <c r="F1176" s="809"/>
      <c r="G1176" s="809"/>
      <c r="H1176" s="809"/>
      <c r="I1176" s="809"/>
      <c r="J1176" s="809"/>
      <c r="K1176" s="809"/>
      <c r="L1176" s="781"/>
      <c r="M1176" s="781"/>
      <c r="N1176" s="781"/>
      <c r="O1176" s="781"/>
      <c r="P1176" s="781"/>
      <c r="Q1176" s="781"/>
      <c r="R1176" s="781"/>
      <c r="S1176" s="781"/>
      <c r="T1176" s="781"/>
      <c r="U1176" s="781"/>
      <c r="V1176" s="781"/>
      <c r="W1176" s="781"/>
      <c r="X1176" s="781"/>
      <c r="Y1176" s="781"/>
      <c r="Z1176" s="781"/>
      <c r="AA1176" s="781"/>
      <c r="AB1176" s="781"/>
      <c r="AC1176" s="781"/>
      <c r="AD1176" s="781"/>
      <c r="AE1176" s="781"/>
      <c r="AF1176" s="781"/>
      <c r="AG1176" s="781"/>
      <c r="AH1176" s="781"/>
      <c r="AI1176" s="781"/>
      <c r="AJ1176" s="781"/>
      <c r="AK1176" s="781"/>
      <c r="AL1176" s="781"/>
      <c r="AM1176" s="781"/>
      <c r="AN1176" s="781"/>
      <c r="AO1176" s="781"/>
      <c r="AP1176" s="781"/>
      <c r="AQ1176" s="781"/>
      <c r="AR1176" s="781"/>
      <c r="AS1176" s="781"/>
      <c r="AT1176" s="781"/>
      <c r="AU1176" s="781"/>
    </row>
    <row r="1177" ht="15.75" customHeight="1">
      <c r="A1177" s="809"/>
      <c r="B1177" s="792"/>
      <c r="C1177" s="801"/>
      <c r="D1177" s="801"/>
      <c r="E1177" s="791"/>
      <c r="F1177" s="809"/>
      <c r="G1177" s="809"/>
      <c r="H1177" s="809"/>
      <c r="I1177" s="809"/>
      <c r="J1177" s="809"/>
      <c r="K1177" s="809"/>
      <c r="L1177" s="781"/>
      <c r="M1177" s="781"/>
      <c r="N1177" s="781"/>
      <c r="O1177" s="781"/>
      <c r="P1177" s="781"/>
      <c r="Q1177" s="781"/>
      <c r="R1177" s="781"/>
      <c r="S1177" s="781"/>
      <c r="T1177" s="781"/>
      <c r="U1177" s="781"/>
      <c r="V1177" s="781"/>
      <c r="W1177" s="781"/>
      <c r="X1177" s="781"/>
      <c r="Y1177" s="781"/>
      <c r="Z1177" s="781"/>
      <c r="AA1177" s="781"/>
      <c r="AB1177" s="781"/>
      <c r="AC1177" s="781"/>
      <c r="AD1177" s="781"/>
      <c r="AE1177" s="781"/>
      <c r="AF1177" s="781"/>
      <c r="AG1177" s="781"/>
      <c r="AH1177" s="781"/>
      <c r="AI1177" s="781"/>
      <c r="AJ1177" s="781"/>
      <c r="AK1177" s="781"/>
      <c r="AL1177" s="781"/>
      <c r="AM1177" s="781"/>
      <c r="AN1177" s="781"/>
      <c r="AO1177" s="781"/>
      <c r="AP1177" s="781"/>
      <c r="AQ1177" s="781"/>
      <c r="AR1177" s="781"/>
      <c r="AS1177" s="781"/>
      <c r="AT1177" s="781"/>
      <c r="AU1177" s="781"/>
    </row>
    <row r="1178" ht="15.75" customHeight="1">
      <c r="A1178" s="809"/>
      <c r="B1178" s="792"/>
      <c r="C1178" s="801"/>
      <c r="D1178" s="801"/>
      <c r="E1178" s="791"/>
      <c r="F1178" s="809"/>
      <c r="G1178" s="809"/>
      <c r="H1178" s="809"/>
      <c r="I1178" s="809"/>
      <c r="J1178" s="809"/>
      <c r="K1178" s="809"/>
      <c r="L1178" s="781"/>
      <c r="M1178" s="781"/>
      <c r="N1178" s="781"/>
      <c r="O1178" s="781"/>
      <c r="P1178" s="781"/>
      <c r="Q1178" s="781"/>
      <c r="R1178" s="781"/>
      <c r="S1178" s="781"/>
      <c r="T1178" s="781"/>
      <c r="U1178" s="781"/>
      <c r="V1178" s="781"/>
      <c r="W1178" s="781"/>
      <c r="X1178" s="781"/>
      <c r="Y1178" s="781"/>
      <c r="Z1178" s="781"/>
      <c r="AA1178" s="781"/>
      <c r="AB1178" s="781"/>
      <c r="AC1178" s="781"/>
      <c r="AD1178" s="781"/>
      <c r="AE1178" s="781"/>
      <c r="AF1178" s="781"/>
      <c r="AG1178" s="781"/>
      <c r="AH1178" s="781"/>
      <c r="AI1178" s="781"/>
      <c r="AJ1178" s="781"/>
      <c r="AK1178" s="781"/>
      <c r="AL1178" s="781"/>
      <c r="AM1178" s="781"/>
      <c r="AN1178" s="781"/>
      <c r="AO1178" s="781"/>
      <c r="AP1178" s="781"/>
      <c r="AQ1178" s="781"/>
      <c r="AR1178" s="781"/>
      <c r="AS1178" s="781"/>
      <c r="AT1178" s="781"/>
      <c r="AU1178" s="781"/>
    </row>
    <row r="1179" ht="15.75" customHeight="1">
      <c r="A1179" s="809"/>
      <c r="B1179" s="792"/>
      <c r="C1179" s="801"/>
      <c r="D1179" s="801"/>
      <c r="E1179" s="791"/>
      <c r="F1179" s="809"/>
      <c r="G1179" s="809"/>
      <c r="H1179" s="809"/>
      <c r="I1179" s="809"/>
      <c r="J1179" s="809"/>
      <c r="K1179" s="809"/>
      <c r="L1179" s="781"/>
      <c r="M1179" s="781"/>
      <c r="N1179" s="781"/>
      <c r="O1179" s="781"/>
      <c r="P1179" s="781"/>
      <c r="Q1179" s="781"/>
      <c r="R1179" s="781"/>
      <c r="S1179" s="781"/>
      <c r="T1179" s="781"/>
      <c r="U1179" s="781"/>
      <c r="V1179" s="781"/>
      <c r="W1179" s="781"/>
      <c r="X1179" s="781"/>
      <c r="Y1179" s="781"/>
      <c r="Z1179" s="781"/>
      <c r="AA1179" s="781"/>
      <c r="AB1179" s="781"/>
      <c r="AC1179" s="781"/>
      <c r="AD1179" s="781"/>
      <c r="AE1179" s="781"/>
      <c r="AF1179" s="781"/>
      <c r="AG1179" s="781"/>
      <c r="AH1179" s="781"/>
      <c r="AI1179" s="781"/>
      <c r="AJ1179" s="781"/>
      <c r="AK1179" s="781"/>
      <c r="AL1179" s="781"/>
      <c r="AM1179" s="781"/>
      <c r="AN1179" s="781"/>
      <c r="AO1179" s="781"/>
      <c r="AP1179" s="781"/>
      <c r="AQ1179" s="781"/>
      <c r="AR1179" s="781"/>
      <c r="AS1179" s="781"/>
      <c r="AT1179" s="781"/>
      <c r="AU1179" s="781"/>
    </row>
    <row r="1180" ht="15.75" customHeight="1">
      <c r="A1180" s="809"/>
      <c r="B1180" s="792"/>
      <c r="C1180" s="801"/>
      <c r="D1180" s="801"/>
      <c r="E1180" s="791"/>
      <c r="F1180" s="809"/>
      <c r="G1180" s="809"/>
      <c r="H1180" s="809"/>
      <c r="I1180" s="809"/>
      <c r="J1180" s="809"/>
      <c r="K1180" s="809"/>
      <c r="L1180" s="781"/>
      <c r="M1180" s="781"/>
      <c r="N1180" s="781"/>
      <c r="O1180" s="781"/>
      <c r="P1180" s="781"/>
      <c r="Q1180" s="781"/>
      <c r="R1180" s="781"/>
      <c r="S1180" s="781"/>
      <c r="T1180" s="781"/>
      <c r="U1180" s="781"/>
      <c r="V1180" s="781"/>
      <c r="W1180" s="781"/>
      <c r="X1180" s="781"/>
      <c r="Y1180" s="781"/>
      <c r="Z1180" s="781"/>
      <c r="AA1180" s="781"/>
      <c r="AB1180" s="781"/>
      <c r="AC1180" s="781"/>
      <c r="AD1180" s="781"/>
      <c r="AE1180" s="781"/>
      <c r="AF1180" s="781"/>
      <c r="AG1180" s="781"/>
      <c r="AH1180" s="781"/>
      <c r="AI1180" s="781"/>
      <c r="AJ1180" s="781"/>
      <c r="AK1180" s="781"/>
      <c r="AL1180" s="781"/>
      <c r="AM1180" s="781"/>
      <c r="AN1180" s="781"/>
      <c r="AO1180" s="781"/>
      <c r="AP1180" s="781"/>
      <c r="AQ1180" s="781"/>
      <c r="AR1180" s="781"/>
      <c r="AS1180" s="781"/>
      <c r="AT1180" s="781"/>
      <c r="AU1180" s="781"/>
    </row>
    <row r="1181" ht="15.75" customHeight="1">
      <c r="A1181" s="809"/>
      <c r="B1181" s="792"/>
      <c r="C1181" s="801"/>
      <c r="D1181" s="801"/>
      <c r="E1181" s="791"/>
      <c r="F1181" s="809"/>
      <c r="G1181" s="809"/>
      <c r="H1181" s="809"/>
      <c r="I1181" s="809"/>
      <c r="J1181" s="809"/>
      <c r="K1181" s="809"/>
      <c r="L1181" s="781"/>
      <c r="M1181" s="781"/>
      <c r="N1181" s="781"/>
      <c r="O1181" s="781"/>
      <c r="P1181" s="781"/>
      <c r="Q1181" s="781"/>
      <c r="R1181" s="781"/>
      <c r="S1181" s="781"/>
      <c r="T1181" s="781"/>
      <c r="U1181" s="781"/>
      <c r="V1181" s="781"/>
      <c r="W1181" s="781"/>
      <c r="X1181" s="781"/>
      <c r="Y1181" s="781"/>
      <c r="Z1181" s="781"/>
      <c r="AA1181" s="781"/>
      <c r="AB1181" s="781"/>
      <c r="AC1181" s="781"/>
      <c r="AD1181" s="781"/>
      <c r="AE1181" s="781"/>
      <c r="AF1181" s="781"/>
      <c r="AG1181" s="781"/>
      <c r="AH1181" s="781"/>
      <c r="AI1181" s="781"/>
      <c r="AJ1181" s="781"/>
      <c r="AK1181" s="781"/>
      <c r="AL1181" s="781"/>
      <c r="AM1181" s="781"/>
      <c r="AN1181" s="781"/>
      <c r="AO1181" s="781"/>
      <c r="AP1181" s="781"/>
      <c r="AQ1181" s="781"/>
      <c r="AR1181" s="781"/>
      <c r="AS1181" s="781"/>
      <c r="AT1181" s="781"/>
      <c r="AU1181" s="781"/>
    </row>
    <row r="1182" ht="15.75" customHeight="1">
      <c r="A1182" s="809"/>
      <c r="B1182" s="792"/>
      <c r="C1182" s="801"/>
      <c r="D1182" s="801"/>
      <c r="E1182" s="791"/>
      <c r="F1182" s="809"/>
      <c r="G1182" s="809"/>
      <c r="H1182" s="809"/>
      <c r="I1182" s="809"/>
      <c r="J1182" s="809"/>
      <c r="K1182" s="809"/>
      <c r="L1182" s="781"/>
      <c r="M1182" s="781"/>
      <c r="N1182" s="781"/>
      <c r="O1182" s="781"/>
      <c r="P1182" s="781"/>
      <c r="Q1182" s="781"/>
      <c r="R1182" s="781"/>
      <c r="S1182" s="781"/>
      <c r="T1182" s="781"/>
      <c r="U1182" s="781"/>
      <c r="V1182" s="781"/>
      <c r="W1182" s="781"/>
      <c r="X1182" s="781"/>
      <c r="Y1182" s="781"/>
      <c r="Z1182" s="781"/>
      <c r="AA1182" s="781"/>
      <c r="AB1182" s="781"/>
      <c r="AC1182" s="781"/>
      <c r="AD1182" s="781"/>
      <c r="AE1182" s="781"/>
      <c r="AF1182" s="781"/>
      <c r="AG1182" s="781"/>
      <c r="AH1182" s="781"/>
      <c r="AI1182" s="781"/>
      <c r="AJ1182" s="781"/>
      <c r="AK1182" s="781"/>
      <c r="AL1182" s="781"/>
      <c r="AM1182" s="781"/>
      <c r="AN1182" s="781"/>
      <c r="AO1182" s="781"/>
      <c r="AP1182" s="781"/>
      <c r="AQ1182" s="781"/>
      <c r="AR1182" s="781"/>
      <c r="AS1182" s="781"/>
      <c r="AT1182" s="781"/>
      <c r="AU1182" s="781"/>
    </row>
    <row r="1183" ht="15.75" customHeight="1">
      <c r="A1183" s="809"/>
      <c r="B1183" s="792"/>
      <c r="C1183" s="801"/>
      <c r="D1183" s="801"/>
      <c r="E1183" s="791"/>
      <c r="F1183" s="809"/>
      <c r="G1183" s="809"/>
      <c r="H1183" s="809"/>
      <c r="I1183" s="809"/>
      <c r="J1183" s="809"/>
      <c r="K1183" s="809"/>
      <c r="L1183" s="781"/>
      <c r="M1183" s="781"/>
      <c r="N1183" s="781"/>
      <c r="O1183" s="781"/>
      <c r="P1183" s="781"/>
      <c r="Q1183" s="781"/>
      <c r="R1183" s="781"/>
      <c r="S1183" s="781"/>
      <c r="T1183" s="781"/>
      <c r="U1183" s="781"/>
      <c r="V1183" s="781"/>
      <c r="W1183" s="781"/>
      <c r="X1183" s="781"/>
      <c r="Y1183" s="781"/>
      <c r="Z1183" s="781"/>
      <c r="AA1183" s="781"/>
      <c r="AB1183" s="781"/>
      <c r="AC1183" s="781"/>
      <c r="AD1183" s="781"/>
      <c r="AE1183" s="781"/>
      <c r="AF1183" s="781"/>
      <c r="AG1183" s="781"/>
      <c r="AH1183" s="781"/>
      <c r="AI1183" s="781"/>
      <c r="AJ1183" s="781"/>
      <c r="AK1183" s="781"/>
      <c r="AL1183" s="781"/>
      <c r="AM1183" s="781"/>
      <c r="AN1183" s="781"/>
      <c r="AO1183" s="781"/>
      <c r="AP1183" s="781"/>
      <c r="AQ1183" s="781"/>
      <c r="AR1183" s="781"/>
      <c r="AS1183" s="781"/>
      <c r="AT1183" s="781"/>
      <c r="AU1183" s="781"/>
    </row>
    <row r="1184" ht="15.75" customHeight="1">
      <c r="A1184" s="809"/>
      <c r="B1184" s="792"/>
      <c r="C1184" s="801"/>
      <c r="D1184" s="801"/>
      <c r="E1184" s="791"/>
      <c r="F1184" s="809"/>
      <c r="G1184" s="809"/>
      <c r="H1184" s="809"/>
      <c r="I1184" s="809"/>
      <c r="J1184" s="809"/>
      <c r="K1184" s="809"/>
      <c r="L1184" s="781"/>
      <c r="M1184" s="781"/>
      <c r="N1184" s="781"/>
      <c r="O1184" s="781"/>
      <c r="P1184" s="781"/>
      <c r="Q1184" s="781"/>
      <c r="R1184" s="781"/>
      <c r="S1184" s="781"/>
      <c r="T1184" s="781"/>
      <c r="U1184" s="781"/>
      <c r="V1184" s="781"/>
      <c r="W1184" s="781"/>
      <c r="X1184" s="781"/>
      <c r="Y1184" s="781"/>
      <c r="Z1184" s="781"/>
      <c r="AA1184" s="781"/>
      <c r="AB1184" s="781"/>
      <c r="AC1184" s="781"/>
      <c r="AD1184" s="781"/>
      <c r="AE1184" s="781"/>
      <c r="AF1184" s="781"/>
      <c r="AG1184" s="781"/>
      <c r="AH1184" s="781"/>
      <c r="AI1184" s="781"/>
      <c r="AJ1184" s="781"/>
      <c r="AK1184" s="781"/>
      <c r="AL1184" s="781"/>
      <c r="AM1184" s="781"/>
      <c r="AN1184" s="781"/>
      <c r="AO1184" s="781"/>
      <c r="AP1184" s="781"/>
      <c r="AQ1184" s="781"/>
      <c r="AR1184" s="781"/>
      <c r="AS1184" s="781"/>
      <c r="AT1184" s="781"/>
      <c r="AU1184" s="781"/>
    </row>
    <row r="1185" ht="15.75" customHeight="1">
      <c r="A1185" s="809"/>
      <c r="B1185" s="792"/>
      <c r="C1185" s="801"/>
      <c r="D1185" s="801"/>
      <c r="E1185" s="791"/>
      <c r="F1185" s="809"/>
      <c r="G1185" s="809"/>
      <c r="H1185" s="809"/>
      <c r="I1185" s="809"/>
      <c r="J1185" s="809"/>
      <c r="K1185" s="809"/>
      <c r="L1185" s="781"/>
      <c r="M1185" s="781"/>
      <c r="N1185" s="781"/>
      <c r="O1185" s="781"/>
      <c r="P1185" s="781"/>
      <c r="Q1185" s="781"/>
      <c r="R1185" s="781"/>
      <c r="S1185" s="781"/>
      <c r="T1185" s="781"/>
      <c r="U1185" s="781"/>
      <c r="V1185" s="781"/>
      <c r="W1185" s="781"/>
      <c r="X1185" s="781"/>
      <c r="Y1185" s="781"/>
      <c r="Z1185" s="781"/>
      <c r="AA1185" s="781"/>
      <c r="AB1185" s="781"/>
      <c r="AC1185" s="781"/>
      <c r="AD1185" s="781"/>
      <c r="AE1185" s="781"/>
      <c r="AF1185" s="781"/>
      <c r="AG1185" s="781"/>
      <c r="AH1185" s="781"/>
      <c r="AI1185" s="781"/>
      <c r="AJ1185" s="781"/>
      <c r="AK1185" s="781"/>
      <c r="AL1185" s="781"/>
      <c r="AM1185" s="781"/>
      <c r="AN1185" s="781"/>
      <c r="AO1185" s="781"/>
      <c r="AP1185" s="781"/>
      <c r="AQ1185" s="781"/>
      <c r="AR1185" s="781"/>
      <c r="AS1185" s="781"/>
      <c r="AT1185" s="781"/>
      <c r="AU1185" s="781"/>
    </row>
    <row r="1186" ht="15.75" customHeight="1">
      <c r="A1186" s="809"/>
      <c r="B1186" s="792"/>
      <c r="C1186" s="801"/>
      <c r="D1186" s="801"/>
      <c r="E1186" s="791"/>
      <c r="F1186" s="809"/>
      <c r="G1186" s="809"/>
      <c r="H1186" s="809"/>
      <c r="I1186" s="809"/>
      <c r="J1186" s="809"/>
      <c r="K1186" s="809"/>
      <c r="L1186" s="781"/>
      <c r="M1186" s="781"/>
      <c r="N1186" s="781"/>
      <c r="O1186" s="781"/>
      <c r="P1186" s="781"/>
      <c r="Q1186" s="781"/>
      <c r="R1186" s="781"/>
      <c r="S1186" s="781"/>
      <c r="T1186" s="781"/>
      <c r="U1186" s="781"/>
      <c r="V1186" s="781"/>
      <c r="W1186" s="781"/>
      <c r="X1186" s="781"/>
      <c r="Y1186" s="781"/>
      <c r="Z1186" s="781"/>
      <c r="AA1186" s="781"/>
      <c r="AB1186" s="781"/>
      <c r="AC1186" s="781"/>
      <c r="AD1186" s="781"/>
      <c r="AE1186" s="781"/>
      <c r="AF1186" s="781"/>
      <c r="AG1186" s="781"/>
      <c r="AH1186" s="781"/>
      <c r="AI1186" s="781"/>
      <c r="AJ1186" s="781"/>
      <c r="AK1186" s="781"/>
      <c r="AL1186" s="781"/>
      <c r="AM1186" s="781"/>
      <c r="AN1186" s="781"/>
      <c r="AO1186" s="781"/>
      <c r="AP1186" s="781"/>
      <c r="AQ1186" s="781"/>
      <c r="AR1186" s="781"/>
      <c r="AS1186" s="781"/>
      <c r="AT1186" s="781"/>
      <c r="AU1186" s="781"/>
    </row>
    <row r="1187" ht="15.75" customHeight="1">
      <c r="A1187" s="809"/>
      <c r="B1187" s="792"/>
      <c r="C1187" s="801"/>
      <c r="D1187" s="801"/>
      <c r="E1187" s="791"/>
      <c r="F1187" s="809"/>
      <c r="G1187" s="809"/>
      <c r="H1187" s="809"/>
      <c r="I1187" s="809"/>
      <c r="J1187" s="809"/>
      <c r="K1187" s="809"/>
      <c r="L1187" s="781"/>
      <c r="M1187" s="781"/>
      <c r="N1187" s="781"/>
      <c r="O1187" s="781"/>
      <c r="P1187" s="781"/>
      <c r="Q1187" s="781"/>
      <c r="R1187" s="781"/>
      <c r="S1187" s="781"/>
      <c r="T1187" s="781"/>
      <c r="U1187" s="781"/>
      <c r="V1187" s="781"/>
      <c r="W1187" s="781"/>
      <c r="X1187" s="781"/>
      <c r="Y1187" s="781"/>
      <c r="Z1187" s="781"/>
      <c r="AA1187" s="781"/>
      <c r="AB1187" s="781"/>
      <c r="AC1187" s="781"/>
      <c r="AD1187" s="781"/>
      <c r="AE1187" s="781"/>
      <c r="AF1187" s="781"/>
      <c r="AG1187" s="781"/>
      <c r="AH1187" s="781"/>
      <c r="AI1187" s="781"/>
      <c r="AJ1187" s="781"/>
      <c r="AK1187" s="781"/>
      <c r="AL1187" s="781"/>
      <c r="AM1187" s="781"/>
      <c r="AN1187" s="781"/>
      <c r="AO1187" s="781"/>
      <c r="AP1187" s="781"/>
      <c r="AQ1187" s="781"/>
      <c r="AR1187" s="781"/>
      <c r="AS1187" s="781"/>
      <c r="AT1187" s="781"/>
      <c r="AU1187" s="781"/>
    </row>
    <row r="1188" ht="15.75" customHeight="1">
      <c r="A1188" s="809"/>
      <c r="B1188" s="792"/>
      <c r="C1188" s="801"/>
      <c r="D1188" s="801"/>
      <c r="E1188" s="791"/>
      <c r="F1188" s="809"/>
      <c r="G1188" s="809"/>
      <c r="H1188" s="809"/>
      <c r="I1188" s="809"/>
      <c r="J1188" s="809"/>
      <c r="K1188" s="809"/>
      <c r="L1188" s="781"/>
      <c r="M1188" s="781"/>
      <c r="N1188" s="781"/>
      <c r="O1188" s="781"/>
      <c r="P1188" s="781"/>
      <c r="Q1188" s="781"/>
      <c r="R1188" s="781"/>
      <c r="S1188" s="781"/>
      <c r="T1188" s="781"/>
      <c r="U1188" s="781"/>
      <c r="V1188" s="781"/>
      <c r="W1188" s="781"/>
      <c r="X1188" s="781"/>
      <c r="Y1188" s="781"/>
      <c r="Z1188" s="781"/>
      <c r="AA1188" s="781"/>
      <c r="AB1188" s="781"/>
      <c r="AC1188" s="781"/>
      <c r="AD1188" s="781"/>
      <c r="AE1188" s="781"/>
      <c r="AF1188" s="781"/>
      <c r="AG1188" s="781"/>
      <c r="AH1188" s="781"/>
      <c r="AI1188" s="781"/>
      <c r="AJ1188" s="781"/>
      <c r="AK1188" s="781"/>
      <c r="AL1188" s="781"/>
      <c r="AM1188" s="781"/>
      <c r="AN1188" s="781"/>
      <c r="AO1188" s="781"/>
      <c r="AP1188" s="781"/>
      <c r="AQ1188" s="781"/>
      <c r="AR1188" s="781"/>
      <c r="AS1188" s="781"/>
      <c r="AT1188" s="781"/>
      <c r="AU1188" s="781"/>
    </row>
    <row r="1189" ht="15.75" customHeight="1">
      <c r="A1189" s="809"/>
      <c r="B1189" s="792"/>
      <c r="C1189" s="801"/>
      <c r="D1189" s="801"/>
      <c r="E1189" s="791"/>
      <c r="F1189" s="809"/>
      <c r="G1189" s="809"/>
      <c r="H1189" s="809"/>
      <c r="I1189" s="809"/>
      <c r="J1189" s="809"/>
      <c r="K1189" s="809"/>
      <c r="L1189" s="781"/>
      <c r="M1189" s="781"/>
      <c r="N1189" s="781"/>
      <c r="O1189" s="781"/>
      <c r="P1189" s="781"/>
      <c r="Q1189" s="781"/>
      <c r="R1189" s="781"/>
      <c r="S1189" s="781"/>
      <c r="T1189" s="781"/>
      <c r="U1189" s="781"/>
      <c r="V1189" s="781"/>
      <c r="W1189" s="781"/>
      <c r="X1189" s="781"/>
      <c r="Y1189" s="781"/>
      <c r="Z1189" s="781"/>
      <c r="AA1189" s="781"/>
      <c r="AB1189" s="781"/>
      <c r="AC1189" s="781"/>
      <c r="AD1189" s="781"/>
      <c r="AE1189" s="781"/>
      <c r="AF1189" s="781"/>
      <c r="AG1189" s="781"/>
      <c r="AH1189" s="781"/>
      <c r="AI1189" s="781"/>
      <c r="AJ1189" s="781"/>
      <c r="AK1189" s="781"/>
      <c r="AL1189" s="781"/>
      <c r="AM1189" s="781"/>
      <c r="AN1189" s="781"/>
      <c r="AO1189" s="781"/>
      <c r="AP1189" s="781"/>
      <c r="AQ1189" s="781"/>
      <c r="AR1189" s="781"/>
      <c r="AS1189" s="781"/>
      <c r="AT1189" s="781"/>
      <c r="AU1189" s="781"/>
    </row>
    <row r="1190" ht="15.75" customHeight="1">
      <c r="A1190" s="809"/>
      <c r="B1190" s="792"/>
      <c r="C1190" s="801"/>
      <c r="D1190" s="801"/>
      <c r="E1190" s="791"/>
      <c r="F1190" s="809"/>
      <c r="G1190" s="809"/>
      <c r="H1190" s="809"/>
      <c r="I1190" s="809"/>
      <c r="J1190" s="809"/>
      <c r="K1190" s="809"/>
      <c r="L1190" s="781"/>
      <c r="M1190" s="781"/>
      <c r="N1190" s="781"/>
      <c r="O1190" s="781"/>
      <c r="P1190" s="781"/>
      <c r="Q1190" s="781"/>
      <c r="R1190" s="781"/>
      <c r="S1190" s="781"/>
      <c r="T1190" s="781"/>
      <c r="U1190" s="781"/>
      <c r="V1190" s="781"/>
      <c r="W1190" s="781"/>
      <c r="X1190" s="781"/>
      <c r="Y1190" s="781"/>
      <c r="Z1190" s="781"/>
      <c r="AA1190" s="781"/>
      <c r="AB1190" s="781"/>
      <c r="AC1190" s="781"/>
      <c r="AD1190" s="781"/>
      <c r="AE1190" s="781"/>
      <c r="AF1190" s="781"/>
      <c r="AG1190" s="781"/>
      <c r="AH1190" s="781"/>
      <c r="AI1190" s="781"/>
      <c r="AJ1190" s="781"/>
      <c r="AK1190" s="781"/>
      <c r="AL1190" s="781"/>
      <c r="AM1190" s="781"/>
      <c r="AN1190" s="781"/>
      <c r="AO1190" s="781"/>
      <c r="AP1190" s="781"/>
      <c r="AQ1190" s="781"/>
      <c r="AR1190" s="781"/>
      <c r="AS1190" s="781"/>
      <c r="AT1190" s="781"/>
      <c r="AU1190" s="781"/>
    </row>
    <row r="1191" ht="15.75" customHeight="1">
      <c r="A1191" s="809"/>
      <c r="B1191" s="792"/>
      <c r="C1191" s="801"/>
      <c r="D1191" s="801"/>
      <c r="E1191" s="791"/>
      <c r="F1191" s="809"/>
      <c r="G1191" s="809"/>
      <c r="H1191" s="809"/>
      <c r="I1191" s="809"/>
      <c r="J1191" s="809"/>
      <c r="K1191" s="809"/>
      <c r="L1191" s="781"/>
      <c r="M1191" s="781"/>
      <c r="N1191" s="781"/>
      <c r="O1191" s="781"/>
      <c r="P1191" s="781"/>
      <c r="Q1191" s="781"/>
      <c r="R1191" s="781"/>
      <c r="S1191" s="781"/>
      <c r="T1191" s="781"/>
      <c r="U1191" s="781"/>
      <c r="V1191" s="781"/>
      <c r="W1191" s="781"/>
      <c r="X1191" s="781"/>
      <c r="Y1191" s="781"/>
      <c r="Z1191" s="781"/>
      <c r="AA1191" s="781"/>
      <c r="AB1191" s="781"/>
      <c r="AC1191" s="781"/>
      <c r="AD1191" s="781"/>
      <c r="AE1191" s="781"/>
      <c r="AF1191" s="781"/>
      <c r="AG1191" s="781"/>
      <c r="AH1191" s="781"/>
      <c r="AI1191" s="781"/>
      <c r="AJ1191" s="781"/>
      <c r="AK1191" s="781"/>
      <c r="AL1191" s="781"/>
      <c r="AM1191" s="781"/>
      <c r="AN1191" s="781"/>
      <c r="AO1191" s="781"/>
      <c r="AP1191" s="781"/>
      <c r="AQ1191" s="781"/>
      <c r="AR1191" s="781"/>
      <c r="AS1191" s="781"/>
      <c r="AT1191" s="781"/>
      <c r="AU1191" s="781"/>
    </row>
    <row r="1192" ht="15.75" customHeight="1">
      <c r="A1192" s="809"/>
      <c r="B1192" s="792"/>
      <c r="C1192" s="801"/>
      <c r="D1192" s="801"/>
      <c r="E1192" s="791"/>
      <c r="F1192" s="809"/>
      <c r="G1192" s="809"/>
      <c r="H1192" s="809"/>
      <c r="I1192" s="809"/>
      <c r="J1192" s="809"/>
      <c r="K1192" s="809"/>
      <c r="L1192" s="781"/>
      <c r="M1192" s="781"/>
      <c r="N1192" s="781"/>
      <c r="O1192" s="781"/>
      <c r="P1192" s="781"/>
      <c r="Q1192" s="781"/>
      <c r="R1192" s="781"/>
      <c r="S1192" s="781"/>
      <c r="T1192" s="781"/>
      <c r="U1192" s="781"/>
      <c r="V1192" s="781"/>
      <c r="W1192" s="781"/>
      <c r="X1192" s="781"/>
      <c r="Y1192" s="781"/>
      <c r="Z1192" s="781"/>
      <c r="AA1192" s="781"/>
      <c r="AB1192" s="781"/>
      <c r="AC1192" s="781"/>
      <c r="AD1192" s="781"/>
      <c r="AE1192" s="781"/>
      <c r="AF1192" s="781"/>
      <c r="AG1192" s="781"/>
      <c r="AH1192" s="781"/>
      <c r="AI1192" s="781"/>
      <c r="AJ1192" s="781"/>
      <c r="AK1192" s="781"/>
      <c r="AL1192" s="781"/>
      <c r="AM1192" s="781"/>
      <c r="AN1192" s="781"/>
      <c r="AO1192" s="781"/>
      <c r="AP1192" s="781"/>
      <c r="AQ1192" s="781"/>
      <c r="AR1192" s="781"/>
      <c r="AS1192" s="781"/>
      <c r="AT1192" s="781"/>
      <c r="AU1192" s="781"/>
    </row>
    <row r="1193" ht="15.75" customHeight="1">
      <c r="A1193" s="809"/>
      <c r="B1193" s="792"/>
      <c r="C1193" s="801"/>
      <c r="D1193" s="801"/>
      <c r="E1193" s="791"/>
      <c r="F1193" s="809"/>
      <c r="G1193" s="809"/>
      <c r="H1193" s="809"/>
      <c r="I1193" s="809"/>
      <c r="J1193" s="809"/>
      <c r="K1193" s="809"/>
      <c r="L1193" s="781"/>
      <c r="M1193" s="781"/>
      <c r="N1193" s="781"/>
      <c r="O1193" s="781"/>
      <c r="P1193" s="781"/>
      <c r="Q1193" s="781"/>
      <c r="R1193" s="781"/>
      <c r="S1193" s="781"/>
      <c r="T1193" s="781"/>
      <c r="U1193" s="781"/>
      <c r="V1193" s="781"/>
      <c r="W1193" s="781"/>
      <c r="X1193" s="781"/>
      <c r="Y1193" s="781"/>
      <c r="Z1193" s="781"/>
      <c r="AA1193" s="781"/>
      <c r="AB1193" s="781"/>
      <c r="AC1193" s="781"/>
      <c r="AD1193" s="781"/>
      <c r="AE1193" s="781"/>
      <c r="AF1193" s="781"/>
      <c r="AG1193" s="781"/>
      <c r="AH1193" s="781"/>
      <c r="AI1193" s="781"/>
      <c r="AJ1193" s="781"/>
      <c r="AK1193" s="781"/>
      <c r="AL1193" s="781"/>
      <c r="AM1193" s="781"/>
      <c r="AN1193" s="781"/>
      <c r="AO1193" s="781"/>
      <c r="AP1193" s="781"/>
      <c r="AQ1193" s="781"/>
      <c r="AR1193" s="781"/>
      <c r="AS1193" s="781"/>
      <c r="AT1193" s="781"/>
      <c r="AU1193" s="781"/>
    </row>
    <row r="1194" ht="15.75" customHeight="1">
      <c r="A1194" s="809"/>
      <c r="B1194" s="792"/>
      <c r="C1194" s="801"/>
      <c r="D1194" s="801"/>
      <c r="E1194" s="791"/>
      <c r="F1194" s="809"/>
      <c r="G1194" s="809"/>
      <c r="H1194" s="809"/>
      <c r="I1194" s="809"/>
      <c r="J1194" s="809"/>
      <c r="K1194" s="809"/>
      <c r="L1194" s="781"/>
      <c r="M1194" s="781"/>
      <c r="N1194" s="781"/>
      <c r="O1194" s="781"/>
      <c r="P1194" s="781"/>
      <c r="Q1194" s="781"/>
      <c r="R1194" s="781"/>
      <c r="S1194" s="781"/>
      <c r="T1194" s="781"/>
      <c r="U1194" s="781"/>
      <c r="V1194" s="781"/>
      <c r="W1194" s="781"/>
      <c r="X1194" s="781"/>
      <c r="Y1194" s="781"/>
      <c r="Z1194" s="781"/>
      <c r="AA1194" s="781"/>
      <c r="AB1194" s="781"/>
      <c r="AC1194" s="781"/>
      <c r="AD1194" s="781"/>
      <c r="AE1194" s="781"/>
      <c r="AF1194" s="781"/>
      <c r="AG1194" s="781"/>
      <c r="AH1194" s="781"/>
      <c r="AI1194" s="781"/>
      <c r="AJ1194" s="781"/>
      <c r="AK1194" s="781"/>
      <c r="AL1194" s="781"/>
      <c r="AM1194" s="781"/>
      <c r="AN1194" s="781"/>
      <c r="AO1194" s="781"/>
      <c r="AP1194" s="781"/>
      <c r="AQ1194" s="781"/>
      <c r="AR1194" s="781"/>
      <c r="AS1194" s="781"/>
      <c r="AT1194" s="781"/>
      <c r="AU1194" s="781"/>
    </row>
    <row r="1195" ht="15.75" customHeight="1">
      <c r="A1195" s="809"/>
      <c r="B1195" s="792"/>
      <c r="C1195" s="801"/>
      <c r="D1195" s="801"/>
      <c r="E1195" s="791"/>
      <c r="F1195" s="809"/>
      <c r="G1195" s="809"/>
      <c r="H1195" s="809"/>
      <c r="I1195" s="809"/>
      <c r="J1195" s="809"/>
      <c r="K1195" s="809"/>
      <c r="L1195" s="781"/>
      <c r="M1195" s="781"/>
      <c r="N1195" s="781"/>
      <c r="O1195" s="781"/>
      <c r="P1195" s="781"/>
      <c r="Q1195" s="781"/>
      <c r="R1195" s="781"/>
      <c r="S1195" s="781"/>
      <c r="T1195" s="781"/>
      <c r="U1195" s="781"/>
      <c r="V1195" s="781"/>
      <c r="W1195" s="781"/>
      <c r="X1195" s="781"/>
      <c r="Y1195" s="781"/>
      <c r="Z1195" s="781"/>
      <c r="AA1195" s="781"/>
      <c r="AB1195" s="781"/>
      <c r="AC1195" s="781"/>
      <c r="AD1195" s="781"/>
      <c r="AE1195" s="781"/>
      <c r="AF1195" s="781"/>
      <c r="AG1195" s="781"/>
      <c r="AH1195" s="781"/>
      <c r="AI1195" s="781"/>
      <c r="AJ1195" s="781"/>
      <c r="AK1195" s="781"/>
      <c r="AL1195" s="781"/>
      <c r="AM1195" s="781"/>
      <c r="AN1195" s="781"/>
      <c r="AO1195" s="781"/>
      <c r="AP1195" s="781"/>
      <c r="AQ1195" s="781"/>
      <c r="AR1195" s="781"/>
      <c r="AS1195" s="781"/>
      <c r="AT1195" s="781"/>
      <c r="AU1195" s="781"/>
    </row>
    <row r="1196" ht="15.75" customHeight="1">
      <c r="A1196" s="809"/>
      <c r="B1196" s="792"/>
      <c r="C1196" s="801"/>
      <c r="D1196" s="801"/>
      <c r="E1196" s="791"/>
      <c r="F1196" s="809"/>
      <c r="G1196" s="809"/>
      <c r="H1196" s="809"/>
      <c r="I1196" s="809"/>
      <c r="J1196" s="809"/>
      <c r="K1196" s="809"/>
      <c r="L1196" s="781"/>
      <c r="M1196" s="781"/>
      <c r="N1196" s="781"/>
      <c r="O1196" s="781"/>
      <c r="P1196" s="781"/>
      <c r="Q1196" s="781"/>
      <c r="R1196" s="781"/>
      <c r="S1196" s="781"/>
      <c r="T1196" s="781"/>
      <c r="U1196" s="781"/>
      <c r="V1196" s="781"/>
      <c r="W1196" s="781"/>
      <c r="X1196" s="781"/>
      <c r="Y1196" s="781"/>
      <c r="Z1196" s="781"/>
      <c r="AA1196" s="781"/>
      <c r="AB1196" s="781"/>
      <c r="AC1196" s="781"/>
      <c r="AD1196" s="781"/>
      <c r="AE1196" s="781"/>
      <c r="AF1196" s="781"/>
      <c r="AG1196" s="781"/>
      <c r="AH1196" s="781"/>
      <c r="AI1196" s="781"/>
      <c r="AJ1196" s="781"/>
      <c r="AK1196" s="781"/>
      <c r="AL1196" s="781"/>
      <c r="AM1196" s="781"/>
      <c r="AN1196" s="781"/>
      <c r="AO1196" s="781"/>
      <c r="AP1196" s="781"/>
      <c r="AQ1196" s="781"/>
      <c r="AR1196" s="781"/>
      <c r="AS1196" s="781"/>
      <c r="AT1196" s="781"/>
      <c r="AU1196" s="781"/>
    </row>
    <row r="1197" ht="15.75" customHeight="1">
      <c r="A1197" s="809"/>
      <c r="B1197" s="792"/>
      <c r="C1197" s="801"/>
      <c r="D1197" s="801"/>
      <c r="E1197" s="791"/>
      <c r="F1197" s="809"/>
      <c r="G1197" s="809"/>
      <c r="H1197" s="809"/>
      <c r="I1197" s="809"/>
      <c r="J1197" s="809"/>
      <c r="K1197" s="809"/>
      <c r="L1197" s="781"/>
      <c r="M1197" s="781"/>
      <c r="N1197" s="781"/>
      <c r="O1197" s="781"/>
      <c r="P1197" s="781"/>
      <c r="Q1197" s="781"/>
      <c r="R1197" s="781"/>
      <c r="S1197" s="781"/>
      <c r="T1197" s="781"/>
      <c r="U1197" s="781"/>
      <c r="V1197" s="781"/>
      <c r="W1197" s="781"/>
      <c r="X1197" s="781"/>
      <c r="Y1197" s="781"/>
      <c r="Z1197" s="781"/>
      <c r="AA1197" s="781"/>
      <c r="AB1197" s="781"/>
      <c r="AC1197" s="781"/>
      <c r="AD1197" s="781"/>
      <c r="AE1197" s="781"/>
      <c r="AF1197" s="781"/>
      <c r="AG1197" s="781"/>
      <c r="AH1197" s="781"/>
      <c r="AI1197" s="781"/>
      <c r="AJ1197" s="781"/>
      <c r="AK1197" s="781"/>
      <c r="AL1197" s="781"/>
      <c r="AM1197" s="781"/>
      <c r="AN1197" s="781"/>
      <c r="AO1197" s="781"/>
      <c r="AP1197" s="781"/>
      <c r="AQ1197" s="781"/>
      <c r="AR1197" s="781"/>
      <c r="AS1197" s="781"/>
      <c r="AT1197" s="781"/>
      <c r="AU1197" s="781"/>
    </row>
    <row r="1198" ht="15.75" customHeight="1">
      <c r="A1198" s="809"/>
      <c r="B1198" s="792"/>
      <c r="C1198" s="801"/>
      <c r="D1198" s="801"/>
      <c r="E1198" s="791"/>
      <c r="F1198" s="809"/>
      <c r="G1198" s="809"/>
      <c r="H1198" s="809"/>
      <c r="I1198" s="809"/>
      <c r="J1198" s="809"/>
      <c r="K1198" s="809"/>
      <c r="L1198" s="781"/>
      <c r="M1198" s="781"/>
      <c r="N1198" s="781"/>
      <c r="O1198" s="781"/>
      <c r="P1198" s="781"/>
      <c r="Q1198" s="781"/>
      <c r="R1198" s="781"/>
      <c r="S1198" s="781"/>
      <c r="T1198" s="781"/>
      <c r="U1198" s="781"/>
      <c r="V1198" s="781"/>
      <c r="W1198" s="781"/>
      <c r="X1198" s="781"/>
      <c r="Y1198" s="781"/>
      <c r="Z1198" s="781"/>
      <c r="AA1198" s="781"/>
      <c r="AB1198" s="781"/>
      <c r="AC1198" s="781"/>
      <c r="AD1198" s="781"/>
      <c r="AE1198" s="781"/>
      <c r="AF1198" s="781"/>
      <c r="AG1198" s="781"/>
      <c r="AH1198" s="781"/>
      <c r="AI1198" s="781"/>
      <c r="AJ1198" s="781"/>
      <c r="AK1198" s="781"/>
      <c r="AL1198" s="781"/>
      <c r="AM1198" s="781"/>
      <c r="AN1198" s="781"/>
      <c r="AO1198" s="781"/>
      <c r="AP1198" s="781"/>
      <c r="AQ1198" s="781"/>
      <c r="AR1198" s="781"/>
      <c r="AS1198" s="781"/>
      <c r="AT1198" s="781"/>
      <c r="AU1198" s="781"/>
    </row>
    <row r="1199" ht="15.75" customHeight="1">
      <c r="A1199" s="809"/>
      <c r="B1199" s="792"/>
      <c r="C1199" s="801"/>
      <c r="D1199" s="801"/>
      <c r="E1199" s="791"/>
      <c r="F1199" s="809"/>
      <c r="G1199" s="809"/>
      <c r="H1199" s="809"/>
      <c r="I1199" s="809"/>
      <c r="J1199" s="809"/>
      <c r="K1199" s="809"/>
      <c r="L1199" s="781"/>
      <c r="M1199" s="781"/>
      <c r="N1199" s="781"/>
      <c r="O1199" s="781"/>
      <c r="P1199" s="781"/>
      <c r="Q1199" s="781"/>
      <c r="R1199" s="781"/>
      <c r="S1199" s="781"/>
      <c r="T1199" s="781"/>
      <c r="U1199" s="781"/>
      <c r="V1199" s="781"/>
      <c r="W1199" s="781"/>
      <c r="X1199" s="781"/>
      <c r="Y1199" s="781"/>
      <c r="Z1199" s="781"/>
      <c r="AA1199" s="781"/>
      <c r="AB1199" s="781"/>
      <c r="AC1199" s="781"/>
      <c r="AD1199" s="781"/>
      <c r="AE1199" s="781"/>
      <c r="AF1199" s="781"/>
      <c r="AG1199" s="781"/>
      <c r="AH1199" s="781"/>
      <c r="AI1199" s="781"/>
      <c r="AJ1199" s="781"/>
      <c r="AK1199" s="781"/>
      <c r="AL1199" s="781"/>
      <c r="AM1199" s="781"/>
      <c r="AN1199" s="781"/>
      <c r="AO1199" s="781"/>
      <c r="AP1199" s="781"/>
      <c r="AQ1199" s="781"/>
      <c r="AR1199" s="781"/>
      <c r="AS1199" s="781"/>
      <c r="AT1199" s="781"/>
      <c r="AU1199" s="781"/>
    </row>
    <row r="1200" ht="15.75" customHeight="1">
      <c r="A1200" s="809"/>
      <c r="B1200" s="792"/>
      <c r="C1200" s="801"/>
      <c r="D1200" s="801"/>
      <c r="E1200" s="791"/>
      <c r="F1200" s="809"/>
      <c r="G1200" s="809"/>
      <c r="H1200" s="809"/>
      <c r="I1200" s="809"/>
      <c r="J1200" s="809"/>
      <c r="K1200" s="809"/>
      <c r="L1200" s="781"/>
      <c r="M1200" s="781"/>
      <c r="N1200" s="781"/>
      <c r="O1200" s="781"/>
      <c r="P1200" s="781"/>
      <c r="Q1200" s="781"/>
      <c r="R1200" s="781"/>
      <c r="S1200" s="781"/>
      <c r="T1200" s="781"/>
      <c r="U1200" s="781"/>
      <c r="V1200" s="781"/>
      <c r="W1200" s="781"/>
      <c r="X1200" s="781"/>
      <c r="Y1200" s="781"/>
      <c r="Z1200" s="781"/>
      <c r="AA1200" s="781"/>
      <c r="AB1200" s="781"/>
      <c r="AC1200" s="781"/>
      <c r="AD1200" s="781"/>
      <c r="AE1200" s="781"/>
      <c r="AF1200" s="781"/>
      <c r="AG1200" s="781"/>
      <c r="AH1200" s="781"/>
      <c r="AI1200" s="781"/>
      <c r="AJ1200" s="781"/>
      <c r="AK1200" s="781"/>
      <c r="AL1200" s="781"/>
      <c r="AM1200" s="781"/>
      <c r="AN1200" s="781"/>
      <c r="AO1200" s="781"/>
      <c r="AP1200" s="781"/>
      <c r="AQ1200" s="781"/>
      <c r="AR1200" s="781"/>
      <c r="AS1200" s="781"/>
      <c r="AT1200" s="781"/>
      <c r="AU1200" s="781"/>
    </row>
    <row r="1201" ht="15.75" customHeight="1">
      <c r="A1201" s="809"/>
      <c r="B1201" s="792"/>
      <c r="C1201" s="801"/>
      <c r="D1201" s="801"/>
      <c r="E1201" s="791"/>
      <c r="F1201" s="809"/>
      <c r="G1201" s="809"/>
      <c r="H1201" s="809"/>
      <c r="I1201" s="809"/>
      <c r="J1201" s="809"/>
      <c r="K1201" s="809"/>
      <c r="L1201" s="781"/>
      <c r="M1201" s="781"/>
      <c r="N1201" s="781"/>
      <c r="O1201" s="781"/>
      <c r="P1201" s="781"/>
      <c r="Q1201" s="781"/>
      <c r="R1201" s="781"/>
      <c r="S1201" s="781"/>
      <c r="T1201" s="781"/>
      <c r="U1201" s="781"/>
      <c r="V1201" s="781"/>
      <c r="W1201" s="781"/>
      <c r="X1201" s="781"/>
      <c r="Y1201" s="781"/>
      <c r="Z1201" s="781"/>
      <c r="AA1201" s="781"/>
      <c r="AB1201" s="781"/>
      <c r="AC1201" s="781"/>
      <c r="AD1201" s="781"/>
      <c r="AE1201" s="781"/>
      <c r="AF1201" s="781"/>
      <c r="AG1201" s="781"/>
      <c r="AH1201" s="781"/>
      <c r="AI1201" s="781"/>
      <c r="AJ1201" s="781"/>
      <c r="AK1201" s="781"/>
      <c r="AL1201" s="781"/>
      <c r="AM1201" s="781"/>
      <c r="AN1201" s="781"/>
      <c r="AO1201" s="781"/>
      <c r="AP1201" s="781"/>
      <c r="AQ1201" s="781"/>
      <c r="AR1201" s="781"/>
      <c r="AS1201" s="781"/>
      <c r="AT1201" s="781"/>
      <c r="AU1201" s="781"/>
    </row>
    <row r="1202" ht="15.75" customHeight="1">
      <c r="A1202" s="809"/>
      <c r="B1202" s="792"/>
      <c r="C1202" s="801"/>
      <c r="D1202" s="801"/>
      <c r="E1202" s="791"/>
      <c r="F1202" s="809"/>
      <c r="G1202" s="809"/>
      <c r="H1202" s="809"/>
      <c r="I1202" s="809"/>
      <c r="J1202" s="809"/>
      <c r="K1202" s="809"/>
      <c r="L1202" s="781"/>
      <c r="M1202" s="781"/>
      <c r="N1202" s="781"/>
      <c r="O1202" s="781"/>
      <c r="P1202" s="781"/>
      <c r="Q1202" s="781"/>
      <c r="R1202" s="781"/>
      <c r="S1202" s="781"/>
      <c r="T1202" s="781"/>
      <c r="U1202" s="781"/>
      <c r="V1202" s="781"/>
      <c r="W1202" s="781"/>
      <c r="X1202" s="781"/>
      <c r="Y1202" s="781"/>
      <c r="Z1202" s="781"/>
      <c r="AA1202" s="781"/>
      <c r="AB1202" s="781"/>
      <c r="AC1202" s="781"/>
      <c r="AD1202" s="781"/>
      <c r="AE1202" s="781"/>
      <c r="AF1202" s="781"/>
      <c r="AG1202" s="781"/>
      <c r="AH1202" s="781"/>
      <c r="AI1202" s="781"/>
      <c r="AJ1202" s="781"/>
      <c r="AK1202" s="781"/>
      <c r="AL1202" s="781"/>
      <c r="AM1202" s="781"/>
      <c r="AN1202" s="781"/>
      <c r="AO1202" s="781"/>
      <c r="AP1202" s="781"/>
      <c r="AQ1202" s="781"/>
      <c r="AR1202" s="781"/>
      <c r="AS1202" s="781"/>
      <c r="AT1202" s="781"/>
      <c r="AU1202" s="781"/>
    </row>
    <row r="1203" ht="15.75" customHeight="1">
      <c r="A1203" s="809"/>
      <c r="B1203" s="792"/>
      <c r="C1203" s="801"/>
      <c r="D1203" s="801"/>
      <c r="E1203" s="791"/>
      <c r="F1203" s="809"/>
      <c r="G1203" s="809"/>
      <c r="H1203" s="809"/>
      <c r="I1203" s="809"/>
      <c r="J1203" s="809"/>
      <c r="K1203" s="809"/>
      <c r="L1203" s="781"/>
      <c r="M1203" s="781"/>
      <c r="N1203" s="781"/>
      <c r="O1203" s="781"/>
      <c r="P1203" s="781"/>
      <c r="Q1203" s="781"/>
      <c r="R1203" s="781"/>
      <c r="S1203" s="781"/>
      <c r="T1203" s="781"/>
      <c r="U1203" s="781"/>
      <c r="V1203" s="781"/>
      <c r="W1203" s="781"/>
      <c r="X1203" s="781"/>
      <c r="Y1203" s="781"/>
      <c r="Z1203" s="781"/>
      <c r="AA1203" s="781"/>
      <c r="AB1203" s="781"/>
      <c r="AC1203" s="781"/>
      <c r="AD1203" s="781"/>
      <c r="AE1203" s="781"/>
      <c r="AF1203" s="781"/>
      <c r="AG1203" s="781"/>
      <c r="AH1203" s="781"/>
      <c r="AI1203" s="781"/>
      <c r="AJ1203" s="781"/>
      <c r="AK1203" s="781"/>
      <c r="AL1203" s="781"/>
      <c r="AM1203" s="781"/>
      <c r="AN1203" s="781"/>
      <c r="AO1203" s="781"/>
      <c r="AP1203" s="781"/>
      <c r="AQ1203" s="781"/>
      <c r="AR1203" s="781"/>
      <c r="AS1203" s="781"/>
      <c r="AT1203" s="781"/>
      <c r="AU1203" s="781"/>
    </row>
    <row r="1204" ht="15.75" customHeight="1">
      <c r="A1204" s="809"/>
      <c r="B1204" s="792"/>
      <c r="C1204" s="801"/>
      <c r="D1204" s="801"/>
      <c r="E1204" s="791"/>
      <c r="F1204" s="809"/>
      <c r="G1204" s="809"/>
      <c r="H1204" s="809"/>
      <c r="I1204" s="809"/>
      <c r="J1204" s="809"/>
      <c r="K1204" s="809"/>
      <c r="L1204" s="781"/>
      <c r="M1204" s="781"/>
      <c r="N1204" s="781"/>
      <c r="O1204" s="781"/>
      <c r="P1204" s="781"/>
      <c r="Q1204" s="781"/>
      <c r="R1204" s="781"/>
      <c r="S1204" s="781"/>
      <c r="T1204" s="781"/>
      <c r="U1204" s="781"/>
      <c r="V1204" s="781"/>
      <c r="W1204" s="781"/>
      <c r="X1204" s="781"/>
      <c r="Y1204" s="781"/>
      <c r="Z1204" s="781"/>
      <c r="AA1204" s="781"/>
      <c r="AB1204" s="781"/>
      <c r="AC1204" s="781"/>
      <c r="AD1204" s="781"/>
      <c r="AE1204" s="781"/>
      <c r="AF1204" s="781"/>
      <c r="AG1204" s="781"/>
      <c r="AH1204" s="781"/>
      <c r="AI1204" s="781"/>
      <c r="AJ1204" s="781"/>
      <c r="AK1204" s="781"/>
      <c r="AL1204" s="781"/>
      <c r="AM1204" s="781"/>
      <c r="AN1204" s="781"/>
      <c r="AO1204" s="781"/>
      <c r="AP1204" s="781"/>
      <c r="AQ1204" s="781"/>
      <c r="AR1204" s="781"/>
      <c r="AS1204" s="781"/>
      <c r="AT1204" s="781"/>
      <c r="AU1204" s="781"/>
    </row>
    <row r="1205" ht="15.75" customHeight="1">
      <c r="A1205" s="809"/>
      <c r="B1205" s="792"/>
      <c r="C1205" s="801"/>
      <c r="D1205" s="801"/>
      <c r="E1205" s="791"/>
      <c r="F1205" s="809"/>
      <c r="G1205" s="809"/>
      <c r="H1205" s="809"/>
      <c r="I1205" s="809"/>
      <c r="J1205" s="809"/>
      <c r="K1205" s="809"/>
      <c r="L1205" s="781"/>
      <c r="M1205" s="781"/>
      <c r="N1205" s="781"/>
      <c r="O1205" s="781"/>
      <c r="P1205" s="781"/>
      <c r="Q1205" s="781"/>
      <c r="R1205" s="781"/>
      <c r="S1205" s="781"/>
      <c r="T1205" s="781"/>
      <c r="U1205" s="781"/>
      <c r="V1205" s="781"/>
      <c r="W1205" s="781"/>
      <c r="X1205" s="781"/>
      <c r="Y1205" s="781"/>
      <c r="Z1205" s="781"/>
      <c r="AA1205" s="781"/>
      <c r="AB1205" s="781"/>
      <c r="AC1205" s="781"/>
      <c r="AD1205" s="781"/>
      <c r="AE1205" s="781"/>
      <c r="AF1205" s="781"/>
      <c r="AG1205" s="781"/>
      <c r="AH1205" s="781"/>
      <c r="AI1205" s="781"/>
      <c r="AJ1205" s="781"/>
      <c r="AK1205" s="781"/>
      <c r="AL1205" s="781"/>
      <c r="AM1205" s="781"/>
      <c r="AN1205" s="781"/>
      <c r="AO1205" s="781"/>
      <c r="AP1205" s="781"/>
      <c r="AQ1205" s="781"/>
      <c r="AR1205" s="781"/>
      <c r="AS1205" s="781"/>
      <c r="AT1205" s="781"/>
      <c r="AU1205" s="781"/>
    </row>
    <row r="1206" ht="15.75" customHeight="1">
      <c r="A1206" s="809"/>
      <c r="B1206" s="792"/>
      <c r="C1206" s="801"/>
      <c r="D1206" s="801"/>
      <c r="E1206" s="791"/>
      <c r="F1206" s="809"/>
      <c r="G1206" s="809"/>
      <c r="H1206" s="809"/>
      <c r="I1206" s="809"/>
      <c r="J1206" s="809"/>
      <c r="K1206" s="809"/>
      <c r="L1206" s="781"/>
      <c r="M1206" s="781"/>
      <c r="N1206" s="781"/>
      <c r="O1206" s="781"/>
      <c r="P1206" s="781"/>
      <c r="Q1206" s="781"/>
      <c r="R1206" s="781"/>
      <c r="S1206" s="781"/>
      <c r="T1206" s="781"/>
      <c r="U1206" s="781"/>
      <c r="V1206" s="781"/>
      <c r="W1206" s="781"/>
      <c r="X1206" s="781"/>
      <c r="Y1206" s="781"/>
      <c r="Z1206" s="781"/>
      <c r="AA1206" s="781"/>
      <c r="AB1206" s="781"/>
      <c r="AC1206" s="781"/>
      <c r="AD1206" s="781"/>
      <c r="AE1206" s="781"/>
      <c r="AF1206" s="781"/>
      <c r="AG1206" s="781"/>
      <c r="AH1206" s="781"/>
      <c r="AI1206" s="781"/>
      <c r="AJ1206" s="781"/>
      <c r="AK1206" s="781"/>
      <c r="AL1206" s="781"/>
      <c r="AM1206" s="781"/>
      <c r="AN1206" s="781"/>
      <c r="AO1206" s="781"/>
      <c r="AP1206" s="781"/>
      <c r="AQ1206" s="781"/>
      <c r="AR1206" s="781"/>
      <c r="AS1206" s="781"/>
      <c r="AT1206" s="781"/>
      <c r="AU1206" s="781"/>
    </row>
    <row r="1207" ht="15.75" customHeight="1">
      <c r="A1207" s="809"/>
      <c r="B1207" s="792"/>
      <c r="C1207" s="801"/>
      <c r="D1207" s="801"/>
      <c r="E1207" s="791"/>
      <c r="F1207" s="809"/>
      <c r="G1207" s="809"/>
      <c r="H1207" s="809"/>
      <c r="I1207" s="809"/>
      <c r="J1207" s="809"/>
      <c r="K1207" s="809"/>
      <c r="L1207" s="781"/>
      <c r="M1207" s="781"/>
      <c r="N1207" s="781"/>
      <c r="O1207" s="781"/>
      <c r="P1207" s="781"/>
      <c r="Q1207" s="781"/>
      <c r="R1207" s="781"/>
      <c r="S1207" s="781"/>
      <c r="T1207" s="781"/>
      <c r="U1207" s="781"/>
      <c r="V1207" s="781"/>
      <c r="W1207" s="781"/>
      <c r="X1207" s="781"/>
      <c r="Y1207" s="781"/>
      <c r="Z1207" s="781"/>
      <c r="AA1207" s="781"/>
      <c r="AB1207" s="781"/>
      <c r="AC1207" s="781"/>
      <c r="AD1207" s="781"/>
      <c r="AE1207" s="781"/>
      <c r="AF1207" s="781"/>
      <c r="AG1207" s="781"/>
      <c r="AH1207" s="781"/>
      <c r="AI1207" s="781"/>
      <c r="AJ1207" s="781"/>
      <c r="AK1207" s="781"/>
      <c r="AL1207" s="781"/>
      <c r="AM1207" s="781"/>
      <c r="AN1207" s="781"/>
      <c r="AO1207" s="781"/>
      <c r="AP1207" s="781"/>
      <c r="AQ1207" s="781"/>
      <c r="AR1207" s="781"/>
      <c r="AS1207" s="781"/>
      <c r="AT1207" s="781"/>
      <c r="AU1207" s="781"/>
    </row>
    <row r="1208" ht="15.75" customHeight="1">
      <c r="A1208" s="809"/>
      <c r="B1208" s="792"/>
      <c r="C1208" s="801"/>
      <c r="D1208" s="801"/>
      <c r="E1208" s="791"/>
      <c r="F1208" s="809"/>
      <c r="G1208" s="809"/>
      <c r="H1208" s="809"/>
      <c r="I1208" s="809"/>
      <c r="J1208" s="809"/>
      <c r="K1208" s="809"/>
      <c r="L1208" s="781"/>
      <c r="M1208" s="781"/>
      <c r="N1208" s="781"/>
      <c r="O1208" s="781"/>
      <c r="P1208" s="781"/>
      <c r="Q1208" s="781"/>
      <c r="R1208" s="781"/>
      <c r="S1208" s="781"/>
      <c r="T1208" s="781"/>
      <c r="U1208" s="781"/>
      <c r="V1208" s="781"/>
      <c r="W1208" s="781"/>
      <c r="X1208" s="781"/>
      <c r="Y1208" s="781"/>
      <c r="Z1208" s="781"/>
      <c r="AA1208" s="781"/>
      <c r="AB1208" s="781"/>
      <c r="AC1208" s="781"/>
      <c r="AD1208" s="781"/>
      <c r="AE1208" s="781"/>
      <c r="AF1208" s="781"/>
      <c r="AG1208" s="781"/>
      <c r="AH1208" s="781"/>
      <c r="AI1208" s="781"/>
      <c r="AJ1208" s="781"/>
      <c r="AK1208" s="781"/>
      <c r="AL1208" s="781"/>
      <c r="AM1208" s="781"/>
      <c r="AN1208" s="781"/>
      <c r="AO1208" s="781"/>
      <c r="AP1208" s="781"/>
      <c r="AQ1208" s="781"/>
      <c r="AR1208" s="781"/>
      <c r="AS1208" s="781"/>
      <c r="AT1208" s="781"/>
      <c r="AU1208" s="781"/>
    </row>
    <row r="1209" ht="15.75" customHeight="1">
      <c r="A1209" s="809"/>
      <c r="B1209" s="792"/>
      <c r="C1209" s="801"/>
      <c r="D1209" s="801"/>
      <c r="E1209" s="791"/>
      <c r="F1209" s="809"/>
      <c r="G1209" s="809"/>
      <c r="H1209" s="809"/>
      <c r="I1209" s="809"/>
      <c r="J1209" s="809"/>
      <c r="K1209" s="809"/>
      <c r="L1209" s="781"/>
      <c r="M1209" s="781"/>
      <c r="N1209" s="781"/>
      <c r="O1209" s="781"/>
      <c r="P1209" s="781"/>
      <c r="Q1209" s="781"/>
      <c r="R1209" s="781"/>
      <c r="S1209" s="781"/>
      <c r="T1209" s="781"/>
      <c r="U1209" s="781"/>
      <c r="V1209" s="781"/>
      <c r="W1209" s="781"/>
      <c r="X1209" s="781"/>
      <c r="Y1209" s="781"/>
      <c r="Z1209" s="781"/>
      <c r="AA1209" s="781"/>
      <c r="AB1209" s="781"/>
      <c r="AC1209" s="781"/>
      <c r="AD1209" s="781"/>
      <c r="AE1209" s="781"/>
      <c r="AF1209" s="781"/>
      <c r="AG1209" s="781"/>
      <c r="AH1209" s="781"/>
      <c r="AI1209" s="781"/>
      <c r="AJ1209" s="781"/>
      <c r="AK1209" s="781"/>
      <c r="AL1209" s="781"/>
      <c r="AM1209" s="781"/>
      <c r="AN1209" s="781"/>
      <c r="AO1209" s="781"/>
      <c r="AP1209" s="781"/>
      <c r="AQ1209" s="781"/>
      <c r="AR1209" s="781"/>
      <c r="AS1209" s="781"/>
      <c r="AT1209" s="781"/>
      <c r="AU1209" s="781"/>
    </row>
    <row r="1210" ht="15.75" customHeight="1">
      <c r="A1210" s="809"/>
      <c r="B1210" s="792"/>
      <c r="C1210" s="801"/>
      <c r="D1210" s="801"/>
      <c r="E1210" s="791"/>
      <c r="F1210" s="809"/>
      <c r="G1210" s="809"/>
      <c r="H1210" s="809"/>
      <c r="I1210" s="809"/>
      <c r="J1210" s="809"/>
      <c r="K1210" s="809"/>
      <c r="L1210" s="781"/>
      <c r="M1210" s="781"/>
      <c r="N1210" s="781"/>
      <c r="O1210" s="781"/>
      <c r="P1210" s="781"/>
      <c r="Q1210" s="781"/>
      <c r="R1210" s="781"/>
      <c r="S1210" s="781"/>
      <c r="T1210" s="781"/>
      <c r="U1210" s="781"/>
      <c r="V1210" s="781"/>
      <c r="W1210" s="781"/>
      <c r="X1210" s="781"/>
      <c r="Y1210" s="781"/>
      <c r="Z1210" s="781"/>
      <c r="AA1210" s="781"/>
      <c r="AB1210" s="781"/>
      <c r="AC1210" s="781"/>
      <c r="AD1210" s="781"/>
      <c r="AE1210" s="781"/>
      <c r="AF1210" s="781"/>
      <c r="AG1210" s="781"/>
      <c r="AH1210" s="781"/>
      <c r="AI1210" s="781"/>
      <c r="AJ1210" s="781"/>
      <c r="AK1210" s="781"/>
      <c r="AL1210" s="781"/>
      <c r="AM1210" s="781"/>
      <c r="AN1210" s="781"/>
      <c r="AO1210" s="781"/>
      <c r="AP1210" s="781"/>
      <c r="AQ1210" s="781"/>
      <c r="AR1210" s="781"/>
      <c r="AS1210" s="781"/>
      <c r="AT1210" s="781"/>
      <c r="AU1210" s="781"/>
    </row>
    <row r="1211" ht="15.75" customHeight="1">
      <c r="A1211" s="809"/>
      <c r="B1211" s="792"/>
      <c r="C1211" s="801"/>
      <c r="D1211" s="801"/>
      <c r="E1211" s="791"/>
      <c r="F1211" s="809"/>
      <c r="G1211" s="809"/>
      <c r="H1211" s="809"/>
      <c r="I1211" s="809"/>
      <c r="J1211" s="809"/>
      <c r="K1211" s="809"/>
      <c r="L1211" s="781"/>
      <c r="M1211" s="781"/>
      <c r="N1211" s="781"/>
      <c r="O1211" s="781"/>
      <c r="P1211" s="781"/>
      <c r="Q1211" s="781"/>
      <c r="R1211" s="781"/>
      <c r="S1211" s="781"/>
      <c r="T1211" s="781"/>
      <c r="U1211" s="781"/>
      <c r="V1211" s="781"/>
      <c r="W1211" s="781"/>
      <c r="X1211" s="781"/>
      <c r="Y1211" s="781"/>
      <c r="Z1211" s="781"/>
      <c r="AA1211" s="781"/>
      <c r="AB1211" s="781"/>
      <c r="AC1211" s="781"/>
      <c r="AD1211" s="781"/>
      <c r="AE1211" s="781"/>
      <c r="AF1211" s="781"/>
      <c r="AG1211" s="781"/>
      <c r="AH1211" s="781"/>
      <c r="AI1211" s="781"/>
      <c r="AJ1211" s="781"/>
      <c r="AK1211" s="781"/>
      <c r="AL1211" s="781"/>
      <c r="AM1211" s="781"/>
      <c r="AN1211" s="781"/>
      <c r="AO1211" s="781"/>
      <c r="AP1211" s="781"/>
      <c r="AQ1211" s="781"/>
      <c r="AR1211" s="781"/>
      <c r="AS1211" s="781"/>
      <c r="AT1211" s="781"/>
      <c r="AU1211" s="781"/>
    </row>
    <row r="1212" ht="15.75" customHeight="1">
      <c r="A1212" s="809"/>
      <c r="B1212" s="792"/>
      <c r="C1212" s="801"/>
      <c r="D1212" s="801"/>
      <c r="E1212" s="791"/>
      <c r="F1212" s="809"/>
      <c r="G1212" s="809"/>
      <c r="H1212" s="809"/>
      <c r="I1212" s="809"/>
      <c r="J1212" s="809"/>
      <c r="K1212" s="809"/>
      <c r="L1212" s="781"/>
      <c r="M1212" s="781"/>
      <c r="N1212" s="781"/>
      <c r="O1212" s="781"/>
      <c r="P1212" s="781"/>
      <c r="Q1212" s="781"/>
      <c r="R1212" s="781"/>
      <c r="S1212" s="781"/>
      <c r="T1212" s="781"/>
      <c r="U1212" s="781"/>
      <c r="V1212" s="781"/>
      <c r="W1212" s="781"/>
      <c r="X1212" s="781"/>
      <c r="Y1212" s="781"/>
      <c r="Z1212" s="781"/>
      <c r="AA1212" s="781"/>
      <c r="AB1212" s="781"/>
      <c r="AC1212" s="781"/>
      <c r="AD1212" s="781"/>
      <c r="AE1212" s="781"/>
      <c r="AF1212" s="781"/>
      <c r="AG1212" s="781"/>
      <c r="AH1212" s="781"/>
      <c r="AI1212" s="781"/>
      <c r="AJ1212" s="781"/>
      <c r="AK1212" s="781"/>
      <c r="AL1212" s="781"/>
      <c r="AM1212" s="781"/>
      <c r="AN1212" s="781"/>
      <c r="AO1212" s="781"/>
      <c r="AP1212" s="781"/>
      <c r="AQ1212" s="781"/>
      <c r="AR1212" s="781"/>
      <c r="AS1212" s="781"/>
      <c r="AT1212" s="781"/>
      <c r="AU1212" s="781"/>
    </row>
    <row r="1213" ht="15.75" customHeight="1">
      <c r="A1213" s="809"/>
      <c r="B1213" s="792"/>
      <c r="C1213" s="801"/>
      <c r="D1213" s="801"/>
      <c r="E1213" s="791"/>
      <c r="F1213" s="809"/>
      <c r="G1213" s="809"/>
      <c r="H1213" s="809"/>
      <c r="I1213" s="809"/>
      <c r="J1213" s="809"/>
      <c r="K1213" s="809"/>
      <c r="L1213" s="781"/>
      <c r="M1213" s="781"/>
      <c r="N1213" s="781"/>
      <c r="O1213" s="781"/>
      <c r="P1213" s="781"/>
      <c r="Q1213" s="781"/>
      <c r="R1213" s="781"/>
      <c r="S1213" s="781"/>
      <c r="T1213" s="781"/>
      <c r="U1213" s="781"/>
      <c r="V1213" s="781"/>
      <c r="W1213" s="781"/>
      <c r="X1213" s="781"/>
      <c r="Y1213" s="781"/>
      <c r="Z1213" s="781"/>
      <c r="AA1213" s="781"/>
      <c r="AB1213" s="781"/>
      <c r="AC1213" s="781"/>
      <c r="AD1213" s="781"/>
      <c r="AE1213" s="781"/>
      <c r="AF1213" s="781"/>
      <c r="AG1213" s="781"/>
      <c r="AH1213" s="781"/>
      <c r="AI1213" s="781"/>
      <c r="AJ1213" s="781"/>
      <c r="AK1213" s="781"/>
      <c r="AL1213" s="781"/>
      <c r="AM1213" s="781"/>
      <c r="AN1213" s="781"/>
      <c r="AO1213" s="781"/>
      <c r="AP1213" s="781"/>
      <c r="AQ1213" s="781"/>
      <c r="AR1213" s="781"/>
      <c r="AS1213" s="781"/>
      <c r="AT1213" s="781"/>
      <c r="AU1213" s="781"/>
    </row>
    <row r="1214" ht="15.75" customHeight="1">
      <c r="A1214" s="809"/>
      <c r="B1214" s="792"/>
      <c r="C1214" s="801"/>
      <c r="D1214" s="801"/>
      <c r="E1214" s="791"/>
      <c r="F1214" s="809"/>
      <c r="G1214" s="809"/>
      <c r="H1214" s="809"/>
      <c r="I1214" s="809"/>
      <c r="J1214" s="809"/>
      <c r="K1214" s="809"/>
      <c r="L1214" s="781"/>
      <c r="M1214" s="781"/>
      <c r="N1214" s="781"/>
      <c r="O1214" s="781"/>
      <c r="P1214" s="781"/>
      <c r="Q1214" s="781"/>
      <c r="R1214" s="781"/>
      <c r="S1214" s="781"/>
      <c r="T1214" s="781"/>
      <c r="U1214" s="781"/>
      <c r="V1214" s="781"/>
      <c r="W1214" s="781"/>
      <c r="X1214" s="781"/>
      <c r="Y1214" s="781"/>
      <c r="Z1214" s="781"/>
      <c r="AA1214" s="781"/>
      <c r="AB1214" s="781"/>
      <c r="AC1214" s="781"/>
      <c r="AD1214" s="781"/>
      <c r="AE1214" s="781"/>
      <c r="AF1214" s="781"/>
      <c r="AG1214" s="781"/>
      <c r="AH1214" s="781"/>
      <c r="AI1214" s="781"/>
      <c r="AJ1214" s="781"/>
      <c r="AK1214" s="781"/>
      <c r="AL1214" s="781"/>
      <c r="AM1214" s="781"/>
      <c r="AN1214" s="781"/>
      <c r="AO1214" s="781"/>
      <c r="AP1214" s="781"/>
      <c r="AQ1214" s="781"/>
      <c r="AR1214" s="781"/>
      <c r="AS1214" s="781"/>
      <c r="AT1214" s="781"/>
      <c r="AU1214" s="781"/>
    </row>
    <row r="1215" ht="15.75" customHeight="1">
      <c r="A1215" s="809"/>
      <c r="B1215" s="792"/>
      <c r="C1215" s="801"/>
      <c r="D1215" s="801"/>
      <c r="E1215" s="791"/>
      <c r="F1215" s="809"/>
      <c r="G1215" s="809"/>
      <c r="H1215" s="809"/>
      <c r="I1215" s="809"/>
      <c r="J1215" s="809"/>
      <c r="K1215" s="809"/>
      <c r="L1215" s="781"/>
      <c r="M1215" s="781"/>
      <c r="N1215" s="781"/>
      <c r="O1215" s="781"/>
      <c r="P1215" s="781"/>
      <c r="Q1215" s="781"/>
      <c r="R1215" s="781"/>
      <c r="S1215" s="781"/>
      <c r="T1215" s="781"/>
      <c r="U1215" s="781"/>
      <c r="V1215" s="781"/>
      <c r="W1215" s="781"/>
      <c r="X1215" s="781"/>
      <c r="Y1215" s="781"/>
      <c r="Z1215" s="781"/>
      <c r="AA1215" s="781"/>
      <c r="AB1215" s="781"/>
      <c r="AC1215" s="781"/>
      <c r="AD1215" s="781"/>
      <c r="AE1215" s="781"/>
      <c r="AF1215" s="781"/>
      <c r="AG1215" s="781"/>
      <c r="AH1215" s="781"/>
      <c r="AI1215" s="781"/>
      <c r="AJ1215" s="781"/>
      <c r="AK1215" s="781"/>
      <c r="AL1215" s="781"/>
      <c r="AM1215" s="781"/>
      <c r="AN1215" s="781"/>
      <c r="AO1215" s="781"/>
      <c r="AP1215" s="781"/>
      <c r="AQ1215" s="781"/>
      <c r="AR1215" s="781"/>
      <c r="AS1215" s="781"/>
      <c r="AT1215" s="781"/>
      <c r="AU1215" s="781"/>
    </row>
    <row r="1216" ht="15.75" customHeight="1">
      <c r="A1216" s="809"/>
      <c r="B1216" s="792"/>
      <c r="C1216" s="801"/>
      <c r="D1216" s="801"/>
      <c r="E1216" s="791"/>
      <c r="F1216" s="809"/>
      <c r="G1216" s="809"/>
      <c r="H1216" s="809"/>
      <c r="I1216" s="809"/>
      <c r="J1216" s="809"/>
      <c r="K1216" s="809"/>
      <c r="L1216" s="781"/>
      <c r="M1216" s="781"/>
      <c r="N1216" s="781"/>
      <c r="O1216" s="781"/>
      <c r="P1216" s="781"/>
      <c r="Q1216" s="781"/>
      <c r="R1216" s="781"/>
      <c r="S1216" s="781"/>
      <c r="T1216" s="781"/>
      <c r="U1216" s="781"/>
      <c r="V1216" s="781"/>
      <c r="W1216" s="781"/>
      <c r="X1216" s="781"/>
      <c r="Y1216" s="781"/>
      <c r="Z1216" s="781"/>
      <c r="AA1216" s="781"/>
      <c r="AB1216" s="781"/>
      <c r="AC1216" s="781"/>
      <c r="AD1216" s="781"/>
      <c r="AE1216" s="781"/>
      <c r="AF1216" s="781"/>
      <c r="AG1216" s="781"/>
      <c r="AH1216" s="781"/>
      <c r="AI1216" s="781"/>
      <c r="AJ1216" s="781"/>
      <c r="AK1216" s="781"/>
      <c r="AL1216" s="781"/>
      <c r="AM1216" s="781"/>
      <c r="AN1216" s="781"/>
      <c r="AO1216" s="781"/>
      <c r="AP1216" s="781"/>
      <c r="AQ1216" s="781"/>
      <c r="AR1216" s="781"/>
      <c r="AS1216" s="781"/>
      <c r="AT1216" s="781"/>
      <c r="AU1216" s="781"/>
    </row>
    <row r="1217" ht="15.75" customHeight="1">
      <c r="A1217" s="809"/>
      <c r="B1217" s="792"/>
      <c r="C1217" s="801"/>
      <c r="D1217" s="801"/>
      <c r="E1217" s="791"/>
      <c r="F1217" s="809"/>
      <c r="G1217" s="809"/>
      <c r="H1217" s="809"/>
      <c r="I1217" s="809"/>
      <c r="J1217" s="809"/>
      <c r="K1217" s="809"/>
      <c r="L1217" s="781"/>
      <c r="M1217" s="781"/>
      <c r="N1217" s="781"/>
      <c r="O1217" s="781"/>
      <c r="P1217" s="781"/>
      <c r="Q1217" s="781"/>
      <c r="R1217" s="781"/>
      <c r="S1217" s="781"/>
      <c r="T1217" s="781"/>
      <c r="U1217" s="781"/>
      <c r="V1217" s="781"/>
      <c r="W1217" s="781"/>
      <c r="X1217" s="781"/>
      <c r="Y1217" s="781"/>
      <c r="Z1217" s="781"/>
      <c r="AA1217" s="781"/>
      <c r="AB1217" s="781"/>
      <c r="AC1217" s="781"/>
      <c r="AD1217" s="781"/>
      <c r="AE1217" s="781"/>
      <c r="AF1217" s="781"/>
      <c r="AG1217" s="781"/>
      <c r="AH1217" s="781"/>
      <c r="AI1217" s="781"/>
      <c r="AJ1217" s="781"/>
      <c r="AK1217" s="781"/>
      <c r="AL1217" s="781"/>
      <c r="AM1217" s="781"/>
      <c r="AN1217" s="781"/>
      <c r="AO1217" s="781"/>
      <c r="AP1217" s="781"/>
      <c r="AQ1217" s="781"/>
      <c r="AR1217" s="781"/>
      <c r="AS1217" s="781"/>
      <c r="AT1217" s="781"/>
      <c r="AU1217" s="781"/>
    </row>
    <row r="1218" ht="15.75" customHeight="1">
      <c r="A1218" s="809"/>
      <c r="B1218" s="792"/>
      <c r="C1218" s="801"/>
      <c r="D1218" s="801"/>
      <c r="E1218" s="791"/>
      <c r="F1218" s="809"/>
      <c r="G1218" s="809"/>
      <c r="H1218" s="809"/>
      <c r="I1218" s="809"/>
      <c r="J1218" s="809"/>
      <c r="K1218" s="809"/>
      <c r="L1218" s="781"/>
      <c r="M1218" s="781"/>
      <c r="N1218" s="781"/>
      <c r="O1218" s="781"/>
      <c r="P1218" s="781"/>
      <c r="Q1218" s="781"/>
      <c r="R1218" s="781"/>
      <c r="S1218" s="781"/>
      <c r="T1218" s="781"/>
      <c r="U1218" s="781"/>
      <c r="V1218" s="781"/>
      <c r="W1218" s="781"/>
      <c r="X1218" s="781"/>
      <c r="Y1218" s="781"/>
      <c r="Z1218" s="781"/>
      <c r="AA1218" s="781"/>
      <c r="AB1218" s="781"/>
      <c r="AC1218" s="781"/>
      <c r="AD1218" s="781"/>
      <c r="AE1218" s="781"/>
      <c r="AF1218" s="781"/>
      <c r="AG1218" s="781"/>
      <c r="AH1218" s="781"/>
      <c r="AI1218" s="781"/>
      <c r="AJ1218" s="781"/>
      <c r="AK1218" s="781"/>
      <c r="AL1218" s="781"/>
      <c r="AM1218" s="781"/>
      <c r="AN1218" s="781"/>
      <c r="AO1218" s="781"/>
      <c r="AP1218" s="781"/>
      <c r="AQ1218" s="781"/>
      <c r="AR1218" s="781"/>
      <c r="AS1218" s="781"/>
      <c r="AT1218" s="781"/>
      <c r="AU1218" s="781"/>
    </row>
    <row r="1219" ht="15.75" customHeight="1">
      <c r="A1219" s="809"/>
      <c r="B1219" s="792"/>
      <c r="C1219" s="801"/>
      <c r="D1219" s="801"/>
      <c r="E1219" s="791"/>
      <c r="F1219" s="809"/>
      <c r="G1219" s="809"/>
      <c r="H1219" s="809"/>
      <c r="I1219" s="809"/>
      <c r="J1219" s="809"/>
      <c r="K1219" s="809"/>
      <c r="L1219" s="781"/>
      <c r="M1219" s="781"/>
      <c r="N1219" s="781"/>
      <c r="O1219" s="781"/>
      <c r="P1219" s="781"/>
      <c r="Q1219" s="781"/>
      <c r="R1219" s="781"/>
      <c r="S1219" s="781"/>
      <c r="T1219" s="781"/>
      <c r="U1219" s="781"/>
      <c r="V1219" s="781"/>
      <c r="W1219" s="781"/>
      <c r="X1219" s="781"/>
      <c r="Y1219" s="781"/>
      <c r="Z1219" s="781"/>
      <c r="AA1219" s="781"/>
      <c r="AB1219" s="781"/>
      <c r="AC1219" s="781"/>
      <c r="AD1219" s="781"/>
      <c r="AE1219" s="781"/>
      <c r="AF1219" s="781"/>
      <c r="AG1219" s="781"/>
      <c r="AH1219" s="781"/>
      <c r="AI1219" s="781"/>
      <c r="AJ1219" s="781"/>
      <c r="AK1219" s="781"/>
      <c r="AL1219" s="781"/>
      <c r="AM1219" s="781"/>
      <c r="AN1219" s="781"/>
      <c r="AO1219" s="781"/>
      <c r="AP1219" s="781"/>
      <c r="AQ1219" s="781"/>
      <c r="AR1219" s="781"/>
      <c r="AS1219" s="781"/>
      <c r="AT1219" s="781"/>
      <c r="AU1219" s="781"/>
    </row>
    <row r="1220" ht="15.75" customHeight="1">
      <c r="A1220" s="809"/>
      <c r="B1220" s="792"/>
      <c r="C1220" s="801"/>
      <c r="D1220" s="801"/>
      <c r="E1220" s="791"/>
      <c r="F1220" s="809"/>
      <c r="G1220" s="809"/>
      <c r="H1220" s="809"/>
      <c r="I1220" s="809"/>
      <c r="J1220" s="809"/>
      <c r="K1220" s="809"/>
      <c r="L1220" s="781"/>
      <c r="M1220" s="781"/>
      <c r="N1220" s="781"/>
      <c r="O1220" s="781"/>
      <c r="P1220" s="781"/>
      <c r="Q1220" s="781"/>
      <c r="R1220" s="781"/>
      <c r="S1220" s="781"/>
      <c r="T1220" s="781"/>
      <c r="U1220" s="781"/>
      <c r="V1220" s="781"/>
      <c r="W1220" s="781"/>
      <c r="X1220" s="781"/>
      <c r="Y1220" s="781"/>
      <c r="Z1220" s="781"/>
      <c r="AA1220" s="781"/>
      <c r="AB1220" s="781"/>
      <c r="AC1220" s="781"/>
      <c r="AD1220" s="781"/>
      <c r="AE1220" s="781"/>
      <c r="AF1220" s="781"/>
      <c r="AG1220" s="781"/>
      <c r="AH1220" s="781"/>
      <c r="AI1220" s="781"/>
      <c r="AJ1220" s="781"/>
      <c r="AK1220" s="781"/>
      <c r="AL1220" s="781"/>
      <c r="AM1220" s="781"/>
      <c r="AN1220" s="781"/>
      <c r="AO1220" s="781"/>
      <c r="AP1220" s="781"/>
      <c r="AQ1220" s="781"/>
      <c r="AR1220" s="781"/>
      <c r="AS1220" s="781"/>
      <c r="AT1220" s="781"/>
      <c r="AU1220" s="781"/>
    </row>
    <row r="1221" ht="15.75" customHeight="1">
      <c r="A1221" s="809"/>
      <c r="B1221" s="792"/>
      <c r="C1221" s="801"/>
      <c r="D1221" s="801"/>
      <c r="E1221" s="791"/>
      <c r="F1221" s="809"/>
      <c r="G1221" s="809"/>
      <c r="H1221" s="809"/>
      <c r="I1221" s="809"/>
      <c r="J1221" s="809"/>
      <c r="K1221" s="809"/>
      <c r="L1221" s="781"/>
      <c r="M1221" s="781"/>
      <c r="N1221" s="781"/>
      <c r="O1221" s="781"/>
      <c r="P1221" s="781"/>
      <c r="Q1221" s="781"/>
      <c r="R1221" s="781"/>
      <c r="S1221" s="781"/>
      <c r="T1221" s="781"/>
      <c r="U1221" s="781"/>
      <c r="V1221" s="781"/>
      <c r="W1221" s="781"/>
      <c r="X1221" s="781"/>
      <c r="Y1221" s="781"/>
      <c r="Z1221" s="781"/>
      <c r="AA1221" s="781"/>
      <c r="AB1221" s="781"/>
      <c r="AC1221" s="781"/>
      <c r="AD1221" s="781"/>
      <c r="AE1221" s="781"/>
      <c r="AF1221" s="781"/>
      <c r="AG1221" s="781"/>
      <c r="AH1221" s="781"/>
      <c r="AI1221" s="781"/>
      <c r="AJ1221" s="781"/>
      <c r="AK1221" s="781"/>
      <c r="AL1221" s="781"/>
      <c r="AM1221" s="781"/>
      <c r="AN1221" s="781"/>
      <c r="AO1221" s="781"/>
      <c r="AP1221" s="781"/>
      <c r="AQ1221" s="781"/>
      <c r="AR1221" s="781"/>
      <c r="AS1221" s="781"/>
      <c r="AT1221" s="781"/>
      <c r="AU1221" s="781"/>
    </row>
    <row r="1222" ht="15.75" customHeight="1">
      <c r="A1222" s="809"/>
      <c r="B1222" s="792"/>
      <c r="C1222" s="801"/>
      <c r="D1222" s="801"/>
      <c r="E1222" s="791"/>
      <c r="F1222" s="809"/>
      <c r="G1222" s="809"/>
      <c r="H1222" s="809"/>
      <c r="I1222" s="809"/>
      <c r="J1222" s="809"/>
      <c r="K1222" s="809"/>
      <c r="L1222" s="781"/>
      <c r="M1222" s="781"/>
      <c r="N1222" s="781"/>
      <c r="O1222" s="781"/>
      <c r="P1222" s="781"/>
      <c r="Q1222" s="781"/>
      <c r="R1222" s="781"/>
      <c r="S1222" s="781"/>
      <c r="T1222" s="781"/>
      <c r="U1222" s="781"/>
      <c r="V1222" s="781"/>
      <c r="W1222" s="781"/>
      <c r="X1222" s="781"/>
      <c r="Y1222" s="781"/>
      <c r="Z1222" s="781"/>
      <c r="AA1222" s="781"/>
      <c r="AB1222" s="781"/>
      <c r="AC1222" s="781"/>
      <c r="AD1222" s="781"/>
      <c r="AE1222" s="781"/>
      <c r="AF1222" s="781"/>
      <c r="AG1222" s="781"/>
      <c r="AH1222" s="781"/>
      <c r="AI1222" s="781"/>
      <c r="AJ1222" s="781"/>
      <c r="AK1222" s="781"/>
      <c r="AL1222" s="781"/>
      <c r="AM1222" s="781"/>
      <c r="AN1222" s="781"/>
      <c r="AO1222" s="781"/>
      <c r="AP1222" s="781"/>
      <c r="AQ1222" s="781"/>
      <c r="AR1222" s="781"/>
      <c r="AS1222" s="781"/>
      <c r="AT1222" s="781"/>
      <c r="AU1222" s="781"/>
    </row>
    <row r="1223" ht="15.75" customHeight="1">
      <c r="A1223" s="809"/>
      <c r="B1223" s="792"/>
      <c r="C1223" s="801"/>
      <c r="D1223" s="801"/>
      <c r="E1223" s="791"/>
      <c r="F1223" s="809"/>
      <c r="G1223" s="809"/>
      <c r="H1223" s="809"/>
      <c r="I1223" s="809"/>
      <c r="J1223" s="809"/>
      <c r="K1223" s="809"/>
      <c r="L1223" s="781"/>
      <c r="M1223" s="781"/>
      <c r="N1223" s="781"/>
      <c r="O1223" s="781"/>
      <c r="P1223" s="781"/>
      <c r="Q1223" s="781"/>
      <c r="R1223" s="781"/>
      <c r="S1223" s="781"/>
      <c r="T1223" s="781"/>
      <c r="U1223" s="781"/>
      <c r="V1223" s="781"/>
      <c r="W1223" s="781"/>
      <c r="X1223" s="781"/>
      <c r="Y1223" s="781"/>
      <c r="Z1223" s="781"/>
      <c r="AA1223" s="781"/>
      <c r="AB1223" s="781"/>
      <c r="AC1223" s="781"/>
      <c r="AD1223" s="781"/>
      <c r="AE1223" s="781"/>
      <c r="AF1223" s="781"/>
      <c r="AG1223" s="781"/>
      <c r="AH1223" s="781"/>
      <c r="AI1223" s="781"/>
      <c r="AJ1223" s="781"/>
      <c r="AK1223" s="781"/>
      <c r="AL1223" s="781"/>
      <c r="AM1223" s="781"/>
      <c r="AN1223" s="781"/>
      <c r="AO1223" s="781"/>
      <c r="AP1223" s="781"/>
      <c r="AQ1223" s="781"/>
      <c r="AR1223" s="781"/>
      <c r="AS1223" s="781"/>
      <c r="AT1223" s="781"/>
      <c r="AU1223" s="781"/>
    </row>
    <row r="1224" ht="15.75" customHeight="1">
      <c r="A1224" s="809"/>
      <c r="B1224" s="792"/>
      <c r="C1224" s="801"/>
      <c r="D1224" s="801"/>
      <c r="E1224" s="791"/>
      <c r="F1224" s="809"/>
      <c r="G1224" s="809"/>
      <c r="H1224" s="809"/>
      <c r="I1224" s="809"/>
      <c r="J1224" s="809"/>
      <c r="K1224" s="809"/>
      <c r="L1224" s="781"/>
      <c r="M1224" s="781"/>
      <c r="N1224" s="781"/>
      <c r="O1224" s="781"/>
      <c r="P1224" s="781"/>
      <c r="Q1224" s="781"/>
      <c r="R1224" s="781"/>
      <c r="S1224" s="781"/>
      <c r="T1224" s="781"/>
      <c r="U1224" s="781"/>
      <c r="V1224" s="781"/>
      <c r="W1224" s="781"/>
      <c r="X1224" s="781"/>
      <c r="Y1224" s="781"/>
      <c r="Z1224" s="781"/>
      <c r="AA1224" s="781"/>
      <c r="AB1224" s="781"/>
      <c r="AC1224" s="781"/>
      <c r="AD1224" s="781"/>
      <c r="AE1224" s="781"/>
      <c r="AF1224" s="781"/>
      <c r="AG1224" s="781"/>
      <c r="AH1224" s="781"/>
      <c r="AI1224" s="781"/>
      <c r="AJ1224" s="781"/>
      <c r="AK1224" s="781"/>
      <c r="AL1224" s="781"/>
      <c r="AM1224" s="781"/>
      <c r="AN1224" s="781"/>
      <c r="AO1224" s="781"/>
      <c r="AP1224" s="781"/>
      <c r="AQ1224" s="781"/>
      <c r="AR1224" s="781"/>
      <c r="AS1224" s="781"/>
      <c r="AT1224" s="781"/>
      <c r="AU1224" s="781"/>
    </row>
    <row r="1225" ht="15.75" customHeight="1">
      <c r="A1225" s="809"/>
      <c r="B1225" s="792"/>
      <c r="C1225" s="801"/>
      <c r="D1225" s="801"/>
      <c r="E1225" s="791"/>
      <c r="F1225" s="809"/>
      <c r="G1225" s="809"/>
      <c r="H1225" s="809"/>
      <c r="I1225" s="809"/>
      <c r="J1225" s="809"/>
      <c r="K1225" s="809"/>
      <c r="L1225" s="781"/>
      <c r="M1225" s="781"/>
      <c r="N1225" s="781"/>
      <c r="O1225" s="781"/>
      <c r="P1225" s="781"/>
      <c r="Q1225" s="781"/>
      <c r="R1225" s="781"/>
      <c r="S1225" s="781"/>
      <c r="T1225" s="781"/>
      <c r="U1225" s="781"/>
      <c r="V1225" s="781"/>
      <c r="W1225" s="781"/>
      <c r="X1225" s="781"/>
      <c r="Y1225" s="781"/>
      <c r="Z1225" s="781"/>
      <c r="AA1225" s="781"/>
      <c r="AB1225" s="781"/>
      <c r="AC1225" s="781"/>
      <c r="AD1225" s="781"/>
      <c r="AE1225" s="781"/>
      <c r="AF1225" s="781"/>
      <c r="AG1225" s="781"/>
      <c r="AH1225" s="781"/>
      <c r="AI1225" s="781"/>
      <c r="AJ1225" s="781"/>
      <c r="AK1225" s="781"/>
      <c r="AL1225" s="781"/>
      <c r="AM1225" s="781"/>
      <c r="AN1225" s="781"/>
      <c r="AO1225" s="781"/>
      <c r="AP1225" s="781"/>
      <c r="AQ1225" s="781"/>
      <c r="AR1225" s="781"/>
      <c r="AS1225" s="781"/>
      <c r="AT1225" s="781"/>
      <c r="AU1225" s="781"/>
    </row>
    <row r="1226" ht="15.75" customHeight="1">
      <c r="A1226" s="809"/>
      <c r="B1226" s="792"/>
      <c r="C1226" s="801"/>
      <c r="D1226" s="801"/>
      <c r="E1226" s="791"/>
      <c r="F1226" s="809"/>
      <c r="G1226" s="809"/>
      <c r="H1226" s="809"/>
      <c r="I1226" s="809"/>
      <c r="J1226" s="809"/>
      <c r="K1226" s="809"/>
      <c r="L1226" s="781"/>
      <c r="M1226" s="781"/>
      <c r="N1226" s="781"/>
      <c r="O1226" s="781"/>
      <c r="P1226" s="781"/>
      <c r="Q1226" s="781"/>
      <c r="R1226" s="781"/>
      <c r="S1226" s="781"/>
      <c r="T1226" s="781"/>
      <c r="U1226" s="781"/>
      <c r="V1226" s="781"/>
      <c r="W1226" s="781"/>
      <c r="X1226" s="781"/>
      <c r="Y1226" s="781"/>
      <c r="Z1226" s="781"/>
      <c r="AA1226" s="781"/>
      <c r="AB1226" s="781"/>
      <c r="AC1226" s="781"/>
      <c r="AD1226" s="781"/>
      <c r="AE1226" s="781"/>
      <c r="AF1226" s="781"/>
      <c r="AG1226" s="781"/>
      <c r="AH1226" s="781"/>
      <c r="AI1226" s="781"/>
      <c r="AJ1226" s="781"/>
      <c r="AK1226" s="781"/>
      <c r="AL1226" s="781"/>
      <c r="AM1226" s="781"/>
      <c r="AN1226" s="781"/>
      <c r="AO1226" s="781"/>
      <c r="AP1226" s="781"/>
      <c r="AQ1226" s="781"/>
      <c r="AR1226" s="781"/>
      <c r="AS1226" s="781"/>
      <c r="AT1226" s="781"/>
      <c r="AU1226" s="781"/>
    </row>
    <row r="1227" ht="15.75" customHeight="1">
      <c r="A1227" s="809"/>
      <c r="B1227" s="792"/>
      <c r="C1227" s="801"/>
      <c r="D1227" s="801"/>
      <c r="E1227" s="791"/>
      <c r="F1227" s="809"/>
      <c r="G1227" s="809"/>
      <c r="H1227" s="809"/>
      <c r="I1227" s="809"/>
      <c r="J1227" s="809"/>
      <c r="K1227" s="809"/>
      <c r="L1227" s="781"/>
      <c r="M1227" s="781"/>
      <c r="N1227" s="781"/>
      <c r="O1227" s="781"/>
      <c r="P1227" s="781"/>
      <c r="Q1227" s="781"/>
      <c r="R1227" s="781"/>
      <c r="S1227" s="781"/>
      <c r="T1227" s="781"/>
      <c r="U1227" s="781"/>
      <c r="V1227" s="781"/>
      <c r="W1227" s="781"/>
      <c r="X1227" s="781"/>
      <c r="Y1227" s="781"/>
      <c r="Z1227" s="781"/>
      <c r="AA1227" s="781"/>
      <c r="AB1227" s="781"/>
      <c r="AC1227" s="781"/>
      <c r="AD1227" s="781"/>
      <c r="AE1227" s="781"/>
      <c r="AF1227" s="781"/>
      <c r="AG1227" s="781"/>
      <c r="AH1227" s="781"/>
      <c r="AI1227" s="781"/>
      <c r="AJ1227" s="781"/>
      <c r="AK1227" s="781"/>
      <c r="AL1227" s="781"/>
      <c r="AM1227" s="781"/>
      <c r="AN1227" s="781"/>
      <c r="AO1227" s="781"/>
      <c r="AP1227" s="781"/>
      <c r="AQ1227" s="781"/>
      <c r="AR1227" s="781"/>
      <c r="AS1227" s="781"/>
      <c r="AT1227" s="781"/>
      <c r="AU1227" s="781"/>
    </row>
    <row r="1228" ht="15.75" customHeight="1">
      <c r="A1228" s="809"/>
      <c r="B1228" s="792"/>
      <c r="C1228" s="801"/>
      <c r="D1228" s="801"/>
      <c r="E1228" s="791"/>
      <c r="F1228" s="809"/>
      <c r="G1228" s="809"/>
      <c r="H1228" s="809"/>
      <c r="I1228" s="809"/>
      <c r="J1228" s="809"/>
      <c r="K1228" s="809"/>
      <c r="L1228" s="781"/>
      <c r="M1228" s="781"/>
      <c r="N1228" s="781"/>
      <c r="O1228" s="781"/>
      <c r="P1228" s="781"/>
      <c r="Q1228" s="781"/>
      <c r="R1228" s="781"/>
      <c r="S1228" s="781"/>
      <c r="T1228" s="781"/>
      <c r="U1228" s="781"/>
      <c r="V1228" s="781"/>
      <c r="W1228" s="781"/>
      <c r="X1228" s="781"/>
      <c r="Y1228" s="781"/>
      <c r="Z1228" s="781"/>
      <c r="AA1228" s="781"/>
      <c r="AB1228" s="781"/>
      <c r="AC1228" s="781"/>
      <c r="AD1228" s="781"/>
      <c r="AE1228" s="781"/>
      <c r="AF1228" s="781"/>
      <c r="AG1228" s="781"/>
      <c r="AH1228" s="781"/>
      <c r="AI1228" s="781"/>
      <c r="AJ1228" s="781"/>
      <c r="AK1228" s="781"/>
      <c r="AL1228" s="781"/>
      <c r="AM1228" s="781"/>
      <c r="AN1228" s="781"/>
      <c r="AO1228" s="781"/>
      <c r="AP1228" s="781"/>
      <c r="AQ1228" s="781"/>
      <c r="AR1228" s="781"/>
      <c r="AS1228" s="781"/>
      <c r="AT1228" s="781"/>
      <c r="AU1228" s="781"/>
    </row>
    <row r="1229" ht="15.75" customHeight="1">
      <c r="A1229" s="809"/>
      <c r="B1229" s="792"/>
      <c r="C1229" s="801"/>
      <c r="D1229" s="801"/>
      <c r="E1229" s="791"/>
      <c r="F1229" s="809"/>
      <c r="G1229" s="809"/>
      <c r="H1229" s="809"/>
      <c r="I1229" s="809"/>
      <c r="J1229" s="809"/>
      <c r="K1229" s="809"/>
      <c r="L1229" s="781"/>
      <c r="M1229" s="781"/>
      <c r="N1229" s="781"/>
      <c r="O1229" s="781"/>
      <c r="P1229" s="781"/>
      <c r="Q1229" s="781"/>
      <c r="R1229" s="781"/>
      <c r="S1229" s="781"/>
      <c r="T1229" s="781"/>
      <c r="U1229" s="781"/>
      <c r="V1229" s="781"/>
      <c r="W1229" s="781"/>
      <c r="X1229" s="781"/>
      <c r="Y1229" s="781"/>
      <c r="Z1229" s="781"/>
      <c r="AA1229" s="781"/>
      <c r="AB1229" s="781"/>
      <c r="AC1229" s="781"/>
      <c r="AD1229" s="781"/>
      <c r="AE1229" s="781"/>
      <c r="AF1229" s="781"/>
      <c r="AG1229" s="781"/>
      <c r="AH1229" s="781"/>
      <c r="AI1229" s="781"/>
      <c r="AJ1229" s="781"/>
      <c r="AK1229" s="781"/>
      <c r="AL1229" s="781"/>
      <c r="AM1229" s="781"/>
      <c r="AN1229" s="781"/>
      <c r="AO1229" s="781"/>
      <c r="AP1229" s="781"/>
      <c r="AQ1229" s="781"/>
      <c r="AR1229" s="781"/>
      <c r="AS1229" s="781"/>
      <c r="AT1229" s="781"/>
      <c r="AU1229" s="781"/>
    </row>
    <row r="1230" ht="15.75" customHeight="1">
      <c r="A1230" s="809"/>
      <c r="B1230" s="792"/>
      <c r="C1230" s="801"/>
      <c r="D1230" s="801"/>
      <c r="E1230" s="791"/>
      <c r="F1230" s="809"/>
      <c r="G1230" s="809"/>
      <c r="H1230" s="809"/>
      <c r="I1230" s="809"/>
      <c r="J1230" s="809"/>
      <c r="K1230" s="809"/>
      <c r="L1230" s="781"/>
      <c r="M1230" s="781"/>
      <c r="N1230" s="781"/>
      <c r="O1230" s="781"/>
      <c r="P1230" s="781"/>
      <c r="Q1230" s="781"/>
      <c r="R1230" s="781"/>
      <c r="S1230" s="781"/>
      <c r="T1230" s="781"/>
      <c r="U1230" s="781"/>
      <c r="V1230" s="781"/>
      <c r="W1230" s="781"/>
      <c r="X1230" s="781"/>
      <c r="Y1230" s="781"/>
      <c r="Z1230" s="781"/>
      <c r="AA1230" s="781"/>
      <c r="AB1230" s="781"/>
      <c r="AC1230" s="781"/>
      <c r="AD1230" s="781"/>
      <c r="AE1230" s="781"/>
      <c r="AF1230" s="781"/>
      <c r="AG1230" s="781"/>
      <c r="AH1230" s="781"/>
      <c r="AI1230" s="781"/>
      <c r="AJ1230" s="781"/>
      <c r="AK1230" s="781"/>
      <c r="AL1230" s="781"/>
      <c r="AM1230" s="781"/>
      <c r="AN1230" s="781"/>
      <c r="AO1230" s="781"/>
      <c r="AP1230" s="781"/>
      <c r="AQ1230" s="781"/>
      <c r="AR1230" s="781"/>
      <c r="AS1230" s="781"/>
      <c r="AT1230" s="781"/>
      <c r="AU1230" s="781"/>
    </row>
    <row r="1231" ht="15.75" customHeight="1">
      <c r="A1231" s="809"/>
      <c r="B1231" s="792"/>
      <c r="C1231" s="801"/>
      <c r="D1231" s="801"/>
      <c r="E1231" s="791"/>
      <c r="F1231" s="809"/>
      <c r="G1231" s="809"/>
      <c r="H1231" s="809"/>
      <c r="I1231" s="809"/>
      <c r="J1231" s="809"/>
      <c r="K1231" s="809"/>
      <c r="L1231" s="781"/>
      <c r="M1231" s="781"/>
      <c r="N1231" s="781"/>
      <c r="O1231" s="781"/>
      <c r="P1231" s="781"/>
      <c r="Q1231" s="781"/>
      <c r="R1231" s="781"/>
      <c r="S1231" s="781"/>
      <c r="T1231" s="781"/>
      <c r="U1231" s="781"/>
      <c r="V1231" s="781"/>
      <c r="W1231" s="781"/>
      <c r="X1231" s="781"/>
      <c r="Y1231" s="781"/>
      <c r="Z1231" s="781"/>
      <c r="AA1231" s="781"/>
      <c r="AB1231" s="781"/>
      <c r="AC1231" s="781"/>
      <c r="AD1231" s="781"/>
      <c r="AE1231" s="781"/>
      <c r="AF1231" s="781"/>
      <c r="AG1231" s="781"/>
      <c r="AH1231" s="781"/>
      <c r="AI1231" s="781"/>
      <c r="AJ1231" s="781"/>
      <c r="AK1231" s="781"/>
      <c r="AL1231" s="781"/>
      <c r="AM1231" s="781"/>
      <c r="AN1231" s="781"/>
      <c r="AO1231" s="781"/>
      <c r="AP1231" s="781"/>
      <c r="AQ1231" s="781"/>
      <c r="AR1231" s="781"/>
      <c r="AS1231" s="781"/>
      <c r="AT1231" s="781"/>
      <c r="AU1231" s="781"/>
    </row>
    <row r="1232" ht="15.75" customHeight="1">
      <c r="A1232" s="809"/>
      <c r="B1232" s="792"/>
      <c r="C1232" s="801"/>
      <c r="D1232" s="801"/>
      <c r="E1232" s="791"/>
      <c r="F1232" s="809"/>
      <c r="G1232" s="809"/>
      <c r="H1232" s="809"/>
      <c r="I1232" s="809"/>
      <c r="J1232" s="809"/>
      <c r="K1232" s="809"/>
      <c r="L1232" s="781"/>
      <c r="M1232" s="781"/>
      <c r="N1232" s="781"/>
      <c r="O1232" s="781"/>
      <c r="P1232" s="781"/>
      <c r="Q1232" s="781"/>
      <c r="R1232" s="781"/>
      <c r="S1232" s="781"/>
      <c r="T1232" s="781"/>
      <c r="U1232" s="781"/>
      <c r="V1232" s="781"/>
      <c r="W1232" s="781"/>
      <c r="X1232" s="781"/>
      <c r="Y1232" s="781"/>
      <c r="Z1232" s="781"/>
      <c r="AA1232" s="781"/>
      <c r="AB1232" s="781"/>
      <c r="AC1232" s="781"/>
      <c r="AD1232" s="781"/>
      <c r="AE1232" s="781"/>
      <c r="AF1232" s="781"/>
      <c r="AG1232" s="781"/>
      <c r="AH1232" s="781"/>
      <c r="AI1232" s="781"/>
      <c r="AJ1232" s="781"/>
      <c r="AK1232" s="781"/>
      <c r="AL1232" s="781"/>
      <c r="AM1232" s="781"/>
      <c r="AN1232" s="781"/>
      <c r="AO1232" s="781"/>
      <c r="AP1232" s="781"/>
      <c r="AQ1232" s="781"/>
      <c r="AR1232" s="781"/>
      <c r="AS1232" s="781"/>
      <c r="AT1232" s="781"/>
      <c r="AU1232" s="781"/>
    </row>
    <row r="1233" ht="15.75" customHeight="1">
      <c r="A1233" s="809"/>
      <c r="B1233" s="792"/>
      <c r="C1233" s="801"/>
      <c r="D1233" s="801"/>
      <c r="E1233" s="791"/>
      <c r="F1233" s="809"/>
      <c r="G1233" s="809"/>
      <c r="H1233" s="809"/>
      <c r="I1233" s="809"/>
      <c r="J1233" s="809"/>
      <c r="K1233" s="809"/>
      <c r="L1233" s="781"/>
      <c r="M1233" s="781"/>
      <c r="N1233" s="781"/>
      <c r="O1233" s="781"/>
      <c r="P1233" s="781"/>
      <c r="Q1233" s="781"/>
      <c r="R1233" s="781"/>
      <c r="S1233" s="781"/>
      <c r="T1233" s="781"/>
      <c r="U1233" s="781"/>
      <c r="V1233" s="781"/>
      <c r="W1233" s="781"/>
      <c r="X1233" s="781"/>
      <c r="Y1233" s="781"/>
      <c r="Z1233" s="781"/>
      <c r="AA1233" s="781"/>
      <c r="AB1233" s="781"/>
      <c r="AC1233" s="781"/>
      <c r="AD1233" s="781"/>
      <c r="AE1233" s="781"/>
      <c r="AF1233" s="781"/>
      <c r="AG1233" s="781"/>
      <c r="AH1233" s="781"/>
      <c r="AI1233" s="781"/>
      <c r="AJ1233" s="781"/>
      <c r="AK1233" s="781"/>
      <c r="AL1233" s="781"/>
      <c r="AM1233" s="781"/>
      <c r="AN1233" s="781"/>
      <c r="AO1233" s="781"/>
      <c r="AP1233" s="781"/>
      <c r="AQ1233" s="781"/>
      <c r="AR1233" s="781"/>
      <c r="AS1233" s="781"/>
      <c r="AT1233" s="781"/>
      <c r="AU1233" s="781"/>
    </row>
    <row r="1234" ht="15.75" customHeight="1">
      <c r="A1234" s="809"/>
      <c r="B1234" s="792"/>
      <c r="C1234" s="801"/>
      <c r="D1234" s="801"/>
      <c r="E1234" s="791"/>
      <c r="F1234" s="809"/>
      <c r="G1234" s="809"/>
      <c r="H1234" s="809"/>
      <c r="I1234" s="809"/>
      <c r="J1234" s="809"/>
      <c r="K1234" s="809"/>
      <c r="L1234" s="781"/>
      <c r="M1234" s="781"/>
      <c r="N1234" s="781"/>
      <c r="O1234" s="781"/>
      <c r="P1234" s="781"/>
      <c r="Q1234" s="781"/>
      <c r="R1234" s="781"/>
      <c r="S1234" s="781"/>
      <c r="T1234" s="781"/>
      <c r="U1234" s="781"/>
      <c r="V1234" s="781"/>
      <c r="W1234" s="781"/>
      <c r="X1234" s="781"/>
      <c r="Y1234" s="781"/>
      <c r="Z1234" s="781"/>
      <c r="AA1234" s="781"/>
      <c r="AB1234" s="781"/>
      <c r="AC1234" s="781"/>
      <c r="AD1234" s="781"/>
      <c r="AE1234" s="781"/>
      <c r="AF1234" s="781"/>
      <c r="AG1234" s="781"/>
      <c r="AH1234" s="781"/>
      <c r="AI1234" s="781"/>
      <c r="AJ1234" s="781"/>
      <c r="AK1234" s="781"/>
      <c r="AL1234" s="781"/>
      <c r="AM1234" s="781"/>
      <c r="AN1234" s="781"/>
      <c r="AO1234" s="781"/>
      <c r="AP1234" s="781"/>
      <c r="AQ1234" s="781"/>
      <c r="AR1234" s="781"/>
      <c r="AS1234" s="781"/>
      <c r="AT1234" s="781"/>
      <c r="AU1234" s="781"/>
    </row>
    <row r="1235" ht="15.75" customHeight="1">
      <c r="A1235" s="809"/>
      <c r="B1235" s="792"/>
      <c r="C1235" s="801"/>
      <c r="D1235" s="801"/>
      <c r="E1235" s="791"/>
      <c r="F1235" s="809"/>
      <c r="G1235" s="809"/>
      <c r="H1235" s="809"/>
      <c r="I1235" s="809"/>
      <c r="J1235" s="809"/>
      <c r="K1235" s="809"/>
      <c r="L1235" s="781"/>
      <c r="M1235" s="781"/>
      <c r="N1235" s="781"/>
      <c r="O1235" s="781"/>
      <c r="P1235" s="781"/>
      <c r="Q1235" s="781"/>
      <c r="R1235" s="781"/>
      <c r="S1235" s="781"/>
      <c r="T1235" s="781"/>
      <c r="U1235" s="781"/>
      <c r="V1235" s="781"/>
      <c r="W1235" s="781"/>
      <c r="X1235" s="781"/>
      <c r="Y1235" s="781"/>
      <c r="Z1235" s="781"/>
      <c r="AA1235" s="781"/>
      <c r="AB1235" s="781"/>
      <c r="AC1235" s="781"/>
      <c r="AD1235" s="781"/>
      <c r="AE1235" s="781"/>
      <c r="AF1235" s="781"/>
      <c r="AG1235" s="781"/>
      <c r="AH1235" s="781"/>
      <c r="AI1235" s="781"/>
      <c r="AJ1235" s="781"/>
      <c r="AK1235" s="781"/>
      <c r="AL1235" s="781"/>
      <c r="AM1235" s="781"/>
      <c r="AN1235" s="781"/>
      <c r="AO1235" s="781"/>
      <c r="AP1235" s="781"/>
      <c r="AQ1235" s="781"/>
      <c r="AR1235" s="781"/>
      <c r="AS1235" s="781"/>
      <c r="AT1235" s="781"/>
      <c r="AU1235" s="781"/>
    </row>
    <row r="1236" ht="15.75" customHeight="1">
      <c r="A1236" s="809"/>
      <c r="B1236" s="792"/>
      <c r="C1236" s="801"/>
      <c r="D1236" s="801"/>
      <c r="E1236" s="791"/>
      <c r="F1236" s="809"/>
      <c r="G1236" s="809"/>
      <c r="H1236" s="809"/>
      <c r="I1236" s="809"/>
      <c r="J1236" s="809"/>
      <c r="K1236" s="809"/>
      <c r="L1236" s="781"/>
      <c r="M1236" s="781"/>
      <c r="N1236" s="781"/>
      <c r="O1236" s="781"/>
      <c r="P1236" s="781"/>
      <c r="Q1236" s="781"/>
      <c r="R1236" s="781"/>
      <c r="S1236" s="781"/>
      <c r="T1236" s="781"/>
      <c r="U1236" s="781"/>
      <c r="V1236" s="781"/>
      <c r="W1236" s="781"/>
      <c r="X1236" s="781"/>
      <c r="Y1236" s="781"/>
      <c r="Z1236" s="781"/>
      <c r="AA1236" s="781"/>
      <c r="AB1236" s="781"/>
      <c r="AC1236" s="781"/>
      <c r="AD1236" s="781"/>
      <c r="AE1236" s="781"/>
      <c r="AF1236" s="781"/>
      <c r="AG1236" s="781"/>
      <c r="AH1236" s="781"/>
      <c r="AI1236" s="781"/>
      <c r="AJ1236" s="781"/>
      <c r="AK1236" s="781"/>
      <c r="AL1236" s="781"/>
      <c r="AM1236" s="781"/>
      <c r="AN1236" s="781"/>
      <c r="AO1236" s="781"/>
      <c r="AP1236" s="781"/>
      <c r="AQ1236" s="781"/>
      <c r="AR1236" s="781"/>
      <c r="AS1236" s="781"/>
      <c r="AT1236" s="781"/>
      <c r="AU1236" s="781"/>
    </row>
    <row r="1237" ht="15.75" customHeight="1">
      <c r="A1237" s="809"/>
      <c r="B1237" s="792"/>
      <c r="C1237" s="801"/>
      <c r="D1237" s="801"/>
      <c r="E1237" s="791"/>
      <c r="F1237" s="809"/>
      <c r="G1237" s="809"/>
      <c r="H1237" s="809"/>
      <c r="I1237" s="809"/>
      <c r="J1237" s="809"/>
      <c r="K1237" s="809"/>
      <c r="L1237" s="781"/>
      <c r="M1237" s="781"/>
      <c r="N1237" s="781"/>
      <c r="O1237" s="781"/>
      <c r="P1237" s="781"/>
      <c r="Q1237" s="781"/>
      <c r="R1237" s="781"/>
      <c r="S1237" s="781"/>
      <c r="T1237" s="781"/>
      <c r="U1237" s="781"/>
      <c r="V1237" s="781"/>
      <c r="W1237" s="781"/>
      <c r="X1237" s="781"/>
      <c r="Y1237" s="781"/>
      <c r="Z1237" s="781"/>
      <c r="AA1237" s="781"/>
      <c r="AB1237" s="781"/>
      <c r="AC1237" s="781"/>
      <c r="AD1237" s="781"/>
      <c r="AE1237" s="781"/>
      <c r="AF1237" s="781"/>
      <c r="AG1237" s="781"/>
      <c r="AH1237" s="781"/>
      <c r="AI1237" s="781"/>
      <c r="AJ1237" s="781"/>
      <c r="AK1237" s="781"/>
      <c r="AL1237" s="781"/>
      <c r="AM1237" s="781"/>
      <c r="AN1237" s="781"/>
      <c r="AO1237" s="781"/>
      <c r="AP1237" s="781"/>
      <c r="AQ1237" s="781"/>
      <c r="AR1237" s="781"/>
      <c r="AS1237" s="781"/>
      <c r="AT1237" s="781"/>
      <c r="AU1237" s="781"/>
    </row>
    <row r="1238" ht="15.75" customHeight="1">
      <c r="A1238" s="809"/>
      <c r="B1238" s="792"/>
      <c r="C1238" s="801"/>
      <c r="D1238" s="801"/>
      <c r="E1238" s="791"/>
      <c r="F1238" s="809"/>
      <c r="G1238" s="809"/>
      <c r="H1238" s="809"/>
      <c r="I1238" s="809"/>
      <c r="J1238" s="809"/>
      <c r="K1238" s="809"/>
      <c r="L1238" s="781"/>
      <c r="M1238" s="781"/>
      <c r="N1238" s="781"/>
      <c r="O1238" s="781"/>
      <c r="P1238" s="781"/>
      <c r="Q1238" s="781"/>
      <c r="R1238" s="781"/>
      <c r="S1238" s="781"/>
      <c r="T1238" s="781"/>
      <c r="U1238" s="781"/>
      <c r="V1238" s="781"/>
      <c r="W1238" s="781"/>
      <c r="X1238" s="781"/>
      <c r="Y1238" s="781"/>
      <c r="Z1238" s="781"/>
      <c r="AA1238" s="781"/>
      <c r="AB1238" s="781"/>
      <c r="AC1238" s="781"/>
      <c r="AD1238" s="781"/>
      <c r="AE1238" s="781"/>
      <c r="AF1238" s="781"/>
      <c r="AG1238" s="781"/>
      <c r="AH1238" s="781"/>
      <c r="AI1238" s="781"/>
      <c r="AJ1238" s="781"/>
      <c r="AK1238" s="781"/>
      <c r="AL1238" s="781"/>
      <c r="AM1238" s="781"/>
      <c r="AN1238" s="781"/>
      <c r="AO1238" s="781"/>
      <c r="AP1238" s="781"/>
      <c r="AQ1238" s="781"/>
      <c r="AR1238" s="781"/>
      <c r="AS1238" s="781"/>
      <c r="AT1238" s="781"/>
      <c r="AU1238" s="781"/>
    </row>
    <row r="1239" ht="15.75" customHeight="1">
      <c r="A1239" s="809"/>
      <c r="B1239" s="792"/>
      <c r="C1239" s="801"/>
      <c r="D1239" s="801"/>
      <c r="E1239" s="791"/>
      <c r="F1239" s="809"/>
      <c r="G1239" s="809"/>
      <c r="H1239" s="809"/>
      <c r="I1239" s="809"/>
      <c r="J1239" s="809"/>
      <c r="K1239" s="809"/>
      <c r="L1239" s="781"/>
      <c r="M1239" s="781"/>
      <c r="N1239" s="781"/>
      <c r="O1239" s="781"/>
      <c r="P1239" s="781"/>
      <c r="Q1239" s="781"/>
      <c r="R1239" s="781"/>
      <c r="S1239" s="781"/>
      <c r="T1239" s="781"/>
      <c r="U1239" s="781"/>
      <c r="V1239" s="781"/>
      <c r="W1239" s="781"/>
      <c r="X1239" s="781"/>
      <c r="Y1239" s="781"/>
      <c r="Z1239" s="781"/>
      <c r="AA1239" s="781"/>
      <c r="AB1239" s="781"/>
      <c r="AC1239" s="781"/>
      <c r="AD1239" s="781"/>
      <c r="AE1239" s="781"/>
      <c r="AF1239" s="781"/>
      <c r="AG1239" s="781"/>
      <c r="AH1239" s="781"/>
      <c r="AI1239" s="781"/>
      <c r="AJ1239" s="781"/>
      <c r="AK1239" s="781"/>
      <c r="AL1239" s="781"/>
      <c r="AM1239" s="781"/>
      <c r="AN1239" s="781"/>
      <c r="AO1239" s="781"/>
      <c r="AP1239" s="781"/>
      <c r="AQ1239" s="781"/>
      <c r="AR1239" s="781"/>
      <c r="AS1239" s="781"/>
      <c r="AT1239" s="781"/>
      <c r="AU1239" s="781"/>
    </row>
    <row r="1240" ht="15.75" customHeight="1">
      <c r="A1240" s="809"/>
      <c r="B1240" s="792"/>
      <c r="C1240" s="801"/>
      <c r="D1240" s="801"/>
      <c r="E1240" s="791"/>
      <c r="F1240" s="809"/>
      <c r="G1240" s="809"/>
      <c r="H1240" s="809"/>
      <c r="I1240" s="809"/>
      <c r="J1240" s="809"/>
      <c r="K1240" s="809"/>
      <c r="L1240" s="781"/>
      <c r="M1240" s="781"/>
      <c r="N1240" s="781"/>
      <c r="O1240" s="781"/>
      <c r="P1240" s="781"/>
      <c r="Q1240" s="781"/>
      <c r="R1240" s="781"/>
      <c r="S1240" s="781"/>
      <c r="T1240" s="781"/>
      <c r="U1240" s="781"/>
      <c r="V1240" s="781"/>
      <c r="W1240" s="781"/>
      <c r="X1240" s="781"/>
      <c r="Y1240" s="781"/>
      <c r="Z1240" s="781"/>
      <c r="AA1240" s="781"/>
      <c r="AB1240" s="781"/>
      <c r="AC1240" s="781"/>
      <c r="AD1240" s="781"/>
      <c r="AE1240" s="781"/>
      <c r="AF1240" s="781"/>
      <c r="AG1240" s="781"/>
      <c r="AH1240" s="781"/>
      <c r="AI1240" s="781"/>
      <c r="AJ1240" s="781"/>
      <c r="AK1240" s="781"/>
      <c r="AL1240" s="781"/>
      <c r="AM1240" s="781"/>
      <c r="AN1240" s="781"/>
      <c r="AO1240" s="781"/>
      <c r="AP1240" s="781"/>
      <c r="AQ1240" s="781"/>
      <c r="AR1240" s="781"/>
      <c r="AS1240" s="781"/>
      <c r="AT1240" s="781"/>
      <c r="AU1240" s="781"/>
    </row>
    <row r="1241" ht="15.75" customHeight="1">
      <c r="A1241" s="809"/>
      <c r="B1241" s="792"/>
      <c r="C1241" s="801"/>
      <c r="D1241" s="801"/>
      <c r="E1241" s="791"/>
      <c r="F1241" s="809"/>
      <c r="G1241" s="809"/>
      <c r="H1241" s="809"/>
      <c r="I1241" s="809"/>
      <c r="J1241" s="809"/>
      <c r="K1241" s="809"/>
      <c r="L1241" s="781"/>
      <c r="M1241" s="781"/>
      <c r="N1241" s="781"/>
      <c r="O1241" s="781"/>
      <c r="P1241" s="781"/>
      <c r="Q1241" s="781"/>
      <c r="R1241" s="781"/>
      <c r="S1241" s="781"/>
      <c r="T1241" s="781"/>
      <c r="U1241" s="781"/>
      <c r="V1241" s="781"/>
      <c r="W1241" s="781"/>
      <c r="X1241" s="781"/>
      <c r="Y1241" s="781"/>
      <c r="Z1241" s="781"/>
      <c r="AA1241" s="781"/>
      <c r="AB1241" s="781"/>
      <c r="AC1241" s="781"/>
      <c r="AD1241" s="781"/>
      <c r="AE1241" s="781"/>
      <c r="AF1241" s="781"/>
      <c r="AG1241" s="781"/>
      <c r="AH1241" s="781"/>
      <c r="AI1241" s="781"/>
      <c r="AJ1241" s="781"/>
      <c r="AK1241" s="781"/>
      <c r="AL1241" s="781"/>
      <c r="AM1241" s="781"/>
      <c r="AN1241" s="781"/>
      <c r="AO1241" s="781"/>
      <c r="AP1241" s="781"/>
      <c r="AQ1241" s="781"/>
      <c r="AR1241" s="781"/>
      <c r="AS1241" s="781"/>
      <c r="AT1241" s="781"/>
      <c r="AU1241" s="781"/>
    </row>
    <row r="1242" ht="15.75" customHeight="1">
      <c r="A1242" s="809"/>
      <c r="B1242" s="792"/>
      <c r="C1242" s="801"/>
      <c r="D1242" s="801"/>
      <c r="E1242" s="791"/>
      <c r="F1242" s="809"/>
      <c r="G1242" s="809"/>
      <c r="H1242" s="809"/>
      <c r="I1242" s="809"/>
      <c r="J1242" s="809"/>
      <c r="K1242" s="809"/>
      <c r="L1242" s="781"/>
      <c r="M1242" s="781"/>
      <c r="N1242" s="781"/>
      <c r="O1242" s="781"/>
      <c r="P1242" s="781"/>
      <c r="Q1242" s="781"/>
      <c r="R1242" s="781"/>
      <c r="S1242" s="781"/>
      <c r="T1242" s="781"/>
      <c r="U1242" s="781"/>
      <c r="V1242" s="781"/>
      <c r="W1242" s="781"/>
      <c r="X1242" s="781"/>
      <c r="Y1242" s="781"/>
      <c r="Z1242" s="781"/>
      <c r="AA1242" s="781"/>
      <c r="AB1242" s="781"/>
      <c r="AC1242" s="781"/>
      <c r="AD1242" s="781"/>
      <c r="AE1242" s="781"/>
      <c r="AF1242" s="781"/>
      <c r="AG1242" s="781"/>
      <c r="AH1242" s="781"/>
      <c r="AI1242" s="781"/>
      <c r="AJ1242" s="781"/>
      <c r="AK1242" s="781"/>
      <c r="AL1242" s="781"/>
      <c r="AM1242" s="781"/>
      <c r="AN1242" s="781"/>
      <c r="AO1242" s="781"/>
      <c r="AP1242" s="781"/>
      <c r="AQ1242" s="781"/>
      <c r="AR1242" s="781"/>
      <c r="AS1242" s="781"/>
      <c r="AT1242" s="781"/>
      <c r="AU1242" s="781"/>
    </row>
    <row r="1243" ht="15.75" customHeight="1">
      <c r="A1243" s="809"/>
      <c r="B1243" s="792"/>
      <c r="C1243" s="801"/>
      <c r="D1243" s="801"/>
      <c r="E1243" s="791"/>
      <c r="F1243" s="809"/>
      <c r="G1243" s="809"/>
      <c r="H1243" s="809"/>
      <c r="I1243" s="809"/>
      <c r="J1243" s="809"/>
      <c r="K1243" s="809"/>
      <c r="L1243" s="781"/>
      <c r="M1243" s="781"/>
      <c r="N1243" s="781"/>
      <c r="O1243" s="781"/>
      <c r="P1243" s="781"/>
      <c r="Q1243" s="781"/>
      <c r="R1243" s="781"/>
      <c r="S1243" s="781"/>
      <c r="T1243" s="781"/>
      <c r="U1243" s="781"/>
      <c r="V1243" s="781"/>
      <c r="W1243" s="781"/>
      <c r="X1243" s="781"/>
      <c r="Y1243" s="781"/>
      <c r="Z1243" s="781"/>
      <c r="AA1243" s="781"/>
      <c r="AB1243" s="781"/>
      <c r="AC1243" s="781"/>
      <c r="AD1243" s="781"/>
      <c r="AE1243" s="781"/>
      <c r="AF1243" s="781"/>
      <c r="AG1243" s="781"/>
      <c r="AH1243" s="781"/>
      <c r="AI1243" s="781"/>
      <c r="AJ1243" s="781"/>
      <c r="AK1243" s="781"/>
      <c r="AL1243" s="781"/>
      <c r="AM1243" s="781"/>
      <c r="AN1243" s="781"/>
      <c r="AO1243" s="781"/>
      <c r="AP1243" s="781"/>
      <c r="AQ1243" s="781"/>
      <c r="AR1243" s="781"/>
      <c r="AS1243" s="781"/>
      <c r="AT1243" s="781"/>
      <c r="AU1243" s="781"/>
    </row>
    <row r="1244" ht="15.75" customHeight="1">
      <c r="A1244" s="809"/>
      <c r="B1244" s="792"/>
      <c r="C1244" s="801"/>
      <c r="D1244" s="801"/>
      <c r="E1244" s="791"/>
      <c r="F1244" s="809"/>
      <c r="G1244" s="809"/>
      <c r="H1244" s="809"/>
      <c r="I1244" s="809"/>
      <c r="J1244" s="809"/>
      <c r="K1244" s="809"/>
      <c r="L1244" s="781"/>
      <c r="M1244" s="781"/>
      <c r="N1244" s="781"/>
      <c r="O1244" s="781"/>
      <c r="P1244" s="781"/>
      <c r="Q1244" s="781"/>
      <c r="R1244" s="781"/>
      <c r="S1244" s="781"/>
      <c r="T1244" s="781"/>
      <c r="U1244" s="781"/>
      <c r="V1244" s="781"/>
      <c r="W1244" s="781"/>
      <c r="X1244" s="781"/>
      <c r="Y1244" s="781"/>
      <c r="Z1244" s="781"/>
      <c r="AA1244" s="781"/>
      <c r="AB1244" s="781"/>
      <c r="AC1244" s="781"/>
      <c r="AD1244" s="781"/>
      <c r="AE1244" s="781"/>
      <c r="AF1244" s="781"/>
      <c r="AG1244" s="781"/>
      <c r="AH1244" s="781"/>
      <c r="AI1244" s="781"/>
      <c r="AJ1244" s="781"/>
      <c r="AK1244" s="781"/>
      <c r="AL1244" s="781"/>
      <c r="AM1244" s="781"/>
      <c r="AN1244" s="781"/>
      <c r="AO1244" s="781"/>
      <c r="AP1244" s="781"/>
      <c r="AQ1244" s="781"/>
      <c r="AR1244" s="781"/>
      <c r="AS1244" s="781"/>
      <c r="AT1244" s="781"/>
      <c r="AU1244" s="781"/>
    </row>
    <row r="1245" ht="15.75" customHeight="1">
      <c r="A1245" s="809"/>
      <c r="B1245" s="792"/>
      <c r="C1245" s="801"/>
      <c r="D1245" s="801"/>
      <c r="E1245" s="791"/>
      <c r="F1245" s="809"/>
      <c r="G1245" s="809"/>
      <c r="H1245" s="809"/>
      <c r="I1245" s="809"/>
      <c r="J1245" s="809"/>
      <c r="K1245" s="809"/>
      <c r="L1245" s="781"/>
      <c r="M1245" s="781"/>
      <c r="N1245" s="781"/>
      <c r="O1245" s="781"/>
      <c r="P1245" s="781"/>
      <c r="Q1245" s="781"/>
      <c r="R1245" s="781"/>
      <c r="S1245" s="781"/>
      <c r="T1245" s="781"/>
      <c r="U1245" s="781"/>
      <c r="V1245" s="781"/>
      <c r="W1245" s="781"/>
      <c r="X1245" s="781"/>
      <c r="Y1245" s="781"/>
      <c r="Z1245" s="781"/>
      <c r="AA1245" s="781"/>
      <c r="AB1245" s="781"/>
      <c r="AC1245" s="781"/>
      <c r="AD1245" s="781"/>
      <c r="AE1245" s="781"/>
      <c r="AF1245" s="781"/>
      <c r="AG1245" s="781"/>
      <c r="AH1245" s="781"/>
      <c r="AI1245" s="781"/>
      <c r="AJ1245" s="781"/>
      <c r="AK1245" s="781"/>
      <c r="AL1245" s="781"/>
      <c r="AM1245" s="781"/>
      <c r="AN1245" s="781"/>
      <c r="AO1245" s="781"/>
      <c r="AP1245" s="781"/>
      <c r="AQ1245" s="781"/>
      <c r="AR1245" s="781"/>
      <c r="AS1245" s="781"/>
      <c r="AT1245" s="781"/>
      <c r="AU1245" s="781"/>
    </row>
    <row r="1246" ht="15.75" customHeight="1">
      <c r="A1246" s="809"/>
      <c r="B1246" s="792"/>
      <c r="C1246" s="801"/>
      <c r="D1246" s="801"/>
      <c r="E1246" s="791"/>
      <c r="F1246" s="809"/>
      <c r="G1246" s="809"/>
      <c r="H1246" s="809"/>
      <c r="I1246" s="809"/>
      <c r="J1246" s="809"/>
      <c r="K1246" s="809"/>
      <c r="L1246" s="781"/>
      <c r="M1246" s="781"/>
      <c r="N1246" s="781"/>
      <c r="O1246" s="781"/>
      <c r="P1246" s="781"/>
      <c r="Q1246" s="781"/>
      <c r="R1246" s="781"/>
      <c r="S1246" s="781"/>
      <c r="T1246" s="781"/>
      <c r="U1246" s="781"/>
      <c r="V1246" s="781"/>
      <c r="W1246" s="781"/>
      <c r="X1246" s="781"/>
      <c r="Y1246" s="781"/>
      <c r="Z1246" s="781"/>
      <c r="AA1246" s="781"/>
      <c r="AB1246" s="781"/>
      <c r="AC1246" s="781"/>
      <c r="AD1246" s="781"/>
      <c r="AE1246" s="781"/>
      <c r="AF1246" s="781"/>
      <c r="AG1246" s="781"/>
      <c r="AH1246" s="781"/>
      <c r="AI1246" s="781"/>
      <c r="AJ1246" s="781"/>
      <c r="AK1246" s="781"/>
      <c r="AL1246" s="781"/>
      <c r="AM1246" s="781"/>
      <c r="AN1246" s="781"/>
      <c r="AO1246" s="781"/>
      <c r="AP1246" s="781"/>
      <c r="AQ1246" s="781"/>
      <c r="AR1246" s="781"/>
      <c r="AS1246" s="781"/>
      <c r="AT1246" s="781"/>
      <c r="AU1246" s="781"/>
    </row>
    <row r="1247" ht="15.75" customHeight="1">
      <c r="A1247" s="809"/>
      <c r="B1247" s="792"/>
      <c r="C1247" s="801"/>
      <c r="D1247" s="801"/>
      <c r="E1247" s="791"/>
      <c r="F1247" s="809"/>
      <c r="G1247" s="809"/>
      <c r="H1247" s="809"/>
      <c r="I1247" s="809"/>
      <c r="J1247" s="809"/>
      <c r="K1247" s="809"/>
      <c r="L1247" s="781"/>
      <c r="M1247" s="781"/>
      <c r="N1247" s="781"/>
      <c r="O1247" s="781"/>
      <c r="P1247" s="781"/>
      <c r="Q1247" s="781"/>
      <c r="R1247" s="781"/>
      <c r="S1247" s="781"/>
      <c r="T1247" s="781"/>
      <c r="U1247" s="781"/>
      <c r="V1247" s="781"/>
      <c r="W1247" s="781"/>
      <c r="X1247" s="781"/>
      <c r="Y1247" s="781"/>
      <c r="Z1247" s="781"/>
      <c r="AA1247" s="781"/>
      <c r="AB1247" s="781"/>
      <c r="AC1247" s="781"/>
      <c r="AD1247" s="781"/>
      <c r="AE1247" s="781"/>
      <c r="AF1247" s="781"/>
      <c r="AG1247" s="781"/>
      <c r="AH1247" s="781"/>
      <c r="AI1247" s="781"/>
      <c r="AJ1247" s="781"/>
      <c r="AK1247" s="781"/>
      <c r="AL1247" s="781"/>
      <c r="AM1247" s="781"/>
      <c r="AN1247" s="781"/>
      <c r="AO1247" s="781"/>
      <c r="AP1247" s="781"/>
      <c r="AQ1247" s="781"/>
      <c r="AR1247" s="781"/>
      <c r="AS1247" s="781"/>
      <c r="AT1247" s="781"/>
      <c r="AU1247" s="781"/>
    </row>
    <row r="1248" ht="15.75" customHeight="1">
      <c r="A1248" s="809"/>
      <c r="B1248" s="792"/>
      <c r="C1248" s="801"/>
      <c r="D1248" s="801"/>
      <c r="E1248" s="791"/>
      <c r="F1248" s="809"/>
      <c r="G1248" s="809"/>
      <c r="H1248" s="809"/>
      <c r="I1248" s="809"/>
      <c r="J1248" s="809"/>
      <c r="K1248" s="809"/>
      <c r="L1248" s="781"/>
      <c r="M1248" s="781"/>
      <c r="N1248" s="781"/>
      <c r="O1248" s="781"/>
      <c r="P1248" s="781"/>
      <c r="Q1248" s="781"/>
      <c r="R1248" s="781"/>
      <c r="S1248" s="781"/>
      <c r="T1248" s="781"/>
      <c r="U1248" s="781"/>
      <c r="V1248" s="781"/>
      <c r="W1248" s="781"/>
      <c r="X1248" s="781"/>
      <c r="Y1248" s="781"/>
      <c r="Z1248" s="781"/>
      <c r="AA1248" s="781"/>
      <c r="AB1248" s="781"/>
      <c r="AC1248" s="781"/>
      <c r="AD1248" s="781"/>
      <c r="AE1248" s="781"/>
      <c r="AF1248" s="781"/>
      <c r="AG1248" s="781"/>
      <c r="AH1248" s="781"/>
      <c r="AI1248" s="781"/>
      <c r="AJ1248" s="781"/>
      <c r="AK1248" s="781"/>
      <c r="AL1248" s="781"/>
      <c r="AM1248" s="781"/>
      <c r="AN1248" s="781"/>
      <c r="AO1248" s="781"/>
      <c r="AP1248" s="781"/>
      <c r="AQ1248" s="781"/>
      <c r="AR1248" s="781"/>
      <c r="AS1248" s="781"/>
      <c r="AT1248" s="781"/>
      <c r="AU1248" s="781"/>
    </row>
    <row r="1249" ht="15.75" customHeight="1">
      <c r="A1249" s="809"/>
      <c r="B1249" s="792"/>
      <c r="C1249" s="801"/>
      <c r="D1249" s="801"/>
      <c r="E1249" s="791"/>
      <c r="F1249" s="809"/>
      <c r="G1249" s="809"/>
      <c r="H1249" s="809"/>
      <c r="I1249" s="809"/>
      <c r="J1249" s="809"/>
      <c r="K1249" s="809"/>
      <c r="L1249" s="781"/>
      <c r="M1249" s="781"/>
      <c r="N1249" s="781"/>
      <c r="O1249" s="781"/>
      <c r="P1249" s="781"/>
      <c r="Q1249" s="781"/>
      <c r="R1249" s="781"/>
      <c r="S1249" s="781"/>
      <c r="T1249" s="781"/>
      <c r="U1249" s="781"/>
      <c r="V1249" s="781"/>
      <c r="W1249" s="781"/>
      <c r="X1249" s="781"/>
      <c r="Y1249" s="781"/>
      <c r="Z1249" s="781"/>
      <c r="AA1249" s="781"/>
      <c r="AB1249" s="781"/>
      <c r="AC1249" s="781"/>
      <c r="AD1249" s="781"/>
      <c r="AE1249" s="781"/>
      <c r="AF1249" s="781"/>
      <c r="AG1249" s="781"/>
      <c r="AH1249" s="781"/>
      <c r="AI1249" s="781"/>
      <c r="AJ1249" s="781"/>
      <c r="AK1249" s="781"/>
      <c r="AL1249" s="781"/>
      <c r="AM1249" s="781"/>
      <c r="AN1249" s="781"/>
      <c r="AO1249" s="781"/>
      <c r="AP1249" s="781"/>
      <c r="AQ1249" s="781"/>
      <c r="AR1249" s="781"/>
      <c r="AS1249" s="781"/>
      <c r="AT1249" s="781"/>
      <c r="AU1249" s="781"/>
    </row>
    <row r="1250" ht="15.75" customHeight="1">
      <c r="A1250" s="809"/>
      <c r="B1250" s="792"/>
      <c r="C1250" s="801"/>
      <c r="D1250" s="801"/>
      <c r="E1250" s="791"/>
      <c r="F1250" s="809"/>
      <c r="G1250" s="809"/>
      <c r="H1250" s="809"/>
      <c r="I1250" s="809"/>
      <c r="J1250" s="809"/>
      <c r="K1250" s="809"/>
      <c r="L1250" s="781"/>
      <c r="M1250" s="781"/>
      <c r="N1250" s="781"/>
      <c r="O1250" s="781"/>
      <c r="P1250" s="781"/>
      <c r="Q1250" s="781"/>
      <c r="R1250" s="781"/>
      <c r="S1250" s="781"/>
      <c r="T1250" s="781"/>
      <c r="U1250" s="781"/>
      <c r="V1250" s="781"/>
      <c r="W1250" s="781"/>
      <c r="X1250" s="781"/>
      <c r="Y1250" s="781"/>
      <c r="Z1250" s="781"/>
      <c r="AA1250" s="781"/>
      <c r="AB1250" s="781"/>
      <c r="AC1250" s="781"/>
      <c r="AD1250" s="781"/>
      <c r="AE1250" s="781"/>
      <c r="AF1250" s="781"/>
      <c r="AG1250" s="781"/>
      <c r="AH1250" s="781"/>
      <c r="AI1250" s="781"/>
      <c r="AJ1250" s="781"/>
      <c r="AK1250" s="781"/>
      <c r="AL1250" s="781"/>
      <c r="AM1250" s="781"/>
      <c r="AN1250" s="781"/>
      <c r="AO1250" s="781"/>
      <c r="AP1250" s="781"/>
      <c r="AQ1250" s="781"/>
      <c r="AR1250" s="781"/>
      <c r="AS1250" s="781"/>
      <c r="AT1250" s="781"/>
      <c r="AU1250" s="781"/>
    </row>
    <row r="1251" ht="15.75" customHeight="1">
      <c r="A1251" s="809"/>
      <c r="B1251" s="792"/>
      <c r="C1251" s="801"/>
      <c r="D1251" s="801"/>
      <c r="E1251" s="791"/>
      <c r="F1251" s="809"/>
      <c r="G1251" s="809"/>
      <c r="H1251" s="809"/>
      <c r="I1251" s="809"/>
      <c r="J1251" s="809"/>
      <c r="K1251" s="809"/>
      <c r="L1251" s="781"/>
      <c r="M1251" s="781"/>
      <c r="N1251" s="781"/>
      <c r="O1251" s="781"/>
      <c r="P1251" s="781"/>
      <c r="Q1251" s="781"/>
      <c r="R1251" s="781"/>
      <c r="S1251" s="781"/>
      <c r="T1251" s="781"/>
      <c r="U1251" s="781"/>
      <c r="V1251" s="781"/>
      <c r="W1251" s="781"/>
      <c r="X1251" s="781"/>
      <c r="Y1251" s="781"/>
      <c r="Z1251" s="781"/>
      <c r="AA1251" s="781"/>
      <c r="AB1251" s="781"/>
      <c r="AC1251" s="781"/>
      <c r="AD1251" s="781"/>
      <c r="AE1251" s="781"/>
      <c r="AF1251" s="781"/>
      <c r="AG1251" s="781"/>
      <c r="AH1251" s="781"/>
      <c r="AI1251" s="781"/>
      <c r="AJ1251" s="781"/>
      <c r="AK1251" s="781"/>
      <c r="AL1251" s="781"/>
      <c r="AM1251" s="781"/>
      <c r="AN1251" s="781"/>
      <c r="AO1251" s="781"/>
      <c r="AP1251" s="781"/>
      <c r="AQ1251" s="781"/>
      <c r="AR1251" s="781"/>
      <c r="AS1251" s="781"/>
      <c r="AT1251" s="781"/>
      <c r="AU1251" s="781"/>
    </row>
    <row r="1252" ht="15.75" customHeight="1">
      <c r="A1252" s="809"/>
      <c r="B1252" s="792"/>
      <c r="C1252" s="801"/>
      <c r="D1252" s="801"/>
      <c r="E1252" s="791"/>
      <c r="F1252" s="809"/>
      <c r="G1252" s="809"/>
      <c r="H1252" s="809"/>
      <c r="I1252" s="809"/>
      <c r="J1252" s="809"/>
      <c r="K1252" s="809"/>
      <c r="L1252" s="781"/>
      <c r="M1252" s="781"/>
      <c r="N1252" s="781"/>
      <c r="O1252" s="781"/>
      <c r="P1252" s="781"/>
      <c r="Q1252" s="781"/>
      <c r="R1252" s="781"/>
      <c r="S1252" s="781"/>
      <c r="T1252" s="781"/>
      <c r="U1252" s="781"/>
      <c r="V1252" s="781"/>
      <c r="W1252" s="781"/>
      <c r="X1252" s="781"/>
      <c r="Y1252" s="781"/>
      <c r="Z1252" s="781"/>
      <c r="AA1252" s="781"/>
      <c r="AB1252" s="781"/>
      <c r="AC1252" s="781"/>
      <c r="AD1252" s="781"/>
      <c r="AE1252" s="781"/>
      <c r="AF1252" s="781"/>
      <c r="AG1252" s="781"/>
      <c r="AH1252" s="781"/>
      <c r="AI1252" s="781"/>
      <c r="AJ1252" s="781"/>
      <c r="AK1252" s="781"/>
      <c r="AL1252" s="781"/>
      <c r="AM1252" s="781"/>
      <c r="AN1252" s="781"/>
      <c r="AO1252" s="781"/>
      <c r="AP1252" s="781"/>
      <c r="AQ1252" s="781"/>
      <c r="AR1252" s="781"/>
      <c r="AS1252" s="781"/>
      <c r="AT1252" s="781"/>
      <c r="AU1252" s="781"/>
    </row>
    <row r="1253" ht="15.75" customHeight="1">
      <c r="A1253" s="809"/>
      <c r="B1253" s="792"/>
      <c r="C1253" s="801"/>
      <c r="D1253" s="801"/>
      <c r="E1253" s="791"/>
      <c r="F1253" s="809"/>
      <c r="G1253" s="809"/>
      <c r="H1253" s="809"/>
      <c r="I1253" s="809"/>
      <c r="J1253" s="809"/>
      <c r="K1253" s="809"/>
      <c r="L1253" s="781"/>
      <c r="M1253" s="781"/>
      <c r="N1253" s="781"/>
      <c r="O1253" s="781"/>
      <c r="P1253" s="781"/>
      <c r="Q1253" s="781"/>
      <c r="R1253" s="781"/>
      <c r="S1253" s="781"/>
      <c r="T1253" s="781"/>
      <c r="U1253" s="781"/>
      <c r="V1253" s="781"/>
      <c r="W1253" s="781"/>
      <c r="X1253" s="781"/>
      <c r="Y1253" s="781"/>
      <c r="Z1253" s="781"/>
      <c r="AA1253" s="781"/>
      <c r="AB1253" s="781"/>
      <c r="AC1253" s="781"/>
      <c r="AD1253" s="781"/>
      <c r="AE1253" s="781"/>
      <c r="AF1253" s="781"/>
      <c r="AG1253" s="781"/>
      <c r="AH1253" s="781"/>
      <c r="AI1253" s="781"/>
      <c r="AJ1253" s="781"/>
      <c r="AK1253" s="781"/>
      <c r="AL1253" s="781"/>
      <c r="AM1253" s="781"/>
      <c r="AN1253" s="781"/>
      <c r="AO1253" s="781"/>
      <c r="AP1253" s="781"/>
      <c r="AQ1253" s="781"/>
      <c r="AR1253" s="781"/>
      <c r="AS1253" s="781"/>
      <c r="AT1253" s="781"/>
      <c r="AU1253" s="781"/>
    </row>
    <row r="1254" ht="15.75" customHeight="1">
      <c r="A1254" s="809"/>
      <c r="B1254" s="792"/>
      <c r="C1254" s="801"/>
      <c r="D1254" s="801"/>
      <c r="E1254" s="791"/>
      <c r="F1254" s="809"/>
      <c r="G1254" s="809"/>
      <c r="H1254" s="809"/>
      <c r="I1254" s="809"/>
      <c r="J1254" s="809"/>
      <c r="K1254" s="809"/>
      <c r="L1254" s="781"/>
      <c r="M1254" s="781"/>
      <c r="N1254" s="781"/>
      <c r="O1254" s="781"/>
      <c r="P1254" s="781"/>
      <c r="Q1254" s="781"/>
      <c r="R1254" s="781"/>
      <c r="S1254" s="781"/>
      <c r="T1254" s="781"/>
      <c r="U1254" s="781"/>
      <c r="V1254" s="781"/>
      <c r="W1254" s="781"/>
      <c r="X1254" s="781"/>
      <c r="Y1254" s="781"/>
      <c r="Z1254" s="781"/>
      <c r="AA1254" s="781"/>
      <c r="AB1254" s="781"/>
      <c r="AC1254" s="781"/>
      <c r="AD1254" s="781"/>
      <c r="AE1254" s="781"/>
      <c r="AF1254" s="781"/>
      <c r="AG1254" s="781"/>
      <c r="AH1254" s="781"/>
      <c r="AI1254" s="781"/>
      <c r="AJ1254" s="781"/>
      <c r="AK1254" s="781"/>
      <c r="AL1254" s="781"/>
      <c r="AM1254" s="781"/>
      <c r="AN1254" s="781"/>
      <c r="AO1254" s="781"/>
      <c r="AP1254" s="781"/>
      <c r="AQ1254" s="781"/>
      <c r="AR1254" s="781"/>
      <c r="AS1254" s="781"/>
      <c r="AT1254" s="781"/>
      <c r="AU1254" s="781"/>
    </row>
    <row r="1255" ht="15.75" customHeight="1">
      <c r="A1255" s="809"/>
      <c r="B1255" s="792"/>
      <c r="C1255" s="801"/>
      <c r="D1255" s="801"/>
      <c r="E1255" s="791"/>
      <c r="F1255" s="809"/>
      <c r="G1255" s="809"/>
      <c r="H1255" s="809"/>
      <c r="I1255" s="809"/>
      <c r="J1255" s="809"/>
      <c r="K1255" s="809"/>
      <c r="L1255" s="781"/>
      <c r="M1255" s="781"/>
      <c r="N1255" s="781"/>
      <c r="O1255" s="781"/>
      <c r="P1255" s="781"/>
      <c r="Q1255" s="781"/>
      <c r="R1255" s="781"/>
      <c r="S1255" s="781"/>
      <c r="T1255" s="781"/>
      <c r="U1255" s="781"/>
      <c r="V1255" s="781"/>
      <c r="W1255" s="781"/>
      <c r="X1255" s="781"/>
      <c r="Y1255" s="781"/>
      <c r="Z1255" s="781"/>
      <c r="AA1255" s="781"/>
      <c r="AB1255" s="781"/>
      <c r="AC1255" s="781"/>
      <c r="AD1255" s="781"/>
      <c r="AE1255" s="781"/>
      <c r="AF1255" s="781"/>
      <c r="AG1255" s="781"/>
      <c r="AH1255" s="781"/>
      <c r="AI1255" s="781"/>
      <c r="AJ1255" s="781"/>
      <c r="AK1255" s="781"/>
      <c r="AL1255" s="781"/>
      <c r="AM1255" s="781"/>
      <c r="AN1255" s="781"/>
      <c r="AO1255" s="781"/>
      <c r="AP1255" s="781"/>
      <c r="AQ1255" s="781"/>
      <c r="AR1255" s="781"/>
      <c r="AS1255" s="781"/>
      <c r="AT1255" s="781"/>
      <c r="AU1255" s="781"/>
    </row>
    <row r="1256" ht="15.75" customHeight="1">
      <c r="A1256" s="809"/>
      <c r="B1256" s="792"/>
      <c r="C1256" s="801"/>
      <c r="D1256" s="801"/>
      <c r="E1256" s="791"/>
      <c r="F1256" s="809"/>
      <c r="G1256" s="809"/>
      <c r="H1256" s="809"/>
      <c r="I1256" s="809"/>
      <c r="J1256" s="809"/>
      <c r="K1256" s="809"/>
      <c r="L1256" s="781"/>
      <c r="M1256" s="781"/>
      <c r="N1256" s="781"/>
      <c r="O1256" s="781"/>
      <c r="P1256" s="781"/>
      <c r="Q1256" s="781"/>
      <c r="R1256" s="781"/>
      <c r="S1256" s="781"/>
      <c r="T1256" s="781"/>
      <c r="U1256" s="781"/>
      <c r="V1256" s="781"/>
      <c r="W1256" s="781"/>
      <c r="X1256" s="781"/>
      <c r="Y1256" s="781"/>
      <c r="Z1256" s="781"/>
      <c r="AA1256" s="781"/>
      <c r="AB1256" s="781"/>
      <c r="AC1256" s="781"/>
      <c r="AD1256" s="781"/>
      <c r="AE1256" s="781"/>
      <c r="AF1256" s="781"/>
      <c r="AG1256" s="781"/>
      <c r="AH1256" s="781"/>
      <c r="AI1256" s="781"/>
      <c r="AJ1256" s="781"/>
      <c r="AK1256" s="781"/>
      <c r="AL1256" s="781"/>
      <c r="AM1256" s="781"/>
      <c r="AN1256" s="781"/>
      <c r="AO1256" s="781"/>
      <c r="AP1256" s="781"/>
      <c r="AQ1256" s="781"/>
      <c r="AR1256" s="781"/>
      <c r="AS1256" s="781"/>
      <c r="AT1256" s="781"/>
      <c r="AU1256" s="781"/>
    </row>
    <row r="1257" ht="15.75" customHeight="1">
      <c r="A1257" s="809"/>
      <c r="B1257" s="792"/>
      <c r="C1257" s="801"/>
      <c r="D1257" s="801"/>
      <c r="E1257" s="791"/>
      <c r="F1257" s="809"/>
      <c r="G1257" s="809"/>
      <c r="H1257" s="809"/>
      <c r="I1257" s="809"/>
      <c r="J1257" s="809"/>
      <c r="K1257" s="809"/>
      <c r="L1257" s="781"/>
      <c r="M1257" s="781"/>
      <c r="N1257" s="781"/>
      <c r="O1257" s="781"/>
      <c r="P1257" s="781"/>
      <c r="Q1257" s="781"/>
      <c r="R1257" s="781"/>
      <c r="S1257" s="781"/>
      <c r="T1257" s="781"/>
      <c r="U1257" s="781"/>
      <c r="V1257" s="781"/>
      <c r="W1257" s="781"/>
      <c r="X1257" s="781"/>
      <c r="Y1257" s="781"/>
      <c r="Z1257" s="781"/>
      <c r="AA1257" s="781"/>
      <c r="AB1257" s="781"/>
      <c r="AC1257" s="781"/>
      <c r="AD1257" s="781"/>
      <c r="AE1257" s="781"/>
      <c r="AF1257" s="781"/>
      <c r="AG1257" s="781"/>
      <c r="AH1257" s="781"/>
      <c r="AI1257" s="781"/>
      <c r="AJ1257" s="781"/>
      <c r="AK1257" s="781"/>
      <c r="AL1257" s="781"/>
      <c r="AM1257" s="781"/>
      <c r="AN1257" s="781"/>
      <c r="AO1257" s="781"/>
      <c r="AP1257" s="781"/>
      <c r="AQ1257" s="781"/>
      <c r="AR1257" s="781"/>
      <c r="AS1257" s="781"/>
      <c r="AT1257" s="781"/>
      <c r="AU1257" s="781"/>
    </row>
    <row r="1258" ht="15.75" customHeight="1">
      <c r="A1258" s="809"/>
      <c r="B1258" s="792"/>
      <c r="C1258" s="801"/>
      <c r="D1258" s="801"/>
      <c r="E1258" s="791"/>
      <c r="F1258" s="809"/>
      <c r="G1258" s="809"/>
      <c r="H1258" s="809"/>
      <c r="I1258" s="809"/>
      <c r="J1258" s="809"/>
      <c r="K1258" s="809"/>
      <c r="L1258" s="781"/>
      <c r="M1258" s="781"/>
      <c r="N1258" s="781"/>
      <c r="O1258" s="781"/>
      <c r="P1258" s="781"/>
      <c r="Q1258" s="781"/>
      <c r="R1258" s="781"/>
      <c r="S1258" s="781"/>
      <c r="T1258" s="781"/>
      <c r="U1258" s="781"/>
      <c r="V1258" s="781"/>
      <c r="W1258" s="781"/>
      <c r="X1258" s="781"/>
      <c r="Y1258" s="781"/>
      <c r="Z1258" s="781"/>
      <c r="AA1258" s="781"/>
      <c r="AB1258" s="781"/>
      <c r="AC1258" s="781"/>
      <c r="AD1258" s="781"/>
      <c r="AE1258" s="781"/>
      <c r="AF1258" s="781"/>
      <c r="AG1258" s="781"/>
      <c r="AH1258" s="781"/>
      <c r="AI1258" s="781"/>
      <c r="AJ1258" s="781"/>
      <c r="AK1258" s="781"/>
      <c r="AL1258" s="781"/>
      <c r="AM1258" s="781"/>
      <c r="AN1258" s="781"/>
      <c r="AO1258" s="781"/>
      <c r="AP1258" s="781"/>
      <c r="AQ1258" s="781"/>
      <c r="AR1258" s="781"/>
      <c r="AS1258" s="781"/>
      <c r="AT1258" s="781"/>
      <c r="AU1258" s="781"/>
    </row>
    <row r="1259" ht="15.75" customHeight="1">
      <c r="A1259" s="809"/>
      <c r="B1259" s="792"/>
      <c r="C1259" s="801"/>
      <c r="D1259" s="801"/>
      <c r="E1259" s="791"/>
      <c r="F1259" s="809"/>
      <c r="G1259" s="809"/>
      <c r="H1259" s="809"/>
      <c r="I1259" s="809"/>
      <c r="J1259" s="809"/>
      <c r="K1259" s="809"/>
      <c r="L1259" s="781"/>
      <c r="M1259" s="781"/>
      <c r="N1259" s="781"/>
      <c r="O1259" s="781"/>
      <c r="P1259" s="781"/>
      <c r="Q1259" s="781"/>
      <c r="R1259" s="781"/>
      <c r="S1259" s="781"/>
      <c r="T1259" s="781"/>
      <c r="U1259" s="781"/>
      <c r="V1259" s="781"/>
      <c r="W1259" s="781"/>
      <c r="X1259" s="781"/>
      <c r="Y1259" s="781"/>
      <c r="Z1259" s="781"/>
      <c r="AA1259" s="781"/>
      <c r="AB1259" s="781"/>
      <c r="AC1259" s="781"/>
      <c r="AD1259" s="781"/>
      <c r="AE1259" s="781"/>
      <c r="AF1259" s="781"/>
      <c r="AG1259" s="781"/>
      <c r="AH1259" s="781"/>
      <c r="AI1259" s="781"/>
      <c r="AJ1259" s="781"/>
      <c r="AK1259" s="781"/>
      <c r="AL1259" s="781"/>
      <c r="AM1259" s="781"/>
      <c r="AN1259" s="781"/>
      <c r="AO1259" s="781"/>
      <c r="AP1259" s="781"/>
      <c r="AQ1259" s="781"/>
      <c r="AR1259" s="781"/>
      <c r="AS1259" s="781"/>
      <c r="AT1259" s="781"/>
      <c r="AU1259" s="781"/>
    </row>
    <row r="1260" ht="15.75" customHeight="1">
      <c r="A1260" s="809"/>
      <c r="B1260" s="792"/>
      <c r="C1260" s="801"/>
      <c r="D1260" s="801"/>
      <c r="E1260" s="791"/>
      <c r="F1260" s="809"/>
      <c r="G1260" s="809"/>
      <c r="H1260" s="809"/>
      <c r="I1260" s="809"/>
      <c r="J1260" s="809"/>
      <c r="K1260" s="809"/>
      <c r="L1260" s="781"/>
      <c r="M1260" s="781"/>
      <c r="N1260" s="781"/>
      <c r="O1260" s="781"/>
      <c r="P1260" s="781"/>
      <c r="Q1260" s="781"/>
      <c r="R1260" s="781"/>
      <c r="S1260" s="781"/>
      <c r="T1260" s="781"/>
      <c r="U1260" s="781"/>
      <c r="V1260" s="781"/>
      <c r="W1260" s="781"/>
      <c r="X1260" s="781"/>
      <c r="Y1260" s="781"/>
      <c r="Z1260" s="781"/>
      <c r="AA1260" s="781"/>
      <c r="AB1260" s="781"/>
      <c r="AC1260" s="781"/>
      <c r="AD1260" s="781"/>
      <c r="AE1260" s="781"/>
      <c r="AF1260" s="781"/>
      <c r="AG1260" s="781"/>
      <c r="AH1260" s="781"/>
      <c r="AI1260" s="781"/>
      <c r="AJ1260" s="781"/>
      <c r="AK1260" s="781"/>
      <c r="AL1260" s="781"/>
      <c r="AM1260" s="781"/>
      <c r="AN1260" s="781"/>
      <c r="AO1260" s="781"/>
      <c r="AP1260" s="781"/>
      <c r="AQ1260" s="781"/>
      <c r="AR1260" s="781"/>
      <c r="AS1260" s="781"/>
      <c r="AT1260" s="781"/>
      <c r="AU1260" s="781"/>
    </row>
    <row r="1261" ht="15.75" customHeight="1">
      <c r="A1261" s="809"/>
      <c r="B1261" s="792"/>
      <c r="C1261" s="801"/>
      <c r="D1261" s="801"/>
      <c r="E1261" s="791"/>
      <c r="F1261" s="809"/>
      <c r="G1261" s="809"/>
      <c r="H1261" s="809"/>
      <c r="I1261" s="809"/>
      <c r="J1261" s="809"/>
      <c r="K1261" s="809"/>
      <c r="L1261" s="781"/>
      <c r="M1261" s="781"/>
      <c r="N1261" s="781"/>
      <c r="O1261" s="781"/>
      <c r="P1261" s="781"/>
      <c r="Q1261" s="781"/>
      <c r="R1261" s="781"/>
      <c r="S1261" s="781"/>
      <c r="T1261" s="781"/>
      <c r="U1261" s="781"/>
      <c r="V1261" s="781"/>
      <c r="W1261" s="781"/>
      <c r="X1261" s="781"/>
      <c r="Y1261" s="781"/>
      <c r="Z1261" s="781"/>
      <c r="AA1261" s="781"/>
      <c r="AB1261" s="781"/>
      <c r="AC1261" s="781"/>
      <c r="AD1261" s="781"/>
      <c r="AE1261" s="781"/>
      <c r="AF1261" s="781"/>
      <c r="AG1261" s="781"/>
      <c r="AH1261" s="781"/>
      <c r="AI1261" s="781"/>
      <c r="AJ1261" s="781"/>
      <c r="AK1261" s="781"/>
      <c r="AL1261" s="781"/>
      <c r="AM1261" s="781"/>
      <c r="AN1261" s="781"/>
      <c r="AO1261" s="781"/>
      <c r="AP1261" s="781"/>
      <c r="AQ1261" s="781"/>
      <c r="AR1261" s="781"/>
      <c r="AS1261" s="781"/>
      <c r="AT1261" s="781"/>
      <c r="AU1261" s="781"/>
    </row>
    <row r="1262" ht="15.75" customHeight="1">
      <c r="A1262" s="809"/>
      <c r="B1262" s="792"/>
      <c r="C1262" s="801"/>
      <c r="D1262" s="801"/>
      <c r="E1262" s="791"/>
      <c r="F1262" s="809"/>
      <c r="G1262" s="809"/>
      <c r="H1262" s="809"/>
      <c r="I1262" s="809"/>
      <c r="J1262" s="809"/>
      <c r="K1262" s="809"/>
      <c r="L1262" s="781"/>
      <c r="M1262" s="781"/>
      <c r="N1262" s="781"/>
      <c r="O1262" s="781"/>
      <c r="P1262" s="781"/>
      <c r="Q1262" s="781"/>
      <c r="R1262" s="781"/>
      <c r="S1262" s="781"/>
      <c r="T1262" s="781"/>
      <c r="U1262" s="781"/>
      <c r="V1262" s="781"/>
      <c r="W1262" s="781"/>
      <c r="X1262" s="781"/>
      <c r="Y1262" s="781"/>
      <c r="Z1262" s="781"/>
      <c r="AA1262" s="781"/>
      <c r="AB1262" s="781"/>
      <c r="AC1262" s="781"/>
      <c r="AD1262" s="781"/>
      <c r="AE1262" s="781"/>
      <c r="AF1262" s="781"/>
      <c r="AG1262" s="781"/>
      <c r="AH1262" s="781"/>
      <c r="AI1262" s="781"/>
      <c r="AJ1262" s="781"/>
      <c r="AK1262" s="781"/>
      <c r="AL1262" s="781"/>
      <c r="AM1262" s="781"/>
      <c r="AN1262" s="781"/>
      <c r="AO1262" s="781"/>
      <c r="AP1262" s="781"/>
      <c r="AQ1262" s="781"/>
      <c r="AR1262" s="781"/>
      <c r="AS1262" s="781"/>
      <c r="AT1262" s="781"/>
      <c r="AU1262" s="781"/>
    </row>
    <row r="1263" ht="15.75" customHeight="1">
      <c r="A1263" s="809"/>
      <c r="B1263" s="792"/>
      <c r="C1263" s="801"/>
      <c r="D1263" s="801"/>
      <c r="E1263" s="791"/>
      <c r="F1263" s="809"/>
      <c r="G1263" s="809"/>
      <c r="H1263" s="809"/>
      <c r="I1263" s="809"/>
      <c r="J1263" s="809"/>
      <c r="K1263" s="809"/>
      <c r="L1263" s="781"/>
      <c r="M1263" s="781"/>
      <c r="N1263" s="781"/>
      <c r="O1263" s="781"/>
      <c r="P1263" s="781"/>
      <c r="Q1263" s="781"/>
      <c r="R1263" s="781"/>
      <c r="S1263" s="781"/>
      <c r="T1263" s="781"/>
      <c r="U1263" s="781"/>
      <c r="V1263" s="781"/>
      <c r="W1263" s="781"/>
      <c r="X1263" s="781"/>
      <c r="Y1263" s="781"/>
      <c r="Z1263" s="781"/>
      <c r="AA1263" s="781"/>
      <c r="AB1263" s="781"/>
      <c r="AC1263" s="781"/>
      <c r="AD1263" s="781"/>
      <c r="AE1263" s="781"/>
      <c r="AF1263" s="781"/>
      <c r="AG1263" s="781"/>
      <c r="AH1263" s="781"/>
      <c r="AI1263" s="781"/>
      <c r="AJ1263" s="781"/>
      <c r="AK1263" s="781"/>
      <c r="AL1263" s="781"/>
      <c r="AM1263" s="781"/>
      <c r="AN1263" s="781"/>
      <c r="AO1263" s="781"/>
      <c r="AP1263" s="781"/>
      <c r="AQ1263" s="781"/>
      <c r="AR1263" s="781"/>
      <c r="AS1263" s="781"/>
      <c r="AT1263" s="781"/>
      <c r="AU1263" s="781"/>
    </row>
    <row r="1264" ht="15.75" customHeight="1">
      <c r="A1264" s="809"/>
      <c r="B1264" s="792"/>
      <c r="C1264" s="801"/>
      <c r="D1264" s="801"/>
      <c r="E1264" s="791"/>
      <c r="F1264" s="809"/>
      <c r="G1264" s="809"/>
      <c r="H1264" s="809"/>
      <c r="I1264" s="809"/>
      <c r="J1264" s="809"/>
      <c r="K1264" s="809"/>
      <c r="L1264" s="781"/>
      <c r="M1264" s="781"/>
      <c r="N1264" s="781"/>
      <c r="O1264" s="781"/>
      <c r="P1264" s="781"/>
      <c r="Q1264" s="781"/>
      <c r="R1264" s="781"/>
      <c r="S1264" s="781"/>
      <c r="T1264" s="781"/>
      <c r="U1264" s="781"/>
      <c r="V1264" s="781"/>
      <c r="W1264" s="781"/>
      <c r="X1264" s="781"/>
      <c r="Y1264" s="781"/>
      <c r="Z1264" s="781"/>
      <c r="AA1264" s="781"/>
      <c r="AB1264" s="781"/>
      <c r="AC1264" s="781"/>
      <c r="AD1264" s="781"/>
      <c r="AE1264" s="781"/>
      <c r="AF1264" s="781"/>
      <c r="AG1264" s="781"/>
      <c r="AH1264" s="781"/>
      <c r="AI1264" s="781"/>
      <c r="AJ1264" s="781"/>
      <c r="AK1264" s="781"/>
      <c r="AL1264" s="781"/>
      <c r="AM1264" s="781"/>
      <c r="AN1264" s="781"/>
      <c r="AO1264" s="781"/>
      <c r="AP1264" s="781"/>
      <c r="AQ1264" s="781"/>
      <c r="AR1264" s="781"/>
      <c r="AS1264" s="781"/>
      <c r="AT1264" s="781"/>
      <c r="AU1264" s="781"/>
    </row>
    <row r="1265" ht="15.75" customHeight="1">
      <c r="A1265" s="809"/>
      <c r="B1265" s="792"/>
      <c r="C1265" s="801"/>
      <c r="D1265" s="801"/>
      <c r="E1265" s="791"/>
      <c r="F1265" s="809"/>
      <c r="G1265" s="809"/>
      <c r="H1265" s="809"/>
      <c r="I1265" s="809"/>
      <c r="J1265" s="809"/>
      <c r="K1265" s="809"/>
      <c r="L1265" s="781"/>
      <c r="M1265" s="781"/>
      <c r="N1265" s="781"/>
      <c r="O1265" s="781"/>
      <c r="P1265" s="781"/>
      <c r="Q1265" s="781"/>
      <c r="R1265" s="781"/>
      <c r="S1265" s="781"/>
      <c r="T1265" s="781"/>
      <c r="U1265" s="781"/>
      <c r="V1265" s="781"/>
      <c r="W1265" s="781"/>
      <c r="X1265" s="781"/>
      <c r="Y1265" s="781"/>
      <c r="Z1265" s="781"/>
      <c r="AA1265" s="781"/>
      <c r="AB1265" s="781"/>
      <c r="AC1265" s="781"/>
      <c r="AD1265" s="781"/>
      <c r="AE1265" s="781"/>
      <c r="AF1265" s="781"/>
      <c r="AG1265" s="781"/>
      <c r="AH1265" s="781"/>
      <c r="AI1265" s="781"/>
      <c r="AJ1265" s="781"/>
      <c r="AK1265" s="781"/>
      <c r="AL1265" s="781"/>
      <c r="AM1265" s="781"/>
      <c r="AN1265" s="781"/>
      <c r="AO1265" s="781"/>
      <c r="AP1265" s="781"/>
      <c r="AQ1265" s="781"/>
      <c r="AR1265" s="781"/>
      <c r="AS1265" s="781"/>
      <c r="AT1265" s="781"/>
      <c r="AU1265" s="781"/>
    </row>
    <row r="1266" ht="15.75" customHeight="1">
      <c r="A1266" s="809"/>
      <c r="B1266" s="792"/>
      <c r="C1266" s="801"/>
      <c r="D1266" s="801"/>
      <c r="E1266" s="791"/>
      <c r="F1266" s="809"/>
      <c r="G1266" s="809"/>
      <c r="H1266" s="809"/>
      <c r="I1266" s="809"/>
      <c r="J1266" s="809"/>
      <c r="K1266" s="809"/>
      <c r="L1266" s="781"/>
      <c r="M1266" s="781"/>
      <c r="N1266" s="781"/>
      <c r="O1266" s="781"/>
      <c r="P1266" s="781"/>
      <c r="Q1266" s="781"/>
      <c r="R1266" s="781"/>
      <c r="S1266" s="781"/>
      <c r="T1266" s="781"/>
      <c r="U1266" s="781"/>
      <c r="V1266" s="781"/>
      <c r="W1266" s="781"/>
      <c r="X1266" s="781"/>
      <c r="Y1266" s="781"/>
      <c r="Z1266" s="781"/>
      <c r="AA1266" s="781"/>
      <c r="AB1266" s="781"/>
      <c r="AC1266" s="781"/>
      <c r="AD1266" s="781"/>
      <c r="AE1266" s="781"/>
      <c r="AF1266" s="781"/>
      <c r="AG1266" s="781"/>
      <c r="AH1266" s="781"/>
      <c r="AI1266" s="781"/>
      <c r="AJ1266" s="781"/>
      <c r="AK1266" s="781"/>
      <c r="AL1266" s="781"/>
      <c r="AM1266" s="781"/>
      <c r="AN1266" s="781"/>
      <c r="AO1266" s="781"/>
      <c r="AP1266" s="781"/>
      <c r="AQ1266" s="781"/>
      <c r="AR1266" s="781"/>
      <c r="AS1266" s="781"/>
      <c r="AT1266" s="781"/>
      <c r="AU1266" s="781"/>
    </row>
    <row r="1267" ht="15.75" customHeight="1">
      <c r="A1267" s="809"/>
      <c r="B1267" s="792"/>
      <c r="C1267" s="801"/>
      <c r="D1267" s="801"/>
      <c r="E1267" s="791"/>
      <c r="F1267" s="809"/>
      <c r="G1267" s="809"/>
      <c r="H1267" s="809"/>
      <c r="I1267" s="809"/>
      <c r="J1267" s="809"/>
      <c r="K1267" s="809"/>
      <c r="L1267" s="781"/>
      <c r="M1267" s="781"/>
      <c r="N1267" s="781"/>
      <c r="O1267" s="781"/>
      <c r="P1267" s="781"/>
      <c r="Q1267" s="781"/>
      <c r="R1267" s="781"/>
      <c r="S1267" s="781"/>
      <c r="T1267" s="781"/>
      <c r="U1267" s="781"/>
      <c r="V1267" s="781"/>
      <c r="W1267" s="781"/>
      <c r="X1267" s="781"/>
      <c r="Y1267" s="781"/>
      <c r="Z1267" s="781"/>
      <c r="AA1267" s="781"/>
      <c r="AB1267" s="781"/>
      <c r="AC1267" s="781"/>
      <c r="AD1267" s="781"/>
      <c r="AE1267" s="781"/>
      <c r="AF1267" s="781"/>
      <c r="AG1267" s="781"/>
      <c r="AH1267" s="781"/>
      <c r="AI1267" s="781"/>
      <c r="AJ1267" s="781"/>
      <c r="AK1267" s="781"/>
      <c r="AL1267" s="781"/>
      <c r="AM1267" s="781"/>
      <c r="AN1267" s="781"/>
      <c r="AO1267" s="781"/>
      <c r="AP1267" s="781"/>
      <c r="AQ1267" s="781"/>
      <c r="AR1267" s="781"/>
      <c r="AS1267" s="781"/>
      <c r="AT1267" s="781"/>
      <c r="AU1267" s="781"/>
    </row>
    <row r="1268" ht="15.75" customHeight="1">
      <c r="A1268" s="809"/>
      <c r="B1268" s="792"/>
      <c r="C1268" s="801"/>
      <c r="D1268" s="801"/>
      <c r="E1268" s="791"/>
      <c r="F1268" s="809"/>
      <c r="G1268" s="809"/>
      <c r="H1268" s="809"/>
      <c r="I1268" s="809"/>
      <c r="J1268" s="809"/>
      <c r="K1268" s="809"/>
      <c r="L1268" s="781"/>
      <c r="M1268" s="781"/>
      <c r="N1268" s="781"/>
      <c r="O1268" s="781"/>
      <c r="P1268" s="781"/>
      <c r="Q1268" s="781"/>
      <c r="R1268" s="781"/>
      <c r="S1268" s="781"/>
      <c r="T1268" s="781"/>
      <c r="U1268" s="781"/>
      <c r="V1268" s="781"/>
      <c r="W1268" s="781"/>
      <c r="X1268" s="781"/>
      <c r="Y1268" s="781"/>
      <c r="Z1268" s="781"/>
      <c r="AA1268" s="781"/>
      <c r="AB1268" s="781"/>
      <c r="AC1268" s="781"/>
      <c r="AD1268" s="781"/>
      <c r="AE1268" s="781"/>
      <c r="AF1268" s="781"/>
      <c r="AG1268" s="781"/>
      <c r="AH1268" s="781"/>
      <c r="AI1268" s="781"/>
      <c r="AJ1268" s="781"/>
      <c r="AK1268" s="781"/>
      <c r="AL1268" s="781"/>
      <c r="AM1268" s="781"/>
      <c r="AN1268" s="781"/>
      <c r="AO1268" s="781"/>
      <c r="AP1268" s="781"/>
      <c r="AQ1268" s="781"/>
      <c r="AR1268" s="781"/>
      <c r="AS1268" s="781"/>
      <c r="AT1268" s="781"/>
      <c r="AU1268" s="781"/>
    </row>
    <row r="1269" ht="15.75" customHeight="1">
      <c r="A1269" s="809"/>
      <c r="B1269" s="792"/>
      <c r="C1269" s="801"/>
      <c r="D1269" s="801"/>
      <c r="E1269" s="791"/>
      <c r="F1269" s="809"/>
      <c r="G1269" s="809"/>
      <c r="H1269" s="809"/>
      <c r="I1269" s="809"/>
      <c r="J1269" s="809"/>
      <c r="K1269" s="809"/>
      <c r="L1269" s="781"/>
      <c r="M1269" s="781"/>
      <c r="N1269" s="781"/>
      <c r="O1269" s="781"/>
      <c r="P1269" s="781"/>
      <c r="Q1269" s="781"/>
      <c r="R1269" s="781"/>
      <c r="S1269" s="781"/>
      <c r="T1269" s="781"/>
      <c r="U1269" s="781"/>
      <c r="V1269" s="781"/>
      <c r="W1269" s="781"/>
      <c r="X1269" s="781"/>
      <c r="Y1269" s="781"/>
      <c r="Z1269" s="781"/>
      <c r="AA1269" s="781"/>
      <c r="AB1269" s="781"/>
      <c r="AC1269" s="781"/>
      <c r="AD1269" s="781"/>
      <c r="AE1269" s="781"/>
      <c r="AF1269" s="781"/>
      <c r="AG1269" s="781"/>
      <c r="AH1269" s="781"/>
      <c r="AI1269" s="781"/>
      <c r="AJ1269" s="781"/>
      <c r="AK1269" s="781"/>
      <c r="AL1269" s="781"/>
      <c r="AM1269" s="781"/>
      <c r="AN1269" s="781"/>
      <c r="AO1269" s="781"/>
      <c r="AP1269" s="781"/>
      <c r="AQ1269" s="781"/>
      <c r="AR1269" s="781"/>
      <c r="AS1269" s="781"/>
      <c r="AT1269" s="781"/>
      <c r="AU1269" s="781"/>
    </row>
    <row r="1270" ht="15.75" customHeight="1">
      <c r="A1270" s="809"/>
      <c r="B1270" s="792"/>
      <c r="C1270" s="801"/>
      <c r="D1270" s="801"/>
      <c r="E1270" s="791"/>
      <c r="F1270" s="809"/>
      <c r="G1270" s="809"/>
      <c r="H1270" s="809"/>
      <c r="I1270" s="809"/>
      <c r="J1270" s="809"/>
      <c r="K1270" s="809"/>
      <c r="L1270" s="781"/>
      <c r="M1270" s="781"/>
      <c r="N1270" s="781"/>
      <c r="O1270" s="781"/>
      <c r="P1270" s="781"/>
      <c r="Q1270" s="781"/>
      <c r="R1270" s="781"/>
      <c r="S1270" s="781"/>
      <c r="T1270" s="781"/>
      <c r="U1270" s="781"/>
      <c r="V1270" s="781"/>
      <c r="W1270" s="781"/>
      <c r="X1270" s="781"/>
      <c r="Y1270" s="781"/>
      <c r="Z1270" s="781"/>
      <c r="AA1270" s="781"/>
      <c r="AB1270" s="781"/>
      <c r="AC1270" s="781"/>
      <c r="AD1270" s="781"/>
      <c r="AE1270" s="781"/>
      <c r="AF1270" s="781"/>
      <c r="AG1270" s="781"/>
      <c r="AH1270" s="781"/>
      <c r="AI1270" s="781"/>
      <c r="AJ1270" s="781"/>
      <c r="AK1270" s="781"/>
      <c r="AL1270" s="781"/>
      <c r="AM1270" s="781"/>
      <c r="AN1270" s="781"/>
      <c r="AO1270" s="781"/>
      <c r="AP1270" s="781"/>
      <c r="AQ1270" s="781"/>
      <c r="AR1270" s="781"/>
      <c r="AS1270" s="781"/>
      <c r="AT1270" s="781"/>
      <c r="AU1270" s="781"/>
    </row>
    <row r="1271" ht="15.75" customHeight="1">
      <c r="A1271" s="809"/>
      <c r="B1271" s="792"/>
      <c r="C1271" s="801"/>
      <c r="D1271" s="801"/>
      <c r="E1271" s="791"/>
      <c r="F1271" s="809"/>
      <c r="G1271" s="809"/>
      <c r="H1271" s="809"/>
      <c r="I1271" s="809"/>
      <c r="J1271" s="809"/>
      <c r="K1271" s="809"/>
      <c r="L1271" s="781"/>
      <c r="M1271" s="781"/>
      <c r="N1271" s="781"/>
      <c r="O1271" s="781"/>
      <c r="P1271" s="781"/>
      <c r="Q1271" s="781"/>
      <c r="R1271" s="781"/>
      <c r="S1271" s="781"/>
      <c r="T1271" s="781"/>
      <c r="U1271" s="781"/>
      <c r="V1271" s="781"/>
      <c r="W1271" s="781"/>
      <c r="X1271" s="781"/>
      <c r="Y1271" s="781"/>
      <c r="Z1271" s="781"/>
      <c r="AA1271" s="781"/>
      <c r="AB1271" s="781"/>
      <c r="AC1271" s="781"/>
      <c r="AD1271" s="781"/>
      <c r="AE1271" s="781"/>
      <c r="AF1271" s="781"/>
      <c r="AG1271" s="781"/>
      <c r="AH1271" s="781"/>
      <c r="AI1271" s="781"/>
      <c r="AJ1271" s="781"/>
      <c r="AK1271" s="781"/>
      <c r="AL1271" s="781"/>
      <c r="AM1271" s="781"/>
      <c r="AN1271" s="781"/>
      <c r="AO1271" s="781"/>
      <c r="AP1271" s="781"/>
      <c r="AQ1271" s="781"/>
      <c r="AR1271" s="781"/>
      <c r="AS1271" s="781"/>
      <c r="AT1271" s="781"/>
      <c r="AU1271" s="781"/>
    </row>
    <row r="1272" ht="15.75" customHeight="1">
      <c r="A1272" s="809"/>
      <c r="B1272" s="792"/>
      <c r="C1272" s="801"/>
      <c r="D1272" s="801"/>
      <c r="E1272" s="791"/>
      <c r="F1272" s="809"/>
      <c r="G1272" s="809"/>
      <c r="H1272" s="809"/>
      <c r="I1272" s="809"/>
      <c r="J1272" s="809"/>
      <c r="K1272" s="809"/>
      <c r="L1272" s="781"/>
      <c r="M1272" s="781"/>
      <c r="N1272" s="781"/>
      <c r="O1272" s="781"/>
      <c r="P1272" s="781"/>
      <c r="Q1272" s="781"/>
      <c r="R1272" s="781"/>
      <c r="S1272" s="781"/>
      <c r="T1272" s="781"/>
      <c r="U1272" s="781"/>
      <c r="V1272" s="781"/>
      <c r="W1272" s="781"/>
      <c r="X1272" s="781"/>
      <c r="Y1272" s="781"/>
      <c r="Z1272" s="781"/>
      <c r="AA1272" s="781"/>
      <c r="AB1272" s="781"/>
      <c r="AC1272" s="781"/>
      <c r="AD1272" s="781"/>
      <c r="AE1272" s="781"/>
      <c r="AF1272" s="781"/>
      <c r="AG1272" s="781"/>
      <c r="AH1272" s="781"/>
      <c r="AI1272" s="781"/>
      <c r="AJ1272" s="781"/>
      <c r="AK1272" s="781"/>
      <c r="AL1272" s="781"/>
      <c r="AM1272" s="781"/>
      <c r="AN1272" s="781"/>
      <c r="AO1272" s="781"/>
      <c r="AP1272" s="781"/>
      <c r="AQ1272" s="781"/>
      <c r="AR1272" s="781"/>
      <c r="AS1272" s="781"/>
      <c r="AT1272" s="781"/>
      <c r="AU1272" s="781"/>
    </row>
    <row r="1273" ht="15.75" customHeight="1">
      <c r="A1273" s="809"/>
      <c r="B1273" s="792"/>
      <c r="C1273" s="801"/>
      <c r="D1273" s="801"/>
      <c r="E1273" s="791"/>
      <c r="F1273" s="809"/>
      <c r="G1273" s="809"/>
      <c r="H1273" s="809"/>
      <c r="I1273" s="809"/>
      <c r="J1273" s="809"/>
      <c r="K1273" s="809"/>
      <c r="L1273" s="781"/>
      <c r="M1273" s="781"/>
      <c r="N1273" s="781"/>
      <c r="O1273" s="781"/>
      <c r="P1273" s="781"/>
      <c r="Q1273" s="781"/>
      <c r="R1273" s="781"/>
      <c r="S1273" s="781"/>
      <c r="T1273" s="781"/>
      <c r="U1273" s="781"/>
      <c r="V1273" s="781"/>
      <c r="W1273" s="781"/>
      <c r="X1273" s="781"/>
      <c r="Y1273" s="781"/>
      <c r="Z1273" s="781"/>
      <c r="AA1273" s="781"/>
      <c r="AB1273" s="781"/>
      <c r="AC1273" s="781"/>
      <c r="AD1273" s="781"/>
      <c r="AE1273" s="781"/>
      <c r="AF1273" s="781"/>
      <c r="AG1273" s="781"/>
      <c r="AH1273" s="781"/>
      <c r="AI1273" s="781"/>
      <c r="AJ1273" s="781"/>
      <c r="AK1273" s="781"/>
      <c r="AL1273" s="781"/>
      <c r="AM1273" s="781"/>
      <c r="AN1273" s="781"/>
      <c r="AO1273" s="781"/>
      <c r="AP1273" s="781"/>
      <c r="AQ1273" s="781"/>
      <c r="AR1273" s="781"/>
      <c r="AS1273" s="781"/>
      <c r="AT1273" s="781"/>
      <c r="AU1273" s="781"/>
    </row>
    <row r="1274" ht="15.75" customHeight="1">
      <c r="A1274" s="809"/>
      <c r="B1274" s="792"/>
      <c r="C1274" s="801"/>
      <c r="D1274" s="801"/>
      <c r="E1274" s="791"/>
      <c r="F1274" s="809"/>
      <c r="G1274" s="809"/>
      <c r="H1274" s="809"/>
      <c r="I1274" s="809"/>
      <c r="J1274" s="809"/>
      <c r="K1274" s="809"/>
      <c r="L1274" s="781"/>
      <c r="M1274" s="781"/>
      <c r="N1274" s="781"/>
      <c r="O1274" s="781"/>
      <c r="P1274" s="781"/>
      <c r="Q1274" s="781"/>
      <c r="R1274" s="781"/>
      <c r="S1274" s="781"/>
      <c r="T1274" s="781"/>
      <c r="U1274" s="781"/>
      <c r="V1274" s="781"/>
      <c r="W1274" s="781"/>
      <c r="X1274" s="781"/>
      <c r="Y1274" s="781"/>
      <c r="Z1274" s="781"/>
      <c r="AA1274" s="781"/>
      <c r="AB1274" s="781"/>
      <c r="AC1274" s="781"/>
      <c r="AD1274" s="781"/>
      <c r="AE1274" s="781"/>
      <c r="AF1274" s="781"/>
      <c r="AG1274" s="781"/>
      <c r="AH1274" s="781"/>
      <c r="AI1274" s="781"/>
      <c r="AJ1274" s="781"/>
      <c r="AK1274" s="781"/>
      <c r="AL1274" s="781"/>
      <c r="AM1274" s="781"/>
      <c r="AN1274" s="781"/>
      <c r="AO1274" s="781"/>
      <c r="AP1274" s="781"/>
      <c r="AQ1274" s="781"/>
      <c r="AR1274" s="781"/>
      <c r="AS1274" s="781"/>
      <c r="AT1274" s="781"/>
      <c r="AU1274" s="781"/>
    </row>
    <row r="1275" ht="15.75" customHeight="1">
      <c r="A1275" s="809"/>
      <c r="B1275" s="792"/>
      <c r="C1275" s="801"/>
      <c r="D1275" s="801"/>
      <c r="E1275" s="791"/>
      <c r="F1275" s="809"/>
      <c r="G1275" s="809"/>
      <c r="H1275" s="809"/>
      <c r="I1275" s="809"/>
      <c r="J1275" s="809"/>
      <c r="K1275" s="809"/>
      <c r="L1275" s="781"/>
      <c r="M1275" s="781"/>
      <c r="N1275" s="781"/>
      <c r="O1275" s="781"/>
      <c r="P1275" s="781"/>
      <c r="Q1275" s="781"/>
      <c r="R1275" s="781"/>
      <c r="S1275" s="781"/>
      <c r="T1275" s="781"/>
      <c r="U1275" s="781"/>
      <c r="V1275" s="781"/>
      <c r="W1275" s="781"/>
      <c r="X1275" s="781"/>
      <c r="Y1275" s="781"/>
      <c r="Z1275" s="781"/>
      <c r="AA1275" s="781"/>
      <c r="AB1275" s="781"/>
      <c r="AC1275" s="781"/>
      <c r="AD1275" s="781"/>
      <c r="AE1275" s="781"/>
      <c r="AF1275" s="781"/>
      <c r="AG1275" s="781"/>
      <c r="AH1275" s="781"/>
      <c r="AI1275" s="781"/>
      <c r="AJ1275" s="781"/>
      <c r="AK1275" s="781"/>
      <c r="AL1275" s="781"/>
      <c r="AM1275" s="781"/>
      <c r="AN1275" s="781"/>
      <c r="AO1275" s="781"/>
      <c r="AP1275" s="781"/>
      <c r="AQ1275" s="781"/>
      <c r="AR1275" s="781"/>
      <c r="AS1275" s="781"/>
      <c r="AT1275" s="781"/>
      <c r="AU1275" s="781"/>
    </row>
    <row r="1276" ht="15.75" customHeight="1">
      <c r="A1276" s="809"/>
      <c r="B1276" s="792"/>
      <c r="C1276" s="801"/>
      <c r="D1276" s="801"/>
      <c r="E1276" s="791"/>
      <c r="F1276" s="809"/>
      <c r="G1276" s="809"/>
      <c r="H1276" s="809"/>
      <c r="I1276" s="809"/>
      <c r="J1276" s="809"/>
      <c r="K1276" s="809"/>
      <c r="L1276" s="781"/>
      <c r="M1276" s="781"/>
      <c r="N1276" s="781"/>
      <c r="O1276" s="781"/>
      <c r="P1276" s="781"/>
      <c r="Q1276" s="781"/>
      <c r="R1276" s="781"/>
      <c r="S1276" s="781"/>
      <c r="T1276" s="781"/>
      <c r="U1276" s="781"/>
      <c r="V1276" s="781"/>
      <c r="W1276" s="781"/>
      <c r="X1276" s="781"/>
      <c r="Y1276" s="781"/>
      <c r="Z1276" s="781"/>
      <c r="AA1276" s="781"/>
      <c r="AB1276" s="781"/>
      <c r="AC1276" s="781"/>
      <c r="AD1276" s="781"/>
      <c r="AE1276" s="781"/>
      <c r="AF1276" s="781"/>
      <c r="AG1276" s="781"/>
      <c r="AH1276" s="781"/>
      <c r="AI1276" s="781"/>
      <c r="AJ1276" s="781"/>
      <c r="AK1276" s="781"/>
      <c r="AL1276" s="781"/>
      <c r="AM1276" s="781"/>
      <c r="AN1276" s="781"/>
      <c r="AO1276" s="781"/>
      <c r="AP1276" s="781"/>
      <c r="AQ1276" s="781"/>
      <c r="AR1276" s="781"/>
      <c r="AS1276" s="781"/>
      <c r="AT1276" s="781"/>
      <c r="AU1276" s="781"/>
    </row>
    <row r="1277" ht="15.75" customHeight="1">
      <c r="A1277" s="809"/>
      <c r="B1277" s="792"/>
      <c r="C1277" s="801"/>
      <c r="D1277" s="801"/>
      <c r="E1277" s="791"/>
      <c r="F1277" s="809"/>
      <c r="G1277" s="809"/>
      <c r="H1277" s="809"/>
      <c r="I1277" s="809"/>
      <c r="J1277" s="809"/>
      <c r="K1277" s="809"/>
      <c r="L1277" s="781"/>
      <c r="M1277" s="781"/>
      <c r="N1277" s="781"/>
      <c r="O1277" s="781"/>
      <c r="P1277" s="781"/>
      <c r="Q1277" s="781"/>
      <c r="R1277" s="781"/>
      <c r="S1277" s="781"/>
      <c r="T1277" s="781"/>
      <c r="U1277" s="781"/>
      <c r="V1277" s="781"/>
      <c r="W1277" s="781"/>
      <c r="X1277" s="781"/>
      <c r="Y1277" s="781"/>
      <c r="Z1277" s="781"/>
      <c r="AA1277" s="781"/>
      <c r="AB1277" s="781"/>
      <c r="AC1277" s="781"/>
      <c r="AD1277" s="781"/>
      <c r="AE1277" s="781"/>
      <c r="AF1277" s="781"/>
      <c r="AG1277" s="781"/>
      <c r="AH1277" s="781"/>
      <c r="AI1277" s="781"/>
      <c r="AJ1277" s="781"/>
      <c r="AK1277" s="781"/>
      <c r="AL1277" s="781"/>
      <c r="AM1277" s="781"/>
      <c r="AN1277" s="781"/>
      <c r="AO1277" s="781"/>
      <c r="AP1277" s="781"/>
      <c r="AQ1277" s="781"/>
      <c r="AR1277" s="781"/>
      <c r="AS1277" s="781"/>
      <c r="AT1277" s="781"/>
      <c r="AU1277" s="781"/>
    </row>
    <row r="1278" ht="15.75" customHeight="1">
      <c r="A1278" s="809"/>
      <c r="B1278" s="792"/>
      <c r="C1278" s="801"/>
      <c r="D1278" s="801"/>
      <c r="E1278" s="791"/>
      <c r="F1278" s="809"/>
      <c r="G1278" s="809"/>
      <c r="H1278" s="809"/>
      <c r="I1278" s="809"/>
      <c r="J1278" s="809"/>
      <c r="K1278" s="809"/>
      <c r="L1278" s="781"/>
      <c r="M1278" s="781"/>
      <c r="N1278" s="781"/>
      <c r="O1278" s="781"/>
      <c r="P1278" s="781"/>
      <c r="Q1278" s="781"/>
      <c r="R1278" s="781"/>
      <c r="S1278" s="781"/>
      <c r="T1278" s="781"/>
      <c r="U1278" s="781"/>
      <c r="V1278" s="781"/>
      <c r="W1278" s="781"/>
      <c r="X1278" s="781"/>
      <c r="Y1278" s="781"/>
      <c r="Z1278" s="781"/>
      <c r="AA1278" s="781"/>
      <c r="AB1278" s="781"/>
      <c r="AC1278" s="781"/>
      <c r="AD1278" s="781"/>
      <c r="AE1278" s="781"/>
      <c r="AF1278" s="781"/>
      <c r="AG1278" s="781"/>
      <c r="AH1278" s="781"/>
      <c r="AI1278" s="781"/>
      <c r="AJ1278" s="781"/>
      <c r="AK1278" s="781"/>
      <c r="AL1278" s="781"/>
      <c r="AM1278" s="781"/>
      <c r="AN1278" s="781"/>
      <c r="AO1278" s="781"/>
      <c r="AP1278" s="781"/>
      <c r="AQ1278" s="781"/>
      <c r="AR1278" s="781"/>
      <c r="AS1278" s="781"/>
      <c r="AT1278" s="781"/>
      <c r="AU1278" s="781"/>
    </row>
    <row r="1279" ht="15.75" customHeight="1">
      <c r="A1279" s="809"/>
      <c r="B1279" s="792"/>
      <c r="C1279" s="801"/>
      <c r="D1279" s="801"/>
      <c r="E1279" s="791"/>
      <c r="F1279" s="809"/>
      <c r="G1279" s="809"/>
      <c r="H1279" s="809"/>
      <c r="I1279" s="809"/>
      <c r="J1279" s="809"/>
      <c r="K1279" s="809"/>
      <c r="L1279" s="781"/>
      <c r="M1279" s="781"/>
      <c r="N1279" s="781"/>
      <c r="O1279" s="781"/>
      <c r="P1279" s="781"/>
      <c r="Q1279" s="781"/>
      <c r="R1279" s="781"/>
      <c r="S1279" s="781"/>
      <c r="T1279" s="781"/>
      <c r="U1279" s="781"/>
      <c r="V1279" s="781"/>
      <c r="W1279" s="781"/>
      <c r="X1279" s="781"/>
      <c r="Y1279" s="781"/>
      <c r="Z1279" s="781"/>
      <c r="AA1279" s="781"/>
      <c r="AB1279" s="781"/>
      <c r="AC1279" s="781"/>
      <c r="AD1279" s="781"/>
      <c r="AE1279" s="781"/>
      <c r="AF1279" s="781"/>
      <c r="AG1279" s="781"/>
      <c r="AH1279" s="781"/>
      <c r="AI1279" s="781"/>
      <c r="AJ1279" s="781"/>
      <c r="AK1279" s="781"/>
      <c r="AL1279" s="781"/>
      <c r="AM1279" s="781"/>
      <c r="AN1279" s="781"/>
      <c r="AO1279" s="781"/>
      <c r="AP1279" s="781"/>
      <c r="AQ1279" s="781"/>
      <c r="AR1279" s="781"/>
      <c r="AS1279" s="781"/>
      <c r="AT1279" s="781"/>
      <c r="AU1279" s="781"/>
    </row>
    <row r="1280" ht="15.75" customHeight="1">
      <c r="A1280" s="809"/>
      <c r="B1280" s="792"/>
      <c r="C1280" s="801"/>
      <c r="D1280" s="801"/>
      <c r="E1280" s="791"/>
      <c r="F1280" s="809"/>
      <c r="G1280" s="809"/>
      <c r="H1280" s="809"/>
      <c r="I1280" s="809"/>
      <c r="J1280" s="809"/>
      <c r="K1280" s="809"/>
      <c r="L1280" s="781"/>
      <c r="M1280" s="781"/>
      <c r="N1280" s="781"/>
      <c r="O1280" s="781"/>
      <c r="P1280" s="781"/>
      <c r="Q1280" s="781"/>
      <c r="R1280" s="781"/>
      <c r="S1280" s="781"/>
      <c r="T1280" s="781"/>
      <c r="U1280" s="781"/>
      <c r="V1280" s="781"/>
      <c r="W1280" s="781"/>
      <c r="X1280" s="781"/>
      <c r="Y1280" s="781"/>
      <c r="Z1280" s="781"/>
      <c r="AA1280" s="781"/>
      <c r="AB1280" s="781"/>
      <c r="AC1280" s="781"/>
      <c r="AD1280" s="781"/>
      <c r="AE1280" s="781"/>
      <c r="AF1280" s="781"/>
      <c r="AG1280" s="781"/>
      <c r="AH1280" s="781"/>
      <c r="AI1280" s="781"/>
      <c r="AJ1280" s="781"/>
      <c r="AK1280" s="781"/>
      <c r="AL1280" s="781"/>
      <c r="AM1280" s="781"/>
      <c r="AN1280" s="781"/>
      <c r="AO1280" s="781"/>
      <c r="AP1280" s="781"/>
      <c r="AQ1280" s="781"/>
      <c r="AR1280" s="781"/>
      <c r="AS1280" s="781"/>
      <c r="AT1280" s="781"/>
      <c r="AU1280" s="781"/>
    </row>
    <row r="1281" ht="15.75" customHeight="1">
      <c r="A1281" s="809"/>
      <c r="B1281" s="792"/>
      <c r="C1281" s="801"/>
      <c r="D1281" s="801"/>
      <c r="E1281" s="791"/>
      <c r="F1281" s="809"/>
      <c r="G1281" s="809"/>
      <c r="H1281" s="809"/>
      <c r="I1281" s="809"/>
      <c r="J1281" s="809"/>
      <c r="K1281" s="809"/>
      <c r="L1281" s="781"/>
      <c r="M1281" s="781"/>
      <c r="N1281" s="781"/>
      <c r="O1281" s="781"/>
      <c r="P1281" s="781"/>
      <c r="Q1281" s="781"/>
      <c r="R1281" s="781"/>
      <c r="S1281" s="781"/>
      <c r="T1281" s="781"/>
      <c r="U1281" s="781"/>
      <c r="V1281" s="781"/>
      <c r="W1281" s="781"/>
      <c r="X1281" s="781"/>
      <c r="Y1281" s="781"/>
      <c r="Z1281" s="781"/>
      <c r="AA1281" s="781"/>
      <c r="AB1281" s="781"/>
      <c r="AC1281" s="781"/>
      <c r="AD1281" s="781"/>
      <c r="AE1281" s="781"/>
      <c r="AF1281" s="781"/>
      <c r="AG1281" s="781"/>
      <c r="AH1281" s="781"/>
      <c r="AI1281" s="781"/>
      <c r="AJ1281" s="781"/>
      <c r="AK1281" s="781"/>
      <c r="AL1281" s="781"/>
      <c r="AM1281" s="781"/>
      <c r="AN1281" s="781"/>
      <c r="AO1281" s="781"/>
      <c r="AP1281" s="781"/>
      <c r="AQ1281" s="781"/>
      <c r="AR1281" s="781"/>
      <c r="AS1281" s="781"/>
      <c r="AT1281" s="781"/>
      <c r="AU1281" s="781"/>
    </row>
    <row r="1282" ht="15.75" customHeight="1">
      <c r="A1282" s="809"/>
      <c r="B1282" s="792"/>
      <c r="C1282" s="801"/>
      <c r="D1282" s="801"/>
      <c r="E1282" s="791"/>
      <c r="F1282" s="809"/>
      <c r="G1282" s="809"/>
      <c r="H1282" s="809"/>
      <c r="I1282" s="809"/>
      <c r="J1282" s="809"/>
      <c r="K1282" s="809"/>
      <c r="L1282" s="781"/>
      <c r="M1282" s="781"/>
      <c r="N1282" s="781"/>
      <c r="O1282" s="781"/>
      <c r="P1282" s="781"/>
      <c r="Q1282" s="781"/>
      <c r="R1282" s="781"/>
      <c r="S1282" s="781"/>
      <c r="T1282" s="781"/>
      <c r="U1282" s="781"/>
      <c r="V1282" s="781"/>
      <c r="W1282" s="781"/>
      <c r="X1282" s="781"/>
      <c r="Y1282" s="781"/>
      <c r="Z1282" s="781"/>
      <c r="AA1282" s="781"/>
      <c r="AB1282" s="781"/>
      <c r="AC1282" s="781"/>
      <c r="AD1282" s="781"/>
      <c r="AE1282" s="781"/>
      <c r="AF1282" s="781"/>
      <c r="AG1282" s="781"/>
      <c r="AH1282" s="781"/>
      <c r="AI1282" s="781"/>
      <c r="AJ1282" s="781"/>
      <c r="AK1282" s="781"/>
      <c r="AL1282" s="781"/>
      <c r="AM1282" s="781"/>
      <c r="AN1282" s="781"/>
      <c r="AO1282" s="781"/>
      <c r="AP1282" s="781"/>
      <c r="AQ1282" s="781"/>
      <c r="AR1282" s="781"/>
      <c r="AS1282" s="781"/>
      <c r="AT1282" s="781"/>
      <c r="AU1282" s="781"/>
    </row>
    <row r="1283" ht="15.75" customHeight="1">
      <c r="A1283" s="809"/>
      <c r="B1283" s="792"/>
      <c r="C1283" s="801"/>
      <c r="D1283" s="801"/>
      <c r="E1283" s="791"/>
      <c r="F1283" s="809"/>
      <c r="G1283" s="809"/>
      <c r="H1283" s="809"/>
      <c r="I1283" s="809"/>
      <c r="J1283" s="809"/>
      <c r="K1283" s="809"/>
      <c r="L1283" s="781"/>
      <c r="M1283" s="781"/>
      <c r="N1283" s="781"/>
      <c r="O1283" s="781"/>
      <c r="P1283" s="781"/>
      <c r="Q1283" s="781"/>
      <c r="R1283" s="781"/>
      <c r="S1283" s="781"/>
      <c r="T1283" s="781"/>
      <c r="U1283" s="781"/>
      <c r="V1283" s="781"/>
      <c r="W1283" s="781"/>
      <c r="X1283" s="781"/>
      <c r="Y1283" s="781"/>
      <c r="Z1283" s="781"/>
      <c r="AA1283" s="781"/>
      <c r="AB1283" s="781"/>
      <c r="AC1283" s="781"/>
      <c r="AD1283" s="781"/>
      <c r="AE1283" s="781"/>
      <c r="AF1283" s="781"/>
      <c r="AG1283" s="781"/>
      <c r="AH1283" s="781"/>
      <c r="AI1283" s="781"/>
      <c r="AJ1283" s="781"/>
      <c r="AK1283" s="781"/>
      <c r="AL1283" s="781"/>
      <c r="AM1283" s="781"/>
      <c r="AN1283" s="781"/>
      <c r="AO1283" s="781"/>
      <c r="AP1283" s="781"/>
      <c r="AQ1283" s="781"/>
      <c r="AR1283" s="781"/>
      <c r="AS1283" s="781"/>
      <c r="AT1283" s="781"/>
      <c r="AU1283" s="781"/>
    </row>
    <row r="1284" ht="15.75" customHeight="1">
      <c r="A1284" s="809"/>
      <c r="B1284" s="792"/>
      <c r="C1284" s="801"/>
      <c r="D1284" s="801"/>
      <c r="E1284" s="791"/>
      <c r="F1284" s="809"/>
      <c r="G1284" s="809"/>
      <c r="H1284" s="809"/>
      <c r="I1284" s="809"/>
      <c r="J1284" s="809"/>
      <c r="K1284" s="809"/>
      <c r="L1284" s="781"/>
      <c r="M1284" s="781"/>
      <c r="N1284" s="781"/>
      <c r="O1284" s="781"/>
      <c r="P1284" s="781"/>
      <c r="Q1284" s="781"/>
      <c r="R1284" s="781"/>
      <c r="S1284" s="781"/>
      <c r="T1284" s="781"/>
      <c r="U1284" s="781"/>
      <c r="V1284" s="781"/>
      <c r="W1284" s="781"/>
      <c r="X1284" s="781"/>
      <c r="Y1284" s="781"/>
      <c r="Z1284" s="781"/>
      <c r="AA1284" s="781"/>
      <c r="AB1284" s="781"/>
      <c r="AC1284" s="781"/>
      <c r="AD1284" s="781"/>
      <c r="AE1284" s="781"/>
      <c r="AF1284" s="781"/>
      <c r="AG1284" s="781"/>
      <c r="AH1284" s="781"/>
      <c r="AI1284" s="781"/>
      <c r="AJ1284" s="781"/>
      <c r="AK1284" s="781"/>
      <c r="AL1284" s="781"/>
      <c r="AM1284" s="781"/>
      <c r="AN1284" s="781"/>
      <c r="AO1284" s="781"/>
      <c r="AP1284" s="781"/>
      <c r="AQ1284" s="781"/>
      <c r="AR1284" s="781"/>
      <c r="AS1284" s="781"/>
      <c r="AT1284" s="781"/>
      <c r="AU1284" s="781"/>
    </row>
    <row r="1285" ht="15.75" customHeight="1">
      <c r="A1285" s="809"/>
      <c r="B1285" s="792"/>
      <c r="C1285" s="801"/>
      <c r="D1285" s="801"/>
      <c r="E1285" s="791"/>
      <c r="F1285" s="809"/>
      <c r="G1285" s="809"/>
      <c r="H1285" s="809"/>
      <c r="I1285" s="809"/>
      <c r="J1285" s="809"/>
      <c r="K1285" s="809"/>
      <c r="L1285" s="781"/>
      <c r="M1285" s="781"/>
      <c r="N1285" s="781"/>
      <c r="O1285" s="781"/>
      <c r="P1285" s="781"/>
      <c r="Q1285" s="781"/>
      <c r="R1285" s="781"/>
      <c r="S1285" s="781"/>
      <c r="T1285" s="781"/>
      <c r="U1285" s="781"/>
      <c r="V1285" s="781"/>
      <c r="W1285" s="781"/>
      <c r="X1285" s="781"/>
      <c r="Y1285" s="781"/>
      <c r="Z1285" s="781"/>
      <c r="AA1285" s="781"/>
      <c r="AB1285" s="781"/>
      <c r="AC1285" s="781"/>
      <c r="AD1285" s="781"/>
      <c r="AE1285" s="781"/>
      <c r="AF1285" s="781"/>
      <c r="AG1285" s="781"/>
      <c r="AH1285" s="781"/>
      <c r="AI1285" s="781"/>
      <c r="AJ1285" s="781"/>
      <c r="AK1285" s="781"/>
      <c r="AL1285" s="781"/>
      <c r="AM1285" s="781"/>
      <c r="AN1285" s="781"/>
      <c r="AO1285" s="781"/>
      <c r="AP1285" s="781"/>
      <c r="AQ1285" s="781"/>
      <c r="AR1285" s="781"/>
      <c r="AS1285" s="781"/>
      <c r="AT1285" s="781"/>
      <c r="AU1285" s="781"/>
    </row>
    <row r="1286" ht="15.75" customHeight="1">
      <c r="A1286" s="809"/>
      <c r="B1286" s="792"/>
      <c r="C1286" s="801"/>
      <c r="D1286" s="801"/>
      <c r="E1286" s="791"/>
      <c r="F1286" s="809"/>
      <c r="G1286" s="809"/>
      <c r="H1286" s="809"/>
      <c r="I1286" s="809"/>
      <c r="J1286" s="809"/>
      <c r="K1286" s="809"/>
      <c r="L1286" s="781"/>
      <c r="M1286" s="781"/>
      <c r="N1286" s="781"/>
      <c r="O1286" s="781"/>
      <c r="P1286" s="781"/>
      <c r="Q1286" s="781"/>
      <c r="R1286" s="781"/>
      <c r="S1286" s="781"/>
      <c r="T1286" s="781"/>
      <c r="U1286" s="781"/>
      <c r="V1286" s="781"/>
      <c r="W1286" s="781"/>
      <c r="X1286" s="781"/>
      <c r="Y1286" s="781"/>
      <c r="Z1286" s="781"/>
      <c r="AA1286" s="781"/>
      <c r="AB1286" s="781"/>
      <c r="AC1286" s="781"/>
      <c r="AD1286" s="781"/>
      <c r="AE1286" s="781"/>
      <c r="AF1286" s="781"/>
      <c r="AG1286" s="781"/>
      <c r="AH1286" s="781"/>
      <c r="AI1286" s="781"/>
      <c r="AJ1286" s="781"/>
      <c r="AK1286" s="781"/>
      <c r="AL1286" s="781"/>
      <c r="AM1286" s="781"/>
      <c r="AN1286" s="781"/>
      <c r="AO1286" s="781"/>
      <c r="AP1286" s="781"/>
      <c r="AQ1286" s="781"/>
      <c r="AR1286" s="781"/>
      <c r="AS1286" s="781"/>
      <c r="AT1286" s="781"/>
      <c r="AU1286" s="781"/>
    </row>
    <row r="1287" ht="15.75" customHeight="1">
      <c r="A1287" s="809"/>
      <c r="B1287" s="792"/>
      <c r="C1287" s="801"/>
      <c r="D1287" s="801"/>
      <c r="E1287" s="791"/>
      <c r="F1287" s="809"/>
      <c r="G1287" s="809"/>
      <c r="H1287" s="809"/>
      <c r="I1287" s="809"/>
      <c r="J1287" s="809"/>
      <c r="K1287" s="809"/>
      <c r="L1287" s="781"/>
      <c r="M1287" s="781"/>
      <c r="N1287" s="781"/>
      <c r="O1287" s="781"/>
      <c r="P1287" s="781"/>
      <c r="Q1287" s="781"/>
      <c r="R1287" s="781"/>
      <c r="S1287" s="781"/>
      <c r="T1287" s="781"/>
      <c r="U1287" s="781"/>
      <c r="V1287" s="781"/>
      <c r="W1287" s="781"/>
      <c r="X1287" s="781"/>
      <c r="Y1287" s="781"/>
      <c r="Z1287" s="781"/>
      <c r="AA1287" s="781"/>
      <c r="AB1287" s="781"/>
      <c r="AC1287" s="781"/>
      <c r="AD1287" s="781"/>
      <c r="AE1287" s="781"/>
      <c r="AF1287" s="781"/>
      <c r="AG1287" s="781"/>
      <c r="AH1287" s="781"/>
      <c r="AI1287" s="781"/>
      <c r="AJ1287" s="781"/>
      <c r="AK1287" s="781"/>
      <c r="AL1287" s="781"/>
      <c r="AM1287" s="781"/>
      <c r="AN1287" s="781"/>
      <c r="AO1287" s="781"/>
      <c r="AP1287" s="781"/>
      <c r="AQ1287" s="781"/>
      <c r="AR1287" s="781"/>
      <c r="AS1287" s="781"/>
      <c r="AT1287" s="781"/>
      <c r="AU1287" s="781"/>
    </row>
    <row r="1288" ht="15.75" customHeight="1">
      <c r="A1288" s="809"/>
      <c r="B1288" s="792"/>
      <c r="C1288" s="801"/>
      <c r="D1288" s="801"/>
      <c r="E1288" s="791"/>
      <c r="F1288" s="809"/>
      <c r="G1288" s="809"/>
      <c r="H1288" s="809"/>
      <c r="I1288" s="809"/>
      <c r="J1288" s="809"/>
      <c r="K1288" s="809"/>
      <c r="L1288" s="781"/>
      <c r="M1288" s="781"/>
      <c r="N1288" s="781"/>
      <c r="O1288" s="781"/>
      <c r="P1288" s="781"/>
      <c r="Q1288" s="781"/>
      <c r="R1288" s="781"/>
      <c r="S1288" s="781"/>
      <c r="T1288" s="781"/>
      <c r="U1288" s="781"/>
      <c r="V1288" s="781"/>
      <c r="W1288" s="781"/>
      <c r="X1288" s="781"/>
      <c r="Y1288" s="781"/>
      <c r="Z1288" s="781"/>
      <c r="AA1288" s="781"/>
      <c r="AB1288" s="781"/>
      <c r="AC1288" s="781"/>
      <c r="AD1288" s="781"/>
      <c r="AE1288" s="781"/>
      <c r="AF1288" s="781"/>
      <c r="AG1288" s="781"/>
      <c r="AH1288" s="781"/>
      <c r="AI1288" s="781"/>
      <c r="AJ1288" s="781"/>
      <c r="AK1288" s="781"/>
      <c r="AL1288" s="781"/>
      <c r="AM1288" s="781"/>
      <c r="AN1288" s="781"/>
      <c r="AO1288" s="781"/>
      <c r="AP1288" s="781"/>
      <c r="AQ1288" s="781"/>
      <c r="AR1288" s="781"/>
      <c r="AS1288" s="781"/>
      <c r="AT1288" s="781"/>
      <c r="AU1288" s="781"/>
    </row>
    <row r="1289" ht="15.75" customHeight="1">
      <c r="A1289" s="809"/>
      <c r="B1289" s="792"/>
      <c r="C1289" s="801"/>
      <c r="D1289" s="801"/>
      <c r="E1289" s="791"/>
      <c r="F1289" s="809"/>
      <c r="G1289" s="809"/>
      <c r="H1289" s="809"/>
      <c r="I1289" s="809"/>
      <c r="J1289" s="809"/>
      <c r="K1289" s="809"/>
      <c r="L1289" s="781"/>
      <c r="M1289" s="781"/>
      <c r="N1289" s="781"/>
      <c r="O1289" s="781"/>
      <c r="P1289" s="781"/>
      <c r="Q1289" s="781"/>
      <c r="R1289" s="781"/>
      <c r="S1289" s="781"/>
      <c r="T1289" s="781"/>
      <c r="U1289" s="781"/>
      <c r="V1289" s="781"/>
      <c r="W1289" s="781"/>
      <c r="X1289" s="781"/>
      <c r="Y1289" s="781"/>
      <c r="Z1289" s="781"/>
      <c r="AA1289" s="781"/>
      <c r="AB1289" s="781"/>
      <c r="AC1289" s="781"/>
      <c r="AD1289" s="781"/>
      <c r="AE1289" s="781"/>
      <c r="AF1289" s="781"/>
      <c r="AG1289" s="781"/>
      <c r="AH1289" s="781"/>
      <c r="AI1289" s="781"/>
      <c r="AJ1289" s="781"/>
      <c r="AK1289" s="781"/>
      <c r="AL1289" s="781"/>
      <c r="AM1289" s="781"/>
      <c r="AN1289" s="781"/>
      <c r="AO1289" s="781"/>
      <c r="AP1289" s="781"/>
      <c r="AQ1289" s="781"/>
      <c r="AR1289" s="781"/>
      <c r="AS1289" s="781"/>
      <c r="AT1289" s="781"/>
      <c r="AU1289" s="781"/>
    </row>
    <row r="1290" ht="15.75" customHeight="1">
      <c r="A1290" s="809"/>
      <c r="B1290" s="792"/>
      <c r="C1290" s="801"/>
      <c r="D1290" s="801"/>
      <c r="E1290" s="791"/>
      <c r="F1290" s="809"/>
      <c r="G1290" s="809"/>
      <c r="H1290" s="809"/>
      <c r="I1290" s="809"/>
      <c r="J1290" s="809"/>
      <c r="K1290" s="809"/>
      <c r="L1290" s="781"/>
      <c r="M1290" s="781"/>
      <c r="N1290" s="781"/>
      <c r="O1290" s="781"/>
      <c r="P1290" s="781"/>
      <c r="Q1290" s="781"/>
      <c r="R1290" s="781"/>
      <c r="S1290" s="781"/>
      <c r="T1290" s="781"/>
      <c r="U1290" s="781"/>
      <c r="V1290" s="781"/>
      <c r="W1290" s="781"/>
      <c r="X1290" s="781"/>
      <c r="Y1290" s="781"/>
      <c r="Z1290" s="781"/>
      <c r="AA1290" s="781"/>
      <c r="AB1290" s="781"/>
      <c r="AC1290" s="781"/>
      <c r="AD1290" s="781"/>
      <c r="AE1290" s="781"/>
      <c r="AF1290" s="781"/>
      <c r="AG1290" s="781"/>
      <c r="AH1290" s="781"/>
      <c r="AI1290" s="781"/>
      <c r="AJ1290" s="781"/>
      <c r="AK1290" s="781"/>
      <c r="AL1290" s="781"/>
      <c r="AM1290" s="781"/>
      <c r="AN1290" s="781"/>
      <c r="AO1290" s="781"/>
      <c r="AP1290" s="781"/>
      <c r="AQ1290" s="781"/>
      <c r="AR1290" s="781"/>
      <c r="AS1290" s="781"/>
      <c r="AT1290" s="781"/>
      <c r="AU1290" s="781"/>
    </row>
    <row r="1291" ht="15.75" customHeight="1">
      <c r="A1291" s="809"/>
      <c r="B1291" s="792"/>
      <c r="C1291" s="801"/>
      <c r="D1291" s="801"/>
      <c r="E1291" s="791"/>
      <c r="F1291" s="809"/>
      <c r="G1291" s="809"/>
      <c r="H1291" s="809"/>
      <c r="I1291" s="809"/>
      <c r="J1291" s="809"/>
      <c r="K1291" s="809"/>
      <c r="L1291" s="781"/>
      <c r="M1291" s="781"/>
      <c r="N1291" s="781"/>
      <c r="O1291" s="781"/>
      <c r="P1291" s="781"/>
      <c r="Q1291" s="781"/>
      <c r="R1291" s="781"/>
      <c r="S1291" s="781"/>
      <c r="T1291" s="781"/>
      <c r="U1291" s="781"/>
      <c r="V1291" s="781"/>
      <c r="W1291" s="781"/>
      <c r="X1291" s="781"/>
      <c r="Y1291" s="781"/>
      <c r="Z1291" s="781"/>
      <c r="AA1291" s="781"/>
      <c r="AB1291" s="781"/>
      <c r="AC1291" s="781"/>
      <c r="AD1291" s="781"/>
      <c r="AE1291" s="781"/>
      <c r="AF1291" s="781"/>
      <c r="AG1291" s="781"/>
      <c r="AH1291" s="781"/>
      <c r="AI1291" s="781"/>
      <c r="AJ1291" s="781"/>
      <c r="AK1291" s="781"/>
      <c r="AL1291" s="781"/>
      <c r="AM1291" s="781"/>
      <c r="AN1291" s="781"/>
      <c r="AO1291" s="781"/>
      <c r="AP1291" s="781"/>
      <c r="AQ1291" s="781"/>
      <c r="AR1291" s="781"/>
      <c r="AS1291" s="781"/>
      <c r="AT1291" s="781"/>
      <c r="AU1291" s="781"/>
    </row>
    <row r="1292" ht="15.75" customHeight="1">
      <c r="A1292" s="809"/>
      <c r="B1292" s="792"/>
      <c r="C1292" s="801"/>
      <c r="D1292" s="801"/>
      <c r="E1292" s="791"/>
      <c r="F1292" s="809"/>
      <c r="G1292" s="809"/>
      <c r="H1292" s="809"/>
      <c r="I1292" s="809"/>
      <c r="J1292" s="809"/>
      <c r="K1292" s="809"/>
      <c r="L1292" s="781"/>
      <c r="M1292" s="781"/>
      <c r="N1292" s="781"/>
      <c r="O1292" s="781"/>
      <c r="P1292" s="781"/>
      <c r="Q1292" s="781"/>
      <c r="R1292" s="781"/>
      <c r="S1292" s="781"/>
      <c r="T1292" s="781"/>
      <c r="U1292" s="781"/>
      <c r="V1292" s="781"/>
      <c r="W1292" s="781"/>
      <c r="X1292" s="781"/>
      <c r="Y1292" s="781"/>
      <c r="Z1292" s="781"/>
      <c r="AA1292" s="781"/>
      <c r="AB1292" s="781"/>
      <c r="AC1292" s="781"/>
      <c r="AD1292" s="781"/>
      <c r="AE1292" s="781"/>
      <c r="AF1292" s="781"/>
      <c r="AG1292" s="781"/>
      <c r="AH1292" s="781"/>
      <c r="AI1292" s="781"/>
      <c r="AJ1292" s="781"/>
      <c r="AK1292" s="781"/>
      <c r="AL1292" s="781"/>
      <c r="AM1292" s="781"/>
      <c r="AN1292" s="781"/>
      <c r="AO1292" s="781"/>
      <c r="AP1292" s="781"/>
      <c r="AQ1292" s="781"/>
      <c r="AR1292" s="781"/>
      <c r="AS1292" s="781"/>
      <c r="AT1292" s="781"/>
      <c r="AU1292" s="781"/>
    </row>
    <row r="1293" ht="15.75" customHeight="1">
      <c r="A1293" s="809"/>
      <c r="B1293" s="792"/>
      <c r="C1293" s="801"/>
      <c r="D1293" s="801"/>
      <c r="E1293" s="791"/>
      <c r="F1293" s="809"/>
      <c r="G1293" s="809"/>
      <c r="H1293" s="809"/>
      <c r="I1293" s="809"/>
      <c r="J1293" s="809"/>
      <c r="K1293" s="809"/>
      <c r="L1293" s="781"/>
      <c r="M1293" s="781"/>
      <c r="N1293" s="781"/>
      <c r="O1293" s="781"/>
      <c r="P1293" s="781"/>
      <c r="Q1293" s="781"/>
      <c r="R1293" s="781"/>
      <c r="S1293" s="781"/>
      <c r="T1293" s="781"/>
      <c r="U1293" s="781"/>
      <c r="V1293" s="781"/>
      <c r="W1293" s="781"/>
      <c r="X1293" s="781"/>
      <c r="Y1293" s="781"/>
      <c r="Z1293" s="781"/>
      <c r="AA1293" s="781"/>
      <c r="AB1293" s="781"/>
      <c r="AC1293" s="781"/>
      <c r="AD1293" s="781"/>
      <c r="AE1293" s="781"/>
      <c r="AF1293" s="781"/>
      <c r="AG1293" s="781"/>
      <c r="AH1293" s="781"/>
      <c r="AI1293" s="781"/>
      <c r="AJ1293" s="781"/>
      <c r="AK1293" s="781"/>
      <c r="AL1293" s="781"/>
      <c r="AM1293" s="781"/>
      <c r="AN1293" s="781"/>
      <c r="AO1293" s="781"/>
      <c r="AP1293" s="781"/>
      <c r="AQ1293" s="781"/>
      <c r="AR1293" s="781"/>
      <c r="AS1293" s="781"/>
      <c r="AT1293" s="781"/>
      <c r="AU1293" s="781"/>
    </row>
    <row r="1294" ht="15.75" customHeight="1">
      <c r="A1294" s="809"/>
      <c r="B1294" s="792"/>
      <c r="C1294" s="801"/>
      <c r="D1294" s="801"/>
      <c r="E1294" s="791"/>
      <c r="F1294" s="809"/>
      <c r="G1294" s="809"/>
      <c r="H1294" s="809"/>
      <c r="I1294" s="809"/>
      <c r="J1294" s="809"/>
      <c r="K1294" s="809"/>
      <c r="L1294" s="781"/>
      <c r="M1294" s="781"/>
      <c r="N1294" s="781"/>
      <c r="O1294" s="781"/>
      <c r="P1294" s="781"/>
      <c r="Q1294" s="781"/>
      <c r="R1294" s="781"/>
      <c r="S1294" s="781"/>
      <c r="T1294" s="781"/>
      <c r="U1294" s="781"/>
      <c r="V1294" s="781"/>
      <c r="W1294" s="781"/>
      <c r="X1294" s="781"/>
      <c r="Y1294" s="781"/>
      <c r="Z1294" s="781"/>
      <c r="AA1294" s="781"/>
      <c r="AB1294" s="781"/>
      <c r="AC1294" s="781"/>
      <c r="AD1294" s="781"/>
      <c r="AE1294" s="781"/>
      <c r="AF1294" s="781"/>
      <c r="AG1294" s="781"/>
      <c r="AH1294" s="781"/>
      <c r="AI1294" s="781"/>
      <c r="AJ1294" s="781"/>
      <c r="AK1294" s="781"/>
      <c r="AL1294" s="781"/>
      <c r="AM1294" s="781"/>
      <c r="AN1294" s="781"/>
      <c r="AO1294" s="781"/>
      <c r="AP1294" s="781"/>
      <c r="AQ1294" s="781"/>
      <c r="AR1294" s="781"/>
      <c r="AS1294" s="781"/>
      <c r="AT1294" s="781"/>
      <c r="AU1294" s="781"/>
    </row>
    <row r="1295" ht="15.75" customHeight="1">
      <c r="A1295" s="809"/>
      <c r="B1295" s="792"/>
      <c r="C1295" s="801"/>
      <c r="D1295" s="801"/>
      <c r="E1295" s="791"/>
      <c r="F1295" s="809"/>
      <c r="G1295" s="809"/>
      <c r="H1295" s="809"/>
      <c r="I1295" s="809"/>
      <c r="J1295" s="809"/>
      <c r="K1295" s="809"/>
      <c r="L1295" s="781"/>
      <c r="M1295" s="781"/>
      <c r="N1295" s="781"/>
      <c r="O1295" s="781"/>
      <c r="P1295" s="781"/>
      <c r="Q1295" s="781"/>
      <c r="R1295" s="781"/>
      <c r="S1295" s="781"/>
      <c r="T1295" s="781"/>
      <c r="U1295" s="781"/>
      <c r="V1295" s="781"/>
      <c r="W1295" s="781"/>
      <c r="X1295" s="781"/>
      <c r="Y1295" s="781"/>
      <c r="Z1295" s="781"/>
      <c r="AA1295" s="781"/>
      <c r="AB1295" s="781"/>
      <c r="AC1295" s="781"/>
      <c r="AD1295" s="781"/>
      <c r="AE1295" s="781"/>
      <c r="AF1295" s="781"/>
      <c r="AG1295" s="781"/>
      <c r="AH1295" s="781"/>
      <c r="AI1295" s="781"/>
      <c r="AJ1295" s="781"/>
      <c r="AK1295" s="781"/>
      <c r="AL1295" s="781"/>
      <c r="AM1295" s="781"/>
      <c r="AN1295" s="781"/>
      <c r="AO1295" s="781"/>
      <c r="AP1295" s="781"/>
      <c r="AQ1295" s="781"/>
      <c r="AR1295" s="781"/>
      <c r="AS1295" s="781"/>
      <c r="AT1295" s="781"/>
      <c r="AU1295" s="781"/>
    </row>
    <row r="1296" ht="15.75" customHeight="1">
      <c r="A1296" s="809"/>
      <c r="B1296" s="792"/>
      <c r="C1296" s="801"/>
      <c r="D1296" s="801"/>
      <c r="E1296" s="791"/>
      <c r="F1296" s="809"/>
      <c r="G1296" s="809"/>
      <c r="H1296" s="809"/>
      <c r="I1296" s="809"/>
      <c r="J1296" s="809"/>
      <c r="K1296" s="809"/>
      <c r="L1296" s="781"/>
      <c r="M1296" s="781"/>
      <c r="N1296" s="781"/>
      <c r="O1296" s="781"/>
      <c r="P1296" s="781"/>
      <c r="Q1296" s="781"/>
      <c r="R1296" s="781"/>
      <c r="S1296" s="781"/>
      <c r="T1296" s="781"/>
      <c r="U1296" s="781"/>
      <c r="V1296" s="781"/>
      <c r="W1296" s="781"/>
      <c r="X1296" s="781"/>
      <c r="Y1296" s="781"/>
      <c r="Z1296" s="781"/>
      <c r="AA1296" s="781"/>
      <c r="AB1296" s="781"/>
      <c r="AC1296" s="781"/>
      <c r="AD1296" s="781"/>
      <c r="AE1296" s="781"/>
      <c r="AF1296" s="781"/>
      <c r="AG1296" s="781"/>
      <c r="AH1296" s="781"/>
      <c r="AI1296" s="781"/>
      <c r="AJ1296" s="781"/>
      <c r="AK1296" s="781"/>
      <c r="AL1296" s="781"/>
      <c r="AM1296" s="781"/>
      <c r="AN1296" s="781"/>
      <c r="AO1296" s="781"/>
      <c r="AP1296" s="781"/>
      <c r="AQ1296" s="781"/>
      <c r="AR1296" s="781"/>
      <c r="AS1296" s="781"/>
      <c r="AT1296" s="781"/>
      <c r="AU1296" s="781"/>
    </row>
    <row r="1297" ht="15.75" customHeight="1">
      <c r="A1297" s="809"/>
      <c r="B1297" s="792"/>
      <c r="C1297" s="801"/>
      <c r="D1297" s="801"/>
      <c r="E1297" s="791"/>
      <c r="F1297" s="809"/>
      <c r="G1297" s="809"/>
      <c r="H1297" s="809"/>
      <c r="I1297" s="809"/>
      <c r="J1297" s="809"/>
      <c r="K1297" s="809"/>
      <c r="L1297" s="781"/>
      <c r="M1297" s="781"/>
      <c r="N1297" s="781"/>
      <c r="O1297" s="781"/>
      <c r="P1297" s="781"/>
      <c r="Q1297" s="781"/>
      <c r="R1297" s="781"/>
      <c r="S1297" s="781"/>
      <c r="T1297" s="781"/>
      <c r="U1297" s="781"/>
      <c r="V1297" s="781"/>
      <c r="W1297" s="781"/>
      <c r="X1297" s="781"/>
      <c r="Y1297" s="781"/>
      <c r="Z1297" s="781"/>
      <c r="AA1297" s="781"/>
      <c r="AB1297" s="781"/>
      <c r="AC1297" s="781"/>
      <c r="AD1297" s="781"/>
      <c r="AE1297" s="781"/>
      <c r="AF1297" s="781"/>
      <c r="AG1297" s="781"/>
      <c r="AH1297" s="781"/>
      <c r="AI1297" s="781"/>
      <c r="AJ1297" s="781"/>
      <c r="AK1297" s="781"/>
      <c r="AL1297" s="781"/>
      <c r="AM1297" s="781"/>
      <c r="AN1297" s="781"/>
      <c r="AO1297" s="781"/>
      <c r="AP1297" s="781"/>
      <c r="AQ1297" s="781"/>
      <c r="AR1297" s="781"/>
      <c r="AS1297" s="781"/>
      <c r="AT1297" s="781"/>
      <c r="AU1297" s="781"/>
    </row>
    <row r="1298" ht="15.75" customHeight="1">
      <c r="A1298" s="809"/>
      <c r="B1298" s="792"/>
      <c r="C1298" s="801"/>
      <c r="D1298" s="801"/>
      <c r="E1298" s="791"/>
      <c r="F1298" s="809"/>
      <c r="G1298" s="809"/>
      <c r="H1298" s="809"/>
      <c r="I1298" s="809"/>
      <c r="J1298" s="809"/>
      <c r="K1298" s="809"/>
      <c r="L1298" s="781"/>
      <c r="M1298" s="781"/>
      <c r="N1298" s="781"/>
      <c r="O1298" s="781"/>
      <c r="P1298" s="781"/>
      <c r="Q1298" s="781"/>
      <c r="R1298" s="781"/>
      <c r="S1298" s="781"/>
      <c r="T1298" s="781"/>
      <c r="U1298" s="781"/>
      <c r="V1298" s="781"/>
      <c r="W1298" s="781"/>
      <c r="X1298" s="781"/>
      <c r="Y1298" s="781"/>
      <c r="Z1298" s="781"/>
      <c r="AA1298" s="781"/>
      <c r="AB1298" s="781"/>
      <c r="AC1298" s="781"/>
      <c r="AD1298" s="781"/>
      <c r="AE1298" s="781"/>
      <c r="AF1298" s="781"/>
      <c r="AG1298" s="781"/>
      <c r="AH1298" s="781"/>
      <c r="AI1298" s="781"/>
      <c r="AJ1298" s="781"/>
      <c r="AK1298" s="781"/>
      <c r="AL1298" s="781"/>
      <c r="AM1298" s="781"/>
      <c r="AN1298" s="781"/>
      <c r="AO1298" s="781"/>
      <c r="AP1298" s="781"/>
      <c r="AQ1298" s="781"/>
      <c r="AR1298" s="781"/>
      <c r="AS1298" s="781"/>
      <c r="AT1298" s="781"/>
      <c r="AU1298" s="781"/>
    </row>
    <row r="1299" ht="15.75" customHeight="1">
      <c r="A1299" s="809"/>
      <c r="B1299" s="792"/>
      <c r="C1299" s="801"/>
      <c r="D1299" s="801"/>
      <c r="E1299" s="791"/>
      <c r="F1299" s="809"/>
      <c r="G1299" s="809"/>
      <c r="H1299" s="809"/>
      <c r="I1299" s="809"/>
      <c r="J1299" s="809"/>
      <c r="K1299" s="809"/>
      <c r="L1299" s="781"/>
      <c r="M1299" s="781"/>
      <c r="N1299" s="781"/>
      <c r="O1299" s="781"/>
      <c r="P1299" s="781"/>
      <c r="Q1299" s="781"/>
      <c r="R1299" s="781"/>
      <c r="S1299" s="781"/>
      <c r="T1299" s="781"/>
      <c r="U1299" s="781"/>
      <c r="V1299" s="781"/>
      <c r="W1299" s="781"/>
      <c r="X1299" s="781"/>
      <c r="Y1299" s="781"/>
      <c r="Z1299" s="781"/>
      <c r="AA1299" s="781"/>
      <c r="AB1299" s="781"/>
      <c r="AC1299" s="781"/>
      <c r="AD1299" s="781"/>
      <c r="AE1299" s="781"/>
      <c r="AF1299" s="781"/>
      <c r="AG1299" s="781"/>
      <c r="AH1299" s="781"/>
      <c r="AI1299" s="781"/>
      <c r="AJ1299" s="781"/>
      <c r="AK1299" s="781"/>
      <c r="AL1299" s="781"/>
      <c r="AM1299" s="781"/>
      <c r="AN1299" s="781"/>
      <c r="AO1299" s="781"/>
      <c r="AP1299" s="781"/>
      <c r="AQ1299" s="781"/>
      <c r="AR1299" s="781"/>
      <c r="AS1299" s="781"/>
      <c r="AT1299" s="781"/>
      <c r="AU1299" s="781"/>
    </row>
    <row r="1300" ht="15.75" customHeight="1">
      <c r="A1300" s="809"/>
      <c r="B1300" s="792"/>
      <c r="C1300" s="801"/>
      <c r="D1300" s="801"/>
      <c r="E1300" s="791"/>
      <c r="F1300" s="809"/>
      <c r="G1300" s="809"/>
      <c r="H1300" s="809"/>
      <c r="I1300" s="809"/>
      <c r="J1300" s="809"/>
      <c r="K1300" s="809"/>
      <c r="L1300" s="781"/>
      <c r="M1300" s="781"/>
      <c r="N1300" s="781"/>
      <c r="O1300" s="781"/>
      <c r="P1300" s="781"/>
      <c r="Q1300" s="781"/>
      <c r="R1300" s="781"/>
      <c r="S1300" s="781"/>
      <c r="T1300" s="781"/>
      <c r="U1300" s="781"/>
      <c r="V1300" s="781"/>
      <c r="W1300" s="781"/>
      <c r="X1300" s="781"/>
      <c r="Y1300" s="781"/>
      <c r="Z1300" s="781"/>
      <c r="AA1300" s="781"/>
      <c r="AB1300" s="781"/>
      <c r="AC1300" s="781"/>
      <c r="AD1300" s="781"/>
      <c r="AE1300" s="781"/>
      <c r="AF1300" s="781"/>
      <c r="AG1300" s="781"/>
      <c r="AH1300" s="781"/>
      <c r="AI1300" s="781"/>
      <c r="AJ1300" s="781"/>
      <c r="AK1300" s="781"/>
      <c r="AL1300" s="781"/>
      <c r="AM1300" s="781"/>
      <c r="AN1300" s="781"/>
      <c r="AO1300" s="781"/>
      <c r="AP1300" s="781"/>
      <c r="AQ1300" s="781"/>
      <c r="AR1300" s="781"/>
      <c r="AS1300" s="781"/>
      <c r="AT1300" s="781"/>
      <c r="AU1300" s="781"/>
    </row>
  </sheetData>
  <customSheetViews>
    <customSheetView guid="{CF9BBF74-3EB1-4F1E-8AB9-3B8870336168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